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794" documentId="13_ncr:1_{5DC81C20-B38C-46A9-A500-5EFC445A7DCE}" xr6:coauthVersionLast="47" xr6:coauthVersionMax="47" xr10:uidLastSave="{D04EA106-677E-4756-9715-CF09ADA02C3E}"/>
  <bookViews>
    <workbookView xWindow="28680" yWindow="-120" windowWidth="29040" windowHeight="15720" tabRatio="876" firstSheet="10" activeTab="7" xr2:uid="{00000000-000D-0000-FFFF-FFFF00000000}"/>
  </bookViews>
  <sheets>
    <sheet name="Yuya 2026" sheetId="1" r:id="rId1"/>
    <sheet name="Velvet 2026 Fase 1" sheetId="2" r:id="rId2"/>
    <sheet name="Velvet 2026 Fase 2" sheetId="3" r:id="rId3"/>
    <sheet name="Minion 2026" sheetId="4" r:id="rId4"/>
    <sheet name="Playboy 2026 Fase 2" sheetId="6" r:id="rId5"/>
    <sheet name="Playboy 2026 Fase 1" sheetId="5" r:id="rId6"/>
    <sheet name="Glam 2026 Fase 1" sheetId="7" r:id="rId7"/>
    <sheet name="Perry Ellis 2026 Fase 1" sheetId="9" r:id="rId8"/>
    <sheet name="Glam 2026 Fase 2" sheetId="8" r:id="rId9"/>
    <sheet name="Perry Ellis 2026 Fase 2" sheetId="10" r:id="rId10"/>
    <sheet name="Forever 21 2026" sheetId="12" r:id="rId11"/>
    <sheet name="Disney Princesas" sheetId="11" r:id="rId12"/>
    <sheet name="Linea Dermo" sheetId="13" r:id="rId1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S21" i="10" l="1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S71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R71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45" i="1"/>
  <c r="BT20" i="1"/>
  <c r="BT21" i="1"/>
  <c r="BT22" i="1"/>
  <c r="BT23" i="1"/>
  <c r="BT24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Q17" i="1"/>
  <c r="CO17" i="1"/>
  <c r="CM17" i="1"/>
  <c r="CZ17" i="1"/>
  <c r="CX17" i="1"/>
  <c r="CV17" i="1"/>
  <c r="CT17" i="1"/>
  <c r="CR17" i="1"/>
  <c r="CP17" i="1"/>
  <c r="CN17" i="1"/>
  <c r="CL17" i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25" i="1"/>
  <c r="S25" i="1" s="1"/>
  <c r="P24" i="1"/>
  <c r="S24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O21" i="10" l="1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45" i="1"/>
  <c r="X45" i="1" s="1"/>
  <c r="T21" i="10" l="1"/>
  <c r="U21" i="10" s="1"/>
  <c r="T20" i="10"/>
  <c r="U20" i="10" s="1"/>
  <c r="W45" i="1"/>
  <c r="AL20" i="10" l="1"/>
  <c r="AK20" i="10"/>
  <c r="Z20" i="10"/>
  <c r="Y20" i="10"/>
  <c r="AL21" i="10"/>
  <c r="AK21" i="10"/>
  <c r="Z21" i="10"/>
  <c r="Y21" i="10"/>
  <c r="BT18" i="1"/>
  <c r="BT19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2" i="9"/>
  <c r="R23" i="9"/>
  <c r="R24" i="9"/>
  <c r="R25" i="9"/>
  <c r="R26" i="9"/>
  <c r="R27" i="9"/>
  <c r="R28" i="9"/>
  <c r="R29" i="9"/>
  <c r="R30" i="9"/>
  <c r="P22" i="9"/>
  <c r="P23" i="9"/>
  <c r="P24" i="9"/>
  <c r="P25" i="9"/>
  <c r="P26" i="9"/>
  <c r="P27" i="9"/>
  <c r="P28" i="9"/>
  <c r="P29" i="9"/>
  <c r="P30" i="9"/>
  <c r="P32" i="9"/>
  <c r="P33" i="9"/>
  <c r="P34" i="9"/>
  <c r="P35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W17" i="7"/>
  <c r="V18" i="1"/>
  <c r="W18" i="1" s="1"/>
  <c r="V19" i="1"/>
  <c r="W19" i="1" s="1"/>
  <c r="V20" i="1"/>
  <c r="W20" i="1" s="1"/>
  <c r="V21" i="1"/>
  <c r="W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W44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X67" i="1" s="1"/>
  <c r="V68" i="1"/>
  <c r="X6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1" i="9"/>
  <c r="BM71" i="9" s="1"/>
  <c r="AI71" i="9"/>
  <c r="AJ71" i="9" s="1"/>
  <c r="AM71" i="9" s="1"/>
  <c r="W71" i="9"/>
  <c r="X71" i="9" s="1"/>
  <c r="AA71" i="9" s="1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J67" i="9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I58" i="9"/>
  <c r="AJ58" i="9" s="1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BL36" i="9"/>
  <c r="BM36" i="9" s="1"/>
  <c r="AJ36" i="9"/>
  <c r="AK36" i="9" s="1"/>
  <c r="S36" i="9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S25" i="9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N21" i="9"/>
  <c r="S21" i="9" s="1"/>
  <c r="BL20" i="9"/>
  <c r="BM20" i="9" s="1"/>
  <c r="AJ20" i="9"/>
  <c r="AM20" i="9" s="1"/>
  <c r="W20" i="9"/>
  <c r="X20" i="9" s="1"/>
  <c r="AA20" i="9" s="1"/>
  <c r="N20" i="9"/>
  <c r="P20" i="9" s="1"/>
  <c r="BL19" i="9"/>
  <c r="BM19" i="9" s="1"/>
  <c r="AJ19" i="9"/>
  <c r="AM19" i="9" s="1"/>
  <c r="W19" i="9"/>
  <c r="X19" i="9" s="1"/>
  <c r="AA19" i="9" s="1"/>
  <c r="N19" i="9"/>
  <c r="S19" i="9" s="1"/>
  <c r="BL18" i="9"/>
  <c r="BM18" i="9" s="1"/>
  <c r="AJ18" i="9"/>
  <c r="AM18" i="9" s="1"/>
  <c r="W18" i="9"/>
  <c r="X18" i="9" s="1"/>
  <c r="AA18" i="9" s="1"/>
  <c r="N18" i="9"/>
  <c r="R18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68" i="1"/>
  <c r="BL68" i="1" s="1"/>
  <c r="BK67" i="1"/>
  <c r="BL67" i="1" s="1"/>
  <c r="BK66" i="1"/>
  <c r="BL66" i="1" s="1"/>
  <c r="BK65" i="1"/>
  <c r="BL65" i="1" s="1"/>
  <c r="BK64" i="1"/>
  <c r="BL64" i="1" s="1"/>
  <c r="BK63" i="1"/>
  <c r="BL63" i="1" s="1"/>
  <c r="BK62" i="1"/>
  <c r="BL62" i="1" s="1"/>
  <c r="BK61" i="1"/>
  <c r="BL61" i="1" s="1"/>
  <c r="BK60" i="1"/>
  <c r="BL60" i="1" s="1"/>
  <c r="BK59" i="1"/>
  <c r="BL59" i="1" s="1"/>
  <c r="BK58" i="1"/>
  <c r="BL58" i="1" s="1"/>
  <c r="BK57" i="1"/>
  <c r="BL57" i="1" s="1"/>
  <c r="BK56" i="1"/>
  <c r="BL56" i="1" s="1"/>
  <c r="BK55" i="1"/>
  <c r="BL55" i="1" s="1"/>
  <c r="BK54" i="1"/>
  <c r="BL54" i="1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28" i="1"/>
  <c r="BL28" i="1" s="1"/>
  <c r="BK27" i="1"/>
  <c r="BL27" i="1" s="1"/>
  <c r="BK26" i="1"/>
  <c r="BL26" i="1" s="1"/>
  <c r="BK25" i="1"/>
  <c r="BL25" i="1" s="1"/>
  <c r="BK24" i="1"/>
  <c r="BL24" i="1" s="1"/>
  <c r="BK23" i="1"/>
  <c r="BL23" i="1" s="1"/>
  <c r="BK22" i="1"/>
  <c r="BL22" i="1" s="1"/>
  <c r="BK21" i="1"/>
  <c r="BL21" i="1" s="1"/>
  <c r="BK20" i="1"/>
  <c r="BL20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61" i="1"/>
  <c r="X32" i="1"/>
  <c r="W24" i="1"/>
  <c r="W23" i="1"/>
  <c r="W22" i="1"/>
  <c r="X31" i="1"/>
  <c r="W53" i="1"/>
  <c r="W52" i="1"/>
  <c r="W41" i="1"/>
  <c r="W40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1" i="9"/>
  <c r="R21" i="9"/>
  <c r="R20" i="9"/>
  <c r="AL37" i="9"/>
  <c r="P19" i="9"/>
  <c r="R19" i="9"/>
  <c r="P18" i="9"/>
  <c r="AM36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39" i="1"/>
  <c r="X30" i="1"/>
  <c r="W38" i="1"/>
  <c r="X29" i="1"/>
  <c r="W25" i="1"/>
  <c r="W17" i="1"/>
  <c r="X60" i="1"/>
  <c r="W68" i="1"/>
  <c r="X59" i="1"/>
  <c r="W67" i="1"/>
  <c r="X58" i="1"/>
  <c r="W54" i="1"/>
  <c r="W51" i="1"/>
  <c r="X44" i="1"/>
  <c r="X66" i="1"/>
  <c r="X50" i="1"/>
  <c r="X37" i="1"/>
  <c r="X21" i="1"/>
  <c r="X65" i="1"/>
  <c r="X49" i="1"/>
  <c r="X36" i="1"/>
  <c r="X20" i="1"/>
  <c r="W57" i="1"/>
  <c r="W43" i="1"/>
  <c r="W28" i="1"/>
  <c r="X64" i="1"/>
  <c r="X48" i="1"/>
  <c r="X35" i="1"/>
  <c r="X19" i="1"/>
  <c r="W56" i="1"/>
  <c r="W27" i="1"/>
  <c r="X63" i="1"/>
  <c r="X47" i="1"/>
  <c r="X34" i="1"/>
  <c r="X18" i="1"/>
  <c r="W55" i="1"/>
  <c r="W42" i="1"/>
  <c r="W26" i="1"/>
  <c r="X62" i="1"/>
  <c r="X46" i="1"/>
  <c r="X33" i="1"/>
  <c r="AK37" i="9"/>
  <c r="AK31" i="9"/>
  <c r="AL31" i="9"/>
  <c r="AL36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8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20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9" i="9"/>
  <c r="O56" i="9"/>
  <c r="O43" i="9"/>
  <c r="O49" i="9"/>
  <c r="O39" i="9"/>
  <c r="O57" i="9"/>
  <c r="O38" i="9"/>
  <c r="O69" i="9"/>
  <c r="O58" i="9"/>
  <c r="O33" i="9"/>
  <c r="O40" i="9"/>
  <c r="O62" i="9"/>
  <c r="O22" i="9"/>
  <c r="O42" i="9"/>
  <c r="O26" i="9"/>
  <c r="O60" i="9"/>
  <c r="O66" i="9"/>
  <c r="O70" i="9"/>
  <c r="O18" i="9"/>
  <c r="O55" i="9"/>
  <c r="O19" i="9"/>
  <c r="O63" i="9"/>
  <c r="O41" i="9"/>
  <c r="O61" i="9"/>
  <c r="O65" i="9"/>
  <c r="O28" i="9"/>
  <c r="O24" i="9"/>
  <c r="O45" i="9"/>
  <c r="O68" i="9"/>
  <c r="O50" i="9"/>
  <c r="O21" i="9"/>
  <c r="O44" i="9"/>
  <c r="O54" i="9"/>
  <c r="O20" i="9"/>
  <c r="O53" i="9"/>
  <c r="O29" i="9"/>
  <c r="O25" i="9"/>
  <c r="O30" i="9"/>
  <c r="O32" i="9"/>
  <c r="O47" i="9"/>
  <c r="O51" i="9"/>
  <c r="O52" i="9"/>
  <c r="O46" i="9"/>
  <c r="O64" i="9"/>
  <c r="O23" i="9"/>
  <c r="O71" i="9"/>
  <c r="O35" i="9"/>
  <c r="O34" i="9"/>
  <c r="O67" i="9"/>
  <c r="O48" i="9"/>
  <c r="S27" i="9" l="1"/>
  <c r="T21" i="9"/>
  <c r="U21" i="9" s="1"/>
  <c r="R54" i="9"/>
  <c r="S54" i="9" s="1"/>
  <c r="R46" i="9"/>
  <c r="S46" i="9" s="1"/>
  <c r="T46" i="9" s="1"/>
  <c r="R56" i="9"/>
  <c r="R42" i="9"/>
  <c r="S42" i="9" s="1"/>
  <c r="R43" i="9"/>
  <c r="S43" i="9" s="1"/>
  <c r="R34" i="9"/>
  <c r="R44" i="9"/>
  <c r="R48" i="9"/>
  <c r="S48" i="9" s="1"/>
  <c r="T25" i="9"/>
  <c r="U25" i="9" s="1"/>
  <c r="R57" i="9"/>
  <c r="R69" i="9"/>
  <c r="R65" i="9"/>
  <c r="S65" i="9" s="1"/>
  <c r="T19" i="9"/>
  <c r="U19" i="9" s="1"/>
  <c r="T22" i="9"/>
  <c r="U22" i="9" s="1"/>
  <c r="AL22" i="9" s="1"/>
  <c r="R63" i="9"/>
  <c r="S63" i="9" s="1"/>
  <c r="T63" i="9" s="1"/>
  <c r="R40" i="9"/>
  <c r="S40" i="9" s="1"/>
  <c r="T40" i="9" s="1"/>
  <c r="R60" i="9"/>
  <c r="R71" i="9"/>
  <c r="S71" i="9" s="1"/>
  <c r="T71" i="9" s="1"/>
  <c r="T23" i="9"/>
  <c r="U23" i="9" s="1"/>
  <c r="AK23" i="9" s="1"/>
  <c r="S29" i="9"/>
  <c r="T29" i="9" s="1"/>
  <c r="U29" i="9" s="1"/>
  <c r="R66" i="9"/>
  <c r="R55" i="9"/>
  <c r="S55" i="9" s="1"/>
  <c r="T55" i="9" s="1"/>
  <c r="U55" i="9" s="1"/>
  <c r="R38" i="9"/>
  <c r="T24" i="9"/>
  <c r="U24" i="9" s="1"/>
  <c r="AL24" i="9" s="1"/>
  <c r="R47" i="9"/>
  <c r="R70" i="9"/>
  <c r="S70" i="9" s="1"/>
  <c r="S26" i="9"/>
  <c r="T26" i="9" s="1"/>
  <c r="R39" i="9"/>
  <c r="S39" i="9" s="1"/>
  <c r="T39" i="9" s="1"/>
  <c r="U39" i="9" s="1"/>
  <c r="Z39" i="9" s="1"/>
  <c r="R53" i="9"/>
  <c r="R62" i="9"/>
  <c r="R64" i="9"/>
  <c r="R49" i="9"/>
  <c r="S49" i="9" s="1"/>
  <c r="T49" i="9" s="1"/>
  <c r="R33" i="9"/>
  <c r="R59" i="9"/>
  <c r="S59" i="9" s="1"/>
  <c r="T18" i="9"/>
  <c r="U18" i="9" s="1"/>
  <c r="AL18" i="9" s="1"/>
  <c r="S28" i="9"/>
  <c r="T20" i="9"/>
  <c r="U20" i="9" s="1"/>
  <c r="AK20" i="9" s="1"/>
  <c r="R67" i="9"/>
  <c r="S67" i="9" s="1"/>
  <c r="R35" i="9"/>
  <c r="R32" i="9"/>
  <c r="S32" i="9" s="1"/>
  <c r="T32" i="9" s="1"/>
  <c r="R68" i="9"/>
  <c r="S30" i="9"/>
  <c r="R51" i="9"/>
  <c r="R58" i="9"/>
  <c r="S58" i="9" s="1"/>
  <c r="T58" i="9" s="1"/>
  <c r="R45" i="9"/>
  <c r="R61" i="9"/>
  <c r="S61" i="9" s="1"/>
  <c r="R50" i="9"/>
  <c r="R52" i="9"/>
  <c r="S52" i="9" s="1"/>
  <c r="R41" i="9"/>
  <c r="S41" i="9" s="1"/>
  <c r="U71" i="9" l="1"/>
  <c r="AL71" i="9" s="1"/>
  <c r="S44" i="9"/>
  <c r="T44" i="9" s="1"/>
  <c r="U44" i="9" s="1"/>
  <c r="AL21" i="9"/>
  <c r="Y21" i="9"/>
  <c r="Z21" i="9"/>
  <c r="Z29" i="9"/>
  <c r="Y29" i="9"/>
  <c r="AK29" i="9"/>
  <c r="T42" i="9"/>
  <c r="U42" i="9" s="1"/>
  <c r="T30" i="9"/>
  <c r="U30" i="9" s="1"/>
  <c r="AK18" i="9"/>
  <c r="S69" i="9"/>
  <c r="T69" i="9" s="1"/>
  <c r="T70" i="9"/>
  <c r="U70" i="9" s="1"/>
  <c r="S56" i="9"/>
  <c r="T56" i="9" s="1"/>
  <c r="U56" i="9" s="1"/>
  <c r="AK56" i="9" s="1"/>
  <c r="Z20" i="9"/>
  <c r="Y20" i="9"/>
  <c r="T65" i="9"/>
  <c r="U65" i="9" s="1"/>
  <c r="AL20" i="9"/>
  <c r="Z22" i="9"/>
  <c r="S38" i="9"/>
  <c r="T38" i="9" s="1"/>
  <c r="U38" i="9" s="1"/>
  <c r="Z55" i="9"/>
  <c r="AK55" i="9"/>
  <c r="Y55" i="9"/>
  <c r="AL55" i="9"/>
  <c r="T59" i="9"/>
  <c r="U59" i="9" s="1"/>
  <c r="Z23" i="9"/>
  <c r="AL23" i="9"/>
  <c r="Y23" i="9"/>
  <c r="S34" i="9"/>
  <c r="T34" i="9" s="1"/>
  <c r="T67" i="9"/>
  <c r="U67" i="9" s="1"/>
  <c r="S57" i="9"/>
  <c r="T57" i="9" s="1"/>
  <c r="S53" i="9"/>
  <c r="S45" i="9"/>
  <c r="T45" i="9" s="1"/>
  <c r="U45" i="9" s="1"/>
  <c r="T28" i="9"/>
  <c r="U28" i="9" s="1"/>
  <c r="U26" i="9"/>
  <c r="Z18" i="9"/>
  <c r="Y18" i="9"/>
  <c r="AK39" i="9"/>
  <c r="Y39" i="9"/>
  <c r="AL39" i="9"/>
  <c r="Z25" i="9"/>
  <c r="AK25" i="9"/>
  <c r="Y25" i="9"/>
  <c r="AL25" i="9"/>
  <c r="S51" i="9"/>
  <c r="T51" i="9" s="1"/>
  <c r="U32" i="9"/>
  <c r="T54" i="9"/>
  <c r="U54" i="9" s="1"/>
  <c r="S47" i="9"/>
  <c r="S35" i="9"/>
  <c r="T35" i="9" s="1"/>
  <c r="S68" i="9"/>
  <c r="AL29" i="9"/>
  <c r="T52" i="9"/>
  <c r="U52" i="9" s="1"/>
  <c r="U58" i="9"/>
  <c r="Y24" i="9"/>
  <c r="AK24" i="9"/>
  <c r="S33" i="9"/>
  <c r="T33" i="9" s="1"/>
  <c r="Z24" i="9"/>
  <c r="S66" i="9"/>
  <c r="T66" i="9" s="1"/>
  <c r="AK22" i="9"/>
  <c r="Y22" i="9"/>
  <c r="T41" i="9"/>
  <c r="U41" i="9" s="1"/>
  <c r="S64" i="9"/>
  <c r="T64" i="9" s="1"/>
  <c r="T43" i="9"/>
  <c r="U43" i="9" s="1"/>
  <c r="S50" i="9"/>
  <c r="T50" i="9" s="1"/>
  <c r="S62" i="9"/>
  <c r="T62" i="9" s="1"/>
  <c r="Z19" i="9"/>
  <c r="Y19" i="9"/>
  <c r="AK19" i="9"/>
  <c r="AL19" i="9"/>
  <c r="AK21" i="9"/>
  <c r="T61" i="9"/>
  <c r="U61" i="9" s="1"/>
  <c r="U49" i="9"/>
  <c r="U40" i="9"/>
  <c r="S60" i="9"/>
  <c r="T60" i="9" s="1"/>
  <c r="U63" i="9"/>
  <c r="T48" i="9"/>
  <c r="U48" i="9" s="1"/>
  <c r="U46" i="9"/>
  <c r="T27" i="9"/>
  <c r="U27" i="9" s="1"/>
  <c r="AK71" i="9" l="1"/>
  <c r="Z71" i="9"/>
  <c r="Y71" i="9"/>
  <c r="AK65" i="9"/>
  <c r="Z65" i="9"/>
  <c r="Y65" i="9"/>
  <c r="AL65" i="9"/>
  <c r="Y42" i="9"/>
  <c r="AL42" i="9"/>
  <c r="AK42" i="9"/>
  <c r="Z42" i="9"/>
  <c r="Z30" i="9"/>
  <c r="Y30" i="9"/>
  <c r="AL30" i="9"/>
  <c r="AK30" i="9"/>
  <c r="U69" i="9"/>
  <c r="U62" i="9"/>
  <c r="AK62" i="9" s="1"/>
  <c r="AL56" i="9"/>
  <c r="U50" i="9"/>
  <c r="Z50" i="9" s="1"/>
  <c r="U57" i="9"/>
  <c r="AL57" i="9" s="1"/>
  <c r="Y56" i="9"/>
  <c r="Z56" i="9"/>
  <c r="AK67" i="9"/>
  <c r="Y67" i="9"/>
  <c r="Z67" i="9"/>
  <c r="AL67" i="9"/>
  <c r="Y61" i="9"/>
  <c r="AL61" i="9"/>
  <c r="AK61" i="9"/>
  <c r="Z61" i="9"/>
  <c r="Y54" i="9"/>
  <c r="AL54" i="9"/>
  <c r="AK54" i="9"/>
  <c r="Z54" i="9"/>
  <c r="AK27" i="9"/>
  <c r="AL27" i="9"/>
  <c r="Y27" i="9"/>
  <c r="Z27" i="9"/>
  <c r="Y43" i="9"/>
  <c r="AK43" i="9"/>
  <c r="Z43" i="9"/>
  <c r="AL43" i="9"/>
  <c r="Y59" i="9"/>
  <c r="Z59" i="9"/>
  <c r="AK59" i="9"/>
  <c r="AL59" i="9"/>
  <c r="AL38" i="9"/>
  <c r="AK38" i="9"/>
  <c r="Z38" i="9"/>
  <c r="Y38" i="9"/>
  <c r="AK28" i="9"/>
  <c r="Y28" i="9"/>
  <c r="AL28" i="9"/>
  <c r="Z28" i="9"/>
  <c r="AL70" i="9"/>
  <c r="Y70" i="9"/>
  <c r="AK70" i="9"/>
  <c r="Z70" i="9"/>
  <c r="U51" i="9"/>
  <c r="U33" i="9"/>
  <c r="T47" i="9"/>
  <c r="U47" i="9" s="1"/>
  <c r="AL46" i="9"/>
  <c r="AK46" i="9"/>
  <c r="Y46" i="9"/>
  <c r="Z46" i="9"/>
  <c r="T68" i="9"/>
  <c r="U68" i="9" s="1"/>
  <c r="Y63" i="9"/>
  <c r="AK63" i="9"/>
  <c r="AL63" i="9"/>
  <c r="Z63" i="9"/>
  <c r="AL52" i="9"/>
  <c r="Z52" i="9"/>
  <c r="Y52" i="9"/>
  <c r="AK52" i="9"/>
  <c r="U64" i="9"/>
  <c r="AL44" i="9"/>
  <c r="Z44" i="9"/>
  <c r="Y44" i="9"/>
  <c r="AK44" i="9"/>
  <c r="U60" i="9"/>
  <c r="Z48" i="9"/>
  <c r="Y48" i="9"/>
  <c r="AL48" i="9"/>
  <c r="AK48" i="9"/>
  <c r="AL45" i="9"/>
  <c r="Y45" i="9"/>
  <c r="Z45" i="9"/>
  <c r="AK45" i="9"/>
  <c r="T53" i="9"/>
  <c r="U53" i="9" s="1"/>
  <c r="Y40" i="9"/>
  <c r="AL40" i="9"/>
  <c r="Z40" i="9"/>
  <c r="AK40" i="9"/>
  <c r="Y57" i="9"/>
  <c r="Z57" i="9"/>
  <c r="AK49" i="9"/>
  <c r="Z49" i="9"/>
  <c r="AL49" i="9"/>
  <c r="Y49" i="9"/>
  <c r="Y41" i="9"/>
  <c r="Z41" i="9"/>
  <c r="AK41" i="9"/>
  <c r="AL41" i="9"/>
  <c r="U66" i="9"/>
  <c r="U35" i="9"/>
  <c r="U34" i="9"/>
  <c r="Y58" i="9"/>
  <c r="AL58" i="9"/>
  <c r="Z58" i="9"/>
  <c r="AK58" i="9"/>
  <c r="AK26" i="9"/>
  <c r="AL26" i="9"/>
  <c r="Z26" i="9"/>
  <c r="Y26" i="9"/>
  <c r="AL32" i="9"/>
  <c r="Y32" i="9"/>
  <c r="Z32" i="9"/>
  <c r="AK32" i="9"/>
  <c r="Y69" i="9" l="1"/>
  <c r="AK69" i="9"/>
  <c r="AL69" i="9"/>
  <c r="Z69" i="9"/>
  <c r="AK50" i="9"/>
  <c r="Y50" i="9"/>
  <c r="Z62" i="9"/>
  <c r="AL50" i="9"/>
  <c r="AL62" i="9"/>
  <c r="Y62" i="9"/>
  <c r="AK57" i="9"/>
  <c r="AL68" i="9"/>
  <c r="AK68" i="9"/>
  <c r="Z68" i="9"/>
  <c r="Y68" i="9"/>
  <c r="AK53" i="9"/>
  <c r="Y53" i="9"/>
  <c r="Z53" i="9"/>
  <c r="AL53" i="9"/>
  <c r="Z47" i="9"/>
  <c r="Y47" i="9"/>
  <c r="AL47" i="9"/>
  <c r="AK47" i="9"/>
  <c r="AK51" i="9"/>
  <c r="Y51" i="9"/>
  <c r="Z51" i="9"/>
  <c r="AL51" i="9"/>
  <c r="Z60" i="9"/>
  <c r="AK60" i="9"/>
  <c r="AL60" i="9"/>
  <c r="Y60" i="9"/>
  <c r="Y33" i="9"/>
  <c r="AK33" i="9"/>
  <c r="AL33" i="9"/>
  <c r="Z33" i="9"/>
  <c r="Z34" i="9"/>
  <c r="AL34" i="9"/>
  <c r="Y34" i="9"/>
  <c r="AK34" i="9"/>
  <c r="AK35" i="9"/>
  <c r="Z35" i="9"/>
  <c r="AL35" i="9"/>
  <c r="Y35" i="9"/>
  <c r="Z66" i="9"/>
  <c r="AK66" i="9"/>
  <c r="Y66" i="9"/>
  <c r="AL66" i="9"/>
  <c r="AK64" i="9"/>
  <c r="AL64" i="9"/>
  <c r="Y64" i="9"/>
  <c r="Z64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L22" i="4"/>
  <c r="AK22" i="4"/>
  <c r="X22" i="4"/>
  <c r="T22" i="4"/>
  <c r="Y22" i="4"/>
  <c r="AI17" i="10"/>
  <c r="Y17" i="10"/>
  <c r="X17" i="10"/>
  <c r="T17" i="10"/>
  <c r="AJ17" i="10"/>
  <c r="S17" i="10"/>
  <c r="Q17" i="10"/>
  <c r="R17" i="10"/>
  <c r="AA34" i="2"/>
  <c r="AO33" i="2"/>
  <c r="Z34" i="2"/>
  <c r="V34" i="2"/>
  <c r="AN33" i="2"/>
  <c r="T34" i="2"/>
  <c r="S34" i="2"/>
  <c r="U34" i="2"/>
  <c r="AA24" i="2"/>
  <c r="AO23" i="2"/>
  <c r="Z24" i="2"/>
  <c r="V24" i="2"/>
  <c r="AN23" i="2"/>
  <c r="T24" i="2"/>
  <c r="S24" i="2"/>
  <c r="U24" i="2"/>
  <c r="Y23" i="4"/>
  <c r="X23" i="4"/>
  <c r="AL23" i="4"/>
  <c r="T23" i="4"/>
  <c r="AK23" i="4"/>
  <c r="AD21" i="8"/>
  <c r="Z21" i="8"/>
  <c r="AE21" i="8"/>
  <c r="T44" i="2"/>
  <c r="U44" i="2"/>
  <c r="AO43" i="2"/>
  <c r="AN43" i="2"/>
  <c r="AA44" i="2"/>
  <c r="S44" i="2"/>
  <c r="V44" i="2"/>
  <c r="Z44" i="2"/>
  <c r="AO85" i="2"/>
  <c r="AA86" i="2"/>
  <c r="Z86" i="2"/>
  <c r="V86" i="2"/>
  <c r="AN85" i="2"/>
  <c r="U86" i="2"/>
  <c r="S86" i="2"/>
  <c r="T86" i="2"/>
  <c r="Z40" i="2"/>
  <c r="AN39" i="2"/>
  <c r="AA40" i="2"/>
  <c r="V40" i="2"/>
  <c r="AO39" i="2"/>
  <c r="T40" i="2"/>
  <c r="S40" i="2"/>
  <c r="U40" i="2"/>
  <c r="Z74" i="2"/>
  <c r="AO73" i="2"/>
  <c r="AN73" i="2"/>
  <c r="V74" i="2"/>
  <c r="AA74" i="2"/>
  <c r="T74" i="2"/>
  <c r="S74" i="2"/>
  <c r="U74" i="2"/>
  <c r="AL25" i="4"/>
  <c r="X25" i="4"/>
  <c r="AK25" i="4"/>
  <c r="S25" i="4"/>
  <c r="T25" i="4"/>
  <c r="Y25" i="4"/>
  <c r="Z42" i="2"/>
  <c r="AN41" i="2"/>
  <c r="AO41" i="2"/>
  <c r="V42" i="2"/>
  <c r="AA42" i="2"/>
  <c r="T42" i="2"/>
  <c r="S42" i="2"/>
  <c r="U42" i="2"/>
  <c r="AA41" i="2"/>
  <c r="AO40" i="2"/>
  <c r="AN40" i="2"/>
  <c r="V41" i="2"/>
  <c r="Z41" i="2"/>
  <c r="T41" i="2"/>
  <c r="S41" i="2"/>
  <c r="U41" i="2"/>
  <c r="AO95" i="2"/>
  <c r="AA96" i="2"/>
  <c r="Z96" i="2"/>
  <c r="V96" i="2"/>
  <c r="AN95" i="2"/>
  <c r="T96" i="2"/>
  <c r="S96" i="2"/>
  <c r="U96" i="2"/>
  <c r="Z72" i="2"/>
  <c r="AO71" i="2"/>
  <c r="AA72" i="2"/>
  <c r="V72" i="2"/>
  <c r="AN71" i="2"/>
  <c r="T72" i="2"/>
  <c r="S72" i="2"/>
  <c r="U72" i="2"/>
  <c r="AA99" i="2"/>
  <c r="AO98" i="2"/>
  <c r="AN98" i="2"/>
  <c r="V99" i="2"/>
  <c r="Z99" i="2"/>
  <c r="U99" i="2"/>
  <c r="S99" i="2"/>
  <c r="T99" i="2"/>
  <c r="AK26" i="4"/>
  <c r="AL26" i="4"/>
  <c r="X26" i="4"/>
  <c r="T26" i="4"/>
  <c r="Y26" i="4"/>
  <c r="AO63" i="2"/>
  <c r="AA64" i="2"/>
  <c r="Z64" i="2"/>
  <c r="V64" i="2"/>
  <c r="AN63" i="2"/>
  <c r="U64" i="2"/>
  <c r="S64" i="2"/>
  <c r="T64" i="2"/>
  <c r="Y20" i="4"/>
  <c r="AK20" i="4"/>
  <c r="X20" i="4"/>
  <c r="T20" i="4"/>
  <c r="AL20" i="4"/>
  <c r="AA66" i="2"/>
  <c r="Z66" i="2"/>
  <c r="AO65" i="2"/>
  <c r="V66" i="2"/>
  <c r="AN65" i="2"/>
  <c r="T66" i="2"/>
  <c r="S66" i="2"/>
  <c r="U66" i="2"/>
  <c r="AJ17" i="6"/>
  <c r="AU17" i="6"/>
  <c r="AI17" i="6"/>
  <c r="AA17" i="6"/>
  <c r="AB17" i="6"/>
  <c r="AT17" i="6"/>
  <c r="AO49" i="2"/>
  <c r="AA50" i="2"/>
  <c r="Z50" i="2"/>
  <c r="V50" i="2"/>
  <c r="AN49" i="2"/>
  <c r="U50" i="2"/>
  <c r="S50" i="2"/>
  <c r="T50" i="2"/>
  <c r="AO51" i="2"/>
  <c r="AN51" i="2"/>
  <c r="AA52" i="2"/>
  <c r="V52" i="2"/>
  <c r="Z52" i="2"/>
  <c r="U52" i="2"/>
  <c r="S52" i="2"/>
  <c r="T52" i="2"/>
  <c r="AO34" i="2"/>
  <c r="Z35" i="2"/>
  <c r="AN34" i="2"/>
  <c r="V35" i="2"/>
  <c r="AA35" i="2"/>
  <c r="U35" i="2"/>
  <c r="S35" i="2"/>
  <c r="T35" i="2"/>
  <c r="U93" i="2"/>
  <c r="T93" i="2"/>
  <c r="AA93" i="2"/>
  <c r="S93" i="2"/>
  <c r="V93" i="2"/>
  <c r="Z93" i="2"/>
  <c r="P20" i="4"/>
  <c r="Q20" i="4"/>
  <c r="R20" i="4"/>
  <c r="U43" i="2"/>
  <c r="T43" i="2"/>
  <c r="AN42" i="2"/>
  <c r="AA43" i="2"/>
  <c r="AO42" i="2"/>
  <c r="S43" i="2"/>
  <c r="V43" i="2"/>
  <c r="Z43" i="2"/>
  <c r="AJ20" i="6"/>
  <c r="AI20" i="6"/>
  <c r="AU20" i="6"/>
  <c r="AA20" i="6"/>
  <c r="AB20" i="6"/>
  <c r="AT20" i="6"/>
  <c r="AA79" i="2"/>
  <c r="Z79" i="2"/>
  <c r="AO78" i="2"/>
  <c r="V79" i="2"/>
  <c r="AN78" i="2"/>
  <c r="U79" i="2"/>
  <c r="S79" i="2"/>
  <c r="T79" i="2"/>
  <c r="AN99" i="2"/>
  <c r="AO99" i="2"/>
  <c r="Z100" i="2"/>
  <c r="V100" i="2"/>
  <c r="AA100" i="2"/>
  <c r="T100" i="2"/>
  <c r="S100" i="2"/>
  <c r="U100" i="2"/>
  <c r="Z73" i="2"/>
  <c r="AO72" i="2"/>
  <c r="AN72" i="2"/>
  <c r="V73" i="2"/>
  <c r="AA73" i="2"/>
  <c r="T73" i="2"/>
  <c r="S73" i="2"/>
  <c r="U73" i="2"/>
  <c r="AN32" i="2"/>
  <c r="AO32" i="2"/>
  <c r="AA33" i="2"/>
  <c r="V33" i="2"/>
  <c r="Z33" i="2"/>
  <c r="T33" i="2"/>
  <c r="S33" i="2"/>
  <c r="U33" i="2"/>
  <c r="AO45" i="2"/>
  <c r="AN45" i="2"/>
  <c r="Z46" i="2"/>
  <c r="V46" i="2"/>
  <c r="AA46" i="2"/>
  <c r="T46" i="2"/>
  <c r="S46" i="2"/>
  <c r="U46" i="2"/>
  <c r="AO38" i="2"/>
  <c r="AN38" i="2"/>
  <c r="AA39" i="2"/>
  <c r="V39" i="2"/>
  <c r="Z39" i="2"/>
  <c r="U39" i="2"/>
  <c r="S39" i="2"/>
  <c r="T39" i="2"/>
  <c r="AN67" i="2"/>
  <c r="AA68" i="2"/>
  <c r="AO67" i="2"/>
  <c r="V68" i="2"/>
  <c r="Z68" i="2"/>
  <c r="T68" i="2"/>
  <c r="S68" i="2"/>
  <c r="U68" i="2"/>
  <c r="AU22" i="6"/>
  <c r="AI22" i="6"/>
  <c r="AJ22" i="6"/>
  <c r="AA22" i="6"/>
  <c r="AB22" i="6"/>
  <c r="AT22" i="6"/>
  <c r="AA19" i="2"/>
  <c r="AO18" i="2"/>
  <c r="Z19" i="2"/>
  <c r="V19" i="2"/>
  <c r="AN18" i="2"/>
  <c r="U19" i="2"/>
  <c r="S19" i="2"/>
  <c r="T19" i="2"/>
  <c r="AN36" i="2"/>
  <c r="AA37" i="2"/>
  <c r="Z37" i="2"/>
  <c r="V37" i="2"/>
  <c r="AO36" i="2"/>
  <c r="T37" i="2"/>
  <c r="S37" i="2"/>
  <c r="U37" i="2"/>
  <c r="AO61" i="2"/>
  <c r="Z62" i="2"/>
  <c r="AA62" i="2"/>
  <c r="V62" i="2"/>
  <c r="AN61" i="2"/>
  <c r="T62" i="2"/>
  <c r="S62" i="2"/>
  <c r="U62" i="2"/>
  <c r="AO27" i="2"/>
  <c r="AN27" i="2"/>
  <c r="AA28" i="2"/>
  <c r="V28" i="2"/>
  <c r="Z28" i="2"/>
  <c r="T28" i="2"/>
  <c r="S28" i="2"/>
  <c r="U28" i="2"/>
  <c r="T69" i="2"/>
  <c r="U69" i="2"/>
  <c r="AO68" i="2"/>
  <c r="Z69" i="2"/>
  <c r="AA69" i="2"/>
  <c r="S69" i="2"/>
  <c r="V69" i="2"/>
  <c r="AN68" i="2"/>
  <c r="AE19" i="8"/>
  <c r="Z19" i="8"/>
  <c r="AD19" i="8"/>
  <c r="AL21" i="4"/>
  <c r="Y21" i="4"/>
  <c r="X21" i="4"/>
  <c r="T21" i="4"/>
  <c r="AK21" i="4"/>
  <c r="AN86" i="2"/>
  <c r="Z87" i="2"/>
  <c r="AA87" i="2"/>
  <c r="V87" i="2"/>
  <c r="AO86" i="2"/>
  <c r="U87" i="2"/>
  <c r="S87" i="2"/>
  <c r="T87" i="2"/>
  <c r="U26" i="2"/>
  <c r="T26" i="2"/>
  <c r="AO25" i="2"/>
  <c r="AA26" i="2"/>
  <c r="AN25" i="2"/>
  <c r="S26" i="2"/>
  <c r="V26" i="2"/>
  <c r="Z26" i="2"/>
  <c r="U63" i="2"/>
  <c r="T63" i="2"/>
  <c r="Z63" i="2"/>
  <c r="AA63" i="2"/>
  <c r="AN62" i="2"/>
  <c r="S63" i="2"/>
  <c r="V63" i="2"/>
  <c r="AO62" i="2"/>
  <c r="U101" i="2"/>
  <c r="T101" i="2"/>
  <c r="Z101" i="2"/>
  <c r="AN100" i="2"/>
  <c r="AO100" i="2"/>
  <c r="S101" i="2"/>
  <c r="V101" i="2"/>
  <c r="AA101" i="2"/>
  <c r="AN31" i="2"/>
  <c r="AO31" i="2"/>
  <c r="Z32" i="2"/>
  <c r="V32" i="2"/>
  <c r="AA32" i="2"/>
  <c r="T32" i="2"/>
  <c r="S32" i="2"/>
  <c r="U32" i="2"/>
  <c r="AO44" i="2"/>
  <c r="AA45" i="2"/>
  <c r="Z45" i="2"/>
  <c r="V45" i="2"/>
  <c r="AN44" i="2"/>
  <c r="T45" i="2"/>
  <c r="S45" i="2"/>
  <c r="U45" i="2"/>
  <c r="AP20" i="8"/>
  <c r="X20" i="8"/>
  <c r="AO20" i="8"/>
  <c r="T51" i="2"/>
  <c r="U51" i="2"/>
  <c r="AN50" i="2"/>
  <c r="AO50" i="2"/>
  <c r="Z51" i="2"/>
  <c r="S51" i="2"/>
  <c r="V51" i="2"/>
  <c r="AA51" i="2"/>
  <c r="AO94" i="2"/>
  <c r="AN94" i="2"/>
  <c r="AA95" i="2"/>
  <c r="V95" i="2"/>
  <c r="Z95" i="2"/>
  <c r="T95" i="2"/>
  <c r="S95" i="2"/>
  <c r="U95" i="2"/>
  <c r="T89" i="2"/>
  <c r="U89" i="2"/>
  <c r="Z89" i="2"/>
  <c r="S89" i="2"/>
  <c r="V89" i="2"/>
  <c r="AA89" i="2"/>
  <c r="U21" i="2"/>
  <c r="T21" i="2"/>
  <c r="AO20" i="2"/>
  <c r="AN20" i="2"/>
  <c r="Z21" i="2"/>
  <c r="S21" i="2"/>
  <c r="V21" i="2"/>
  <c r="AA21" i="2"/>
  <c r="X19" i="4"/>
  <c r="AK19" i="4"/>
  <c r="AL19" i="4"/>
  <c r="T19" i="4"/>
  <c r="Y19" i="4"/>
  <c r="U94" i="2"/>
  <c r="T94" i="2"/>
  <c r="AA94" i="2"/>
  <c r="AN93" i="2"/>
  <c r="Z94" i="2"/>
  <c r="S94" i="2"/>
  <c r="V94" i="2"/>
  <c r="AO93" i="2"/>
  <c r="S19" i="4"/>
  <c r="S27" i="4"/>
  <c r="AK18" i="4"/>
  <c r="AL18" i="4"/>
  <c r="S20" i="4"/>
  <c r="Y18" i="4"/>
  <c r="S18" i="4"/>
  <c r="S23" i="4"/>
  <c r="S22" i="4"/>
  <c r="S21" i="4"/>
  <c r="S17" i="4"/>
  <c r="X18" i="4"/>
  <c r="S26" i="4"/>
  <c r="Y24" i="4"/>
  <c r="X24" i="4"/>
  <c r="AL24" i="4"/>
  <c r="T18" i="4"/>
  <c r="S24" i="4"/>
  <c r="T24" i="4"/>
  <c r="AK24" i="4"/>
  <c r="AA77" i="2"/>
  <c r="AO76" i="2"/>
  <c r="Z77" i="2"/>
  <c r="V77" i="2"/>
  <c r="AN76" i="2"/>
  <c r="U77" i="2"/>
  <c r="S77" i="2"/>
  <c r="T77" i="2"/>
  <c r="AO77" i="2"/>
  <c r="Z78" i="2"/>
  <c r="AN77" i="2"/>
  <c r="V78" i="2"/>
  <c r="AA78" i="2"/>
  <c r="U78" i="2"/>
  <c r="S78" i="2"/>
  <c r="T78" i="2"/>
  <c r="AA54" i="2"/>
  <c r="Z54" i="2"/>
  <c r="AN53" i="2"/>
  <c r="V54" i="2"/>
  <c r="AO53" i="2"/>
  <c r="T54" i="2"/>
  <c r="S54" i="2"/>
  <c r="U54" i="2"/>
  <c r="Z98" i="2"/>
  <c r="AO97" i="2"/>
  <c r="AN97" i="2"/>
  <c r="V98" i="2"/>
  <c r="AA98" i="2"/>
  <c r="T98" i="2"/>
  <c r="S98" i="2"/>
  <c r="U98" i="2"/>
  <c r="AU19" i="6"/>
  <c r="AT19" i="6"/>
  <c r="AI19" i="6"/>
  <c r="AA19" i="6"/>
  <c r="AB19" i="6"/>
  <c r="AJ19" i="6"/>
  <c r="T22" i="2"/>
  <c r="U22" i="2"/>
  <c r="AA22" i="2"/>
  <c r="AO21" i="2"/>
  <c r="Z22" i="2"/>
  <c r="S22" i="2"/>
  <c r="V22" i="2"/>
  <c r="AN21" i="2"/>
  <c r="U38" i="2"/>
  <c r="T38" i="2"/>
  <c r="AA38" i="2"/>
  <c r="AN37" i="2"/>
  <c r="Z38" i="2"/>
  <c r="S38" i="2"/>
  <c r="V38" i="2"/>
  <c r="AO37" i="2"/>
  <c r="AO26" i="2"/>
  <c r="AN26" i="2"/>
  <c r="Z27" i="2"/>
  <c r="V27" i="2"/>
  <c r="AA27" i="2"/>
  <c r="T27" i="2"/>
  <c r="S27" i="2"/>
  <c r="U27" i="2"/>
  <c r="AP17" i="8"/>
  <c r="AO17" i="8"/>
  <c r="AO18" i="8"/>
  <c r="W18" i="8"/>
  <c r="X18" i="8"/>
  <c r="AP18" i="8"/>
  <c r="Z65" i="2"/>
  <c r="AO64" i="2"/>
  <c r="AA65" i="2"/>
  <c r="V65" i="2"/>
  <c r="AN64" i="2"/>
  <c r="T65" i="2"/>
  <c r="S65" i="2"/>
  <c r="U65" i="2"/>
  <c r="AP19" i="8"/>
  <c r="W19" i="8"/>
  <c r="X19" i="8"/>
  <c r="AO19" i="8"/>
  <c r="T67" i="2"/>
  <c r="U67" i="2"/>
  <c r="AO66" i="2"/>
  <c r="AN66" i="2"/>
  <c r="Z67" i="2"/>
  <c r="S67" i="2"/>
  <c r="V67" i="2"/>
  <c r="AA67" i="2"/>
  <c r="AN70" i="2"/>
  <c r="AA71" i="2"/>
  <c r="AO70" i="2"/>
  <c r="V71" i="2"/>
  <c r="Z71" i="2"/>
  <c r="U71" i="2"/>
  <c r="S71" i="2"/>
  <c r="T71" i="2"/>
  <c r="AU18" i="6"/>
  <c r="AJ18" i="6"/>
  <c r="AT18" i="6"/>
  <c r="AI18" i="6"/>
  <c r="AT21" i="6"/>
  <c r="AI21" i="6"/>
  <c r="AJ21" i="6"/>
  <c r="AA18" i="6"/>
  <c r="AB18" i="6"/>
  <c r="AA21" i="6"/>
  <c r="AB21" i="6"/>
  <c r="AU21" i="6"/>
  <c r="U70" i="2"/>
  <c r="T70" i="2"/>
  <c r="AN69" i="2"/>
  <c r="AA70" i="2"/>
  <c r="AO69" i="2"/>
  <c r="S70" i="2"/>
  <c r="V70" i="2"/>
  <c r="Z70" i="2"/>
  <c r="U53" i="2"/>
  <c r="T53" i="2"/>
  <c r="AA53" i="2"/>
  <c r="AO52" i="2"/>
  <c r="Z53" i="2"/>
  <c r="S53" i="2"/>
  <c r="V53" i="2"/>
  <c r="AN52" i="2"/>
  <c r="R27" i="4"/>
  <c r="Q27" i="4"/>
  <c r="AA20" i="2"/>
  <c r="AN19" i="2"/>
  <c r="AO19" i="2"/>
  <c r="V20" i="2"/>
  <c r="Z20" i="2"/>
  <c r="T20" i="2"/>
  <c r="S20" i="2"/>
  <c r="U20" i="2"/>
  <c r="U30" i="2"/>
  <c r="T30" i="2"/>
  <c r="AA30" i="2"/>
  <c r="AN29" i="2"/>
  <c r="AO29" i="2"/>
  <c r="S30" i="2"/>
  <c r="V30" i="2"/>
  <c r="Z30" i="2"/>
  <c r="R18" i="10"/>
  <c r="S18" i="10"/>
  <c r="X18" i="10"/>
  <c r="AJ18" i="10"/>
  <c r="AI18" i="10"/>
  <c r="Q18" i="10"/>
  <c r="T18" i="10"/>
  <c r="Y18" i="10"/>
  <c r="T31" i="2"/>
  <c r="U31" i="2"/>
  <c r="AO30" i="2"/>
  <c r="AA31" i="2"/>
  <c r="AN30" i="2"/>
  <c r="S31" i="2"/>
  <c r="V31" i="2"/>
  <c r="Z31" i="2"/>
  <c r="R18" i="4"/>
  <c r="X17" i="4"/>
  <c r="Y17" i="4"/>
  <c r="AL17" i="4"/>
  <c r="T17" i="4"/>
  <c r="AK17" i="4"/>
  <c r="T75" i="2"/>
  <c r="U75" i="2"/>
  <c r="Z75" i="2"/>
  <c r="AO74" i="2"/>
  <c r="AA75" i="2"/>
  <c r="S75" i="2"/>
  <c r="V75" i="2"/>
  <c r="AN74" i="2"/>
  <c r="AK27" i="4"/>
  <c r="X27" i="4"/>
  <c r="AL27" i="4"/>
  <c r="P27" i="4"/>
  <c r="T27" i="4"/>
  <c r="Y27" i="4"/>
  <c r="AO21" i="8"/>
  <c r="W21" i="8"/>
  <c r="X21" i="8"/>
  <c r="AP21" i="8"/>
  <c r="AE20" i="8"/>
  <c r="W17" i="8"/>
  <c r="X17" i="8"/>
  <c r="W20" i="8"/>
  <c r="Z20" i="8"/>
  <c r="AD20" i="8"/>
  <c r="T36" i="2"/>
  <c r="U36" i="2"/>
  <c r="AA36" i="2"/>
  <c r="AN35" i="2"/>
  <c r="Z36" i="2"/>
  <c r="S36" i="2"/>
  <c r="V36" i="2"/>
  <c r="AO35" i="2"/>
  <c r="P21" i="4"/>
  <c r="Q21" i="4"/>
  <c r="R21" i="4"/>
  <c r="U23" i="2"/>
  <c r="T23" i="2"/>
  <c r="AA23" i="2"/>
  <c r="AO22" i="2"/>
  <c r="Z23" i="2"/>
  <c r="S23" i="2"/>
  <c r="V23" i="2"/>
  <c r="AN22" i="2"/>
  <c r="P22" i="4"/>
  <c r="Q22" i="4"/>
  <c r="R22" i="4"/>
  <c r="U25" i="2"/>
  <c r="AN24" i="2"/>
  <c r="AA25" i="2"/>
  <c r="Z25" i="2"/>
  <c r="V25" i="2"/>
  <c r="AO24" i="2"/>
  <c r="U29" i="2"/>
  <c r="T29" i="2"/>
  <c r="AA29" i="2"/>
  <c r="AN28" i="2"/>
  <c r="AO28" i="2"/>
  <c r="S29" i="2"/>
  <c r="V29" i="2"/>
  <c r="Z29" i="2"/>
  <c r="AA55" i="2"/>
  <c r="AN54" i="2"/>
  <c r="AO54" i="2"/>
  <c r="V55" i="2"/>
  <c r="Z55" i="2"/>
  <c r="T55" i="2"/>
  <c r="S55" i="2"/>
  <c r="U55" i="2"/>
  <c r="U18" i="2"/>
  <c r="T18" i="2"/>
  <c r="AN17" i="2"/>
  <c r="AO17" i="2"/>
  <c r="AA18" i="2"/>
  <c r="S18" i="2"/>
  <c r="V18" i="2"/>
  <c r="Z18" i="2"/>
  <c r="O18" i="10"/>
  <c r="O17" i="10"/>
  <c r="U97" i="2"/>
  <c r="T97" i="2"/>
  <c r="AA97" i="2"/>
  <c r="AN96" i="2"/>
  <c r="Z97" i="2"/>
  <c r="S97" i="2"/>
  <c r="V97" i="2"/>
  <c r="AO96" i="2"/>
  <c r="U61" i="2"/>
  <c r="T61" i="2"/>
  <c r="Z61" i="2"/>
  <c r="AN60" i="2"/>
  <c r="AA61" i="2"/>
  <c r="S25" i="2"/>
  <c r="T25" i="2"/>
  <c r="S61" i="2"/>
  <c r="V61" i="2"/>
  <c r="AO60" i="2"/>
  <c r="P19" i="4"/>
  <c r="Q19" i="4"/>
  <c r="R19" i="4"/>
  <c r="P23" i="4"/>
  <c r="Q23" i="4"/>
  <c r="R23" i="4"/>
  <c r="P26" i="4"/>
  <c r="Q26" i="4"/>
  <c r="R26" i="4"/>
  <c r="P18" i="4"/>
  <c r="Q18" i="4"/>
  <c r="P17" i="4"/>
  <c r="Q17" i="4"/>
  <c r="R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9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<sst xmlns="http://schemas.openxmlformats.org/spreadsheetml/2006/main" count="7510" uniqueCount="1708">
  <si>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</si>
  <si>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</si>
  <si>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</si>
  <si>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</si>
  <si>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</si>
  <si>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</si>
  <si>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</si>
  <si>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</si>
  <si>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</si>
  <si>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</si>
  <si>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</si>
  <si>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</si>
  <si>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</si>
  <si>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</si>
  <si>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</si>
  <si>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</si>
  <si>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</si>
  <si>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</si>
  <si>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</si>
  <si>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</si>
  <si>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</si>
  <si>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</si>
  <si>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</si>
  <si>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</si>
  <si>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</si>
  <si>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</si>
  <si>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</si>
  <si>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</si>
  <si>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</si>
  <si>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</si>
  <si>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</si>
  <si>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</si>
  <si>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</si>
  <si>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</si>
  <si>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</si>
  <si>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</si>
  <si>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</si>
  <si>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</si>
  <si>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</si>
  <si>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</si>
  <si>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</si>
  <si>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</si>
  <si>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</si>
  <si>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</si>
  <si>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</si>
  <si>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</si>
  <si>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</si>
  <si>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</si>
  <si>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</si>
  <si>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</si>
  <si>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</si>
  <si>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</si>
  <si>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</si>
  <si>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</si>
  <si>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</si>
  <si>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</si>
  <si>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>Enero</t>
  </si>
  <si>
    <t>Completado</t>
  </si>
  <si>
    <t>Y-PP02</t>
  </si>
  <si>
    <t>PARCHES AUXILIAR PARA GRANITOS ESTRELLAS</t>
  </si>
  <si>
    <t>#VALUE!</t>
  </si>
  <si>
    <t>36 Parches</t>
  </si>
  <si>
    <t>Yuya</t>
  </si>
  <si>
    <t>Multicanal</t>
  </si>
  <si>
    <t>USD</t>
  </si>
  <si>
    <t>Garnier $150
StarFace $300</t>
  </si>
  <si>
    <t>Color</t>
  </si>
  <si>
    <t>CN</t>
  </si>
  <si>
    <t>Terminado</t>
  </si>
  <si>
    <t>N/A</t>
  </si>
  <si>
    <t>Y-PP03</t>
  </si>
  <si>
    <t>PARCHES AUXILIAR PARA GRANITOS CORAZONES</t>
  </si>
  <si>
    <t>24 Parches</t>
  </si>
  <si>
    <t>Y-PP04</t>
  </si>
  <si>
    <t>PARCHES AUXILIAR PARA GRANITOS FLORES CON DIAMANTES</t>
  </si>
  <si>
    <t xml:space="preserve">TBC </t>
  </si>
  <si>
    <t>Julio</t>
  </si>
  <si>
    <t>En tiempo</t>
  </si>
  <si>
    <t>Y-PCC001</t>
  </si>
  <si>
    <t>BRUMA PARA CUERPO Y CABELLO "Viento"</t>
  </si>
  <si>
    <t>100 mL</t>
  </si>
  <si>
    <t>MXN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</si>
  <si>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</si>
  <si>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</si>
  <si>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</si>
  <si>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</si>
  <si>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</si>
  <si>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</si>
  <si>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</si>
  <si>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</si>
  <si>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</si>
  <si>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</si>
  <si>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</si>
  <si>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</si>
  <si>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</si>
  <si>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</si>
  <si>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</si>
  <si>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</si>
  <si>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</si>
  <si>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MX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</si>
  <si>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</si>
  <si>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</si>
  <si>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</si>
  <si>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</si>
  <si>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</si>
  <si>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</si>
  <si>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</si>
  <si>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</si>
  <si>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</si>
  <si>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Sasu-Ari Glz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</si>
  <si>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</si>
  <si>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</si>
  <si>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</si>
  <si>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</si>
  <si>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</si>
  <si>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</si>
  <si>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</si>
  <si>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</si>
  <si>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</si>
  <si>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</si>
  <si>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</si>
  <si>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</si>
  <si>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</si>
  <si>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</si>
  <si>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</si>
  <si>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</si>
  <si>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</si>
  <si>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</si>
  <si>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</si>
  <si>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</si>
  <si>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</si>
  <si>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</si>
  <si>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</si>
  <si>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</si>
  <si>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</si>
  <si>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</si>
  <si>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</si>
  <si>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</si>
  <si>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</si>
  <si>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</si>
  <si>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</si>
  <si>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</si>
  <si>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</si>
  <si>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</si>
  <si>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</si>
  <si>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</si>
  <si>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</si>
  <si>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</si>
  <si>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</si>
  <si>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</si>
  <si>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NP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</si>
  <si>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</si>
  <si>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</si>
  <si>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</si>
  <si>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</si>
  <si>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</si>
  <si>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</si>
  <si>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</si>
  <si>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</si>
  <si>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</si>
  <si>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</si>
  <si>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</si>
  <si>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</si>
  <si>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</si>
  <si>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</si>
  <si>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</si>
  <si>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</si>
  <si>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</si>
  <si>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</si>
  <si>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</si>
  <si>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</si>
  <si>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</si>
  <si>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Sets Fin de año</t>
  </si>
  <si>
    <t>Falta autorización de espejo</t>
  </si>
  <si>
    <t>Septiembre</t>
  </si>
  <si>
    <t>Forecast para PO</t>
  </si>
  <si>
    <t>TBC</t>
  </si>
  <si>
    <t>Y-TC03</t>
  </si>
  <si>
    <t>GEL LIMPIADOR FACIAL Y CORPORAL</t>
  </si>
  <si>
    <t>OGX $148
Tree Hut $178
Dove $294</t>
  </si>
  <si>
    <t>Trabajando en igualación de fragancias.</t>
  </si>
  <si>
    <t>Autorización de fórmula y fragancia</t>
  </si>
  <si>
    <t>Y-SBR01</t>
  </si>
  <si>
    <t>Set brochas departamental (10 piezas)</t>
  </si>
  <si>
    <t>10 brochas</t>
  </si>
  <si>
    <t>Beauty Creations $599
Cosmetic Lab $249
ProCore $279</t>
  </si>
  <si>
    <t>Elección de brochas del set de 24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</si>
  <si>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</si>
  <si>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</si>
  <si>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</si>
  <si>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</si>
  <si>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</si>
  <si>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</si>
  <si>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</si>
  <si>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</si>
  <si>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</si>
  <si>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</si>
  <si>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</si>
  <si>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</si>
  <si>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</si>
  <si>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</si>
  <si>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</si>
  <si>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</si>
  <si>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</si>
  <si>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</si>
  <si>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</si>
  <si>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</si>
  <si>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</si>
  <si>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</si>
  <si>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Y-SH04</t>
  </si>
  <si>
    <t>Shampoo Nuevo</t>
  </si>
  <si>
    <t>Elvive $85
Sedal $85
Grisi $85</t>
  </si>
  <si>
    <t>Falta autorización de fórmula y fragancia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</si>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</sst>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1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Border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313920</xdr:colOff>
      <xdr:row>96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313920</xdr:colOff>
      <xdr:row>62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313920</xdr:colOff>
      <xdr:row>60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313920</xdr:colOff>
      <xdr:row>61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66087060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7894796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66087060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7883564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776720" y="873180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182265" y="396125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776720" y="873371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26</xdr:row>
      <xdr:rowOff>104565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26</xdr:row>
      <xdr:rowOff>104565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20</xdr:col>
      <xdr:colOff>323640</xdr:colOff>
      <xdr:row>33</xdr:row>
      <xdr:rowOff>104565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20</xdr:col>
      <xdr:colOff>323640</xdr:colOff>
      <xdr:row>33</xdr:row>
      <xdr:rowOff>104565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20</xdr:col>
      <xdr:colOff>323640</xdr:colOff>
      <xdr:row>33</xdr:row>
      <xdr:rowOff>104565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26</xdr:row>
      <xdr:rowOff>104565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28</xdr:row>
      <xdr:rowOff>0</xdr:rowOff>
    </xdr:from>
    <xdr:to>
      <xdr:col>20</xdr:col>
      <xdr:colOff>323640</xdr:colOff>
      <xdr:row>28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323640</xdr:colOff>
      <xdr:row>17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323640</xdr:colOff>
      <xdr:row>17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323640</xdr:colOff>
      <xdr:row>17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21</xdr:row>
      <xdr:rowOff>0</xdr:rowOff>
    </xdr:from>
    <xdr:to>
      <xdr:col>20</xdr:col>
      <xdr:colOff>323640</xdr:colOff>
      <xdr:row>22</xdr:row>
      <xdr:rowOff>104565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20</xdr:col>
      <xdr:colOff>323640</xdr:colOff>
      <xdr:row>25</xdr:row>
      <xdr:rowOff>104565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37</xdr:row>
      <xdr:rowOff>0</xdr:rowOff>
    </xdr:from>
    <xdr:to>
      <xdr:col>20</xdr:col>
      <xdr:colOff>323640</xdr:colOff>
      <xdr:row>37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37</xdr:row>
      <xdr:rowOff>0</xdr:rowOff>
    </xdr:from>
    <xdr:to>
      <xdr:col>20</xdr:col>
      <xdr:colOff>323640</xdr:colOff>
      <xdr:row>37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37</xdr:row>
      <xdr:rowOff>0</xdr:rowOff>
    </xdr:from>
    <xdr:to>
      <xdr:col>20</xdr:col>
      <xdr:colOff>323640</xdr:colOff>
      <xdr:row>37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42</xdr:row>
      <xdr:rowOff>0</xdr:rowOff>
    </xdr:from>
    <xdr:to>
      <xdr:col>20</xdr:col>
      <xdr:colOff>323640</xdr:colOff>
      <xdr:row>43</xdr:row>
      <xdr:rowOff>104565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42</xdr:row>
      <xdr:rowOff>0</xdr:rowOff>
    </xdr:from>
    <xdr:to>
      <xdr:col>20</xdr:col>
      <xdr:colOff>323640</xdr:colOff>
      <xdr:row>43</xdr:row>
      <xdr:rowOff>104565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42</xdr:row>
      <xdr:rowOff>0</xdr:rowOff>
    </xdr:from>
    <xdr:to>
      <xdr:col>20</xdr:col>
      <xdr:colOff>323640</xdr:colOff>
      <xdr:row>43</xdr:row>
      <xdr:rowOff>104565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28</xdr:row>
      <xdr:rowOff>0</xdr:rowOff>
    </xdr:from>
    <xdr:to>
      <xdr:col>20</xdr:col>
      <xdr:colOff>313920</xdr:colOff>
      <xdr:row>28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8"/>
  <sheetViews>
    <sheetView topLeftCell="G1" zoomScale="40" zoomScaleNormal="40" workbookViewId="0">
      <selection activeCell="AC35" sqref="AC35"/>
    </sheetView>
  </sheetViews>
  <sheetFormatPr defaultColWidth="11.5703125" defaultRowHeight="12"/>
  <cols>
    <col min="1" max="1" width="4" style="262" bestFit="1" customWidth="1"/>
    <col min="2" max="2" width="15.85546875" style="262" customWidth="1"/>
    <col min="3" max="3" width="13.140625" style="262" customWidth="1"/>
    <col min="4" max="4" width="13.85546875" style="262" bestFit="1" customWidth="1"/>
    <col min="5" max="5" width="17.5703125" style="262" bestFit="1" customWidth="1"/>
    <col min="6" max="6" width="18.5703125" style="262" bestFit="1" customWidth="1"/>
    <col min="7" max="7" width="27.85546875" style="262" customWidth="1"/>
    <col min="8" max="8" width="9.5703125" style="262" bestFit="1" customWidth="1"/>
    <col min="9" max="9" width="23.7109375" style="262" hidden="1" customWidth="1"/>
    <col min="10" max="10" width="6.28515625" style="262" bestFit="1" customWidth="1"/>
    <col min="11" max="11" width="26.5703125" style="262" hidden="1" customWidth="1"/>
    <col min="12" max="12" width="11.140625" style="262" hidden="1" customWidth="1"/>
    <col min="13" max="13" width="9.28515625" style="262" hidden="1" customWidth="1"/>
    <col min="14" max="14" width="6.5703125" style="262" hidden="1" customWidth="1"/>
    <col min="15" max="15" width="8.140625" style="262" hidden="1" customWidth="1"/>
    <col min="16" max="16" width="9.28515625" style="262" hidden="1" customWidth="1"/>
    <col min="17" max="18" width="8.140625" style="262" hidden="1" customWidth="1"/>
    <col min="19" max="20" width="10.5703125" style="262" bestFit="1" customWidth="1"/>
    <col min="21" max="21" width="11.85546875" style="262" customWidth="1"/>
    <col min="22" max="22" width="10.5703125" style="262" bestFit="1" customWidth="1"/>
    <col min="23" max="23" width="9.5703125" style="262" customWidth="1"/>
    <col min="24" max="24" width="12.5703125" style="262" customWidth="1"/>
    <col min="25" max="25" width="13.42578125" style="262" bestFit="1" customWidth="1"/>
    <col min="26" max="26" width="11.140625" style="262" bestFit="1" customWidth="1"/>
    <col min="27" max="27" width="8.85546875" style="262" bestFit="1" customWidth="1"/>
    <col min="28" max="28" width="25.42578125" style="262" hidden="1" customWidth="1"/>
    <col min="29" max="29" width="43.7109375" style="262" hidden="1" customWidth="1"/>
    <col min="30" max="30" width="18" style="262" customWidth="1"/>
    <col min="31" max="52" width="2.42578125" style="262" customWidth="1"/>
    <col min="53" max="64" width="11.85546875" style="262" customWidth="1"/>
    <col min="65" max="70" width="2.85546875" style="256" customWidth="1"/>
    <col min="71" max="74" width="13" style="308" customWidth="1"/>
    <col min="75" max="87" width="3.42578125" style="262" customWidth="1"/>
    <col min="88" max="88" width="13" style="308" bestFit="1" customWidth="1"/>
    <col min="89" max="89" width="11.140625" style="308" bestFit="1" customWidth="1"/>
    <col min="90" max="90" width="19.140625" style="308" bestFit="1" customWidth="1"/>
    <col min="91" max="91" width="11.140625" style="308" bestFit="1" customWidth="1"/>
    <col min="92" max="92" width="27.85546875" style="308" bestFit="1" customWidth="1"/>
    <col min="93" max="93" width="11.140625" style="308" bestFit="1" customWidth="1"/>
    <col min="94" max="94" width="20" style="262" bestFit="1" customWidth="1"/>
    <col min="95" max="95" width="12.85546875" style="262" bestFit="1" customWidth="1"/>
    <col min="96" max="96" width="32" style="262" bestFit="1" customWidth="1"/>
    <col min="97" max="97" width="6.85546875" style="262" bestFit="1" customWidth="1"/>
    <col min="98" max="98" width="28.28515625" style="262" bestFit="1" customWidth="1"/>
    <col min="99" max="99" width="6.85546875" style="262" bestFit="1" customWidth="1"/>
    <col min="100" max="100" width="17" style="262" bestFit="1" customWidth="1"/>
    <col min="101" max="101" width="6.85546875" style="262" bestFit="1" customWidth="1"/>
    <col min="102" max="102" width="24.5703125" style="262" bestFit="1" customWidth="1"/>
    <col min="103" max="103" width="6.85546875" style="262" bestFit="1" customWidth="1"/>
    <col min="104" max="104" width="35.42578125" style="262" customWidth="1"/>
    <col min="105" max="105" width="6.85546875" style="262" bestFit="1" customWidth="1"/>
    <col min="106" max="16384" width="11.570312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05" t="s">
        <v>0</v>
      </c>
      <c r="CK14" s="506"/>
      <c r="CL14" s="506"/>
      <c r="CM14" s="506"/>
      <c r="CN14" s="506"/>
      <c r="CO14" s="506"/>
      <c r="CP14" s="506"/>
      <c r="CQ14" s="506"/>
      <c r="CR14" s="506"/>
      <c r="CS14" s="506"/>
      <c r="CT14" s="506"/>
      <c r="CU14" s="506"/>
      <c r="CV14" s="506"/>
      <c r="CW14" s="506"/>
      <c r="CX14" s="506"/>
      <c r="CY14" s="506"/>
      <c r="CZ14" s="506"/>
      <c r="DA14" s="506"/>
    </row>
    <row r="15" spans="1:105" s="256" customFormat="1" ht="12.75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63.7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51">
      <c r="A17" s="265">
        <v>1</v>
      </c>
      <c r="B17" s="266">
        <v>46044</v>
      </c>
      <c r="C17" s="266" t="s">
        <v>56</v>
      </c>
      <c r="D17" s="266" t="s">
        <v>57</v>
      </c>
      <c r="E17" s="267">
        <v>7506110695028</v>
      </c>
      <c r="F17" s="267" t="s">
        <v>58</v>
      </c>
      <c r="G17" s="268" t="s">
        <v>59</v>
      </c>
      <c r="H17" s="269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64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65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44" si="0">SUM(BA17:BI17)</f>
        <v>9</v>
      </c>
      <c r="BL17" s="281">
        <f t="shared" ref="BL17:BL44" si="1">+BK17/BJ17</f>
        <v>1</v>
      </c>
      <c r="BM17" s="282"/>
      <c r="BN17" s="282"/>
      <c r="BO17" s="282"/>
      <c r="BP17" s="282"/>
      <c r="BQ17" s="282"/>
      <c r="BR17" s="282"/>
      <c r="BS17" s="283" t="s">
        <v>68</v>
      </c>
      <c r="BT17" s="310">
        <f>+AD17</f>
        <v>45992</v>
      </c>
      <c r="BU17" s="310"/>
      <c r="BV17" s="283" t="s">
        <v>69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51">
      <c r="A18" s="265">
        <v>2</v>
      </c>
      <c r="B18" s="266">
        <v>46044</v>
      </c>
      <c r="C18" s="266" t="s">
        <v>56</v>
      </c>
      <c r="D18" s="266" t="s">
        <v>57</v>
      </c>
      <c r="E18" s="267">
        <v>7506110695035</v>
      </c>
      <c r="F18" s="267" t="s">
        <v>70</v>
      </c>
      <c r="G18" s="268" t="s">
        <v>71</v>
      </c>
      <c r="H18" s="269" t="s">
        <v>60</v>
      </c>
      <c r="I18" s="270" t="s">
        <v>72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64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65</v>
      </c>
      <c r="U18" s="277">
        <v>89</v>
      </c>
      <c r="V18" s="275">
        <f t="shared" ref="V18:V68" si="2">(U18/1.16)*0.6</f>
        <v>46.03448275862069</v>
      </c>
      <c r="W18" s="278">
        <f t="shared" ref="W18:W68" si="3">+S18/V18</f>
        <v>0.21940074906367041</v>
      </c>
      <c r="X18" s="279">
        <f t="shared" ref="X18:X68" si="4">1-(S18/V18)</f>
        <v>0.78059925093632954</v>
      </c>
      <c r="Y18" s="280">
        <v>0.4</v>
      </c>
      <c r="Z18" s="271" t="s">
        <v>66</v>
      </c>
      <c r="AA18" s="274" t="s">
        <v>67</v>
      </c>
      <c r="AB18" s="272"/>
      <c r="AC18" s="267" t="s">
        <v>68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68</v>
      </c>
      <c r="BT18" s="310">
        <f t="shared" ref="BT18:BT68" si="5">+AD18</f>
        <v>45992</v>
      </c>
      <c r="BU18" s="310"/>
      <c r="BV18" s="283" t="s">
        <v>69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51">
      <c r="A19" s="265">
        <v>3</v>
      </c>
      <c r="B19" s="266">
        <v>46044</v>
      </c>
      <c r="C19" s="266" t="s">
        <v>56</v>
      </c>
      <c r="D19" s="266" t="s">
        <v>57</v>
      </c>
      <c r="E19" s="267">
        <v>7506110695042</v>
      </c>
      <c r="F19" s="267" t="s">
        <v>73</v>
      </c>
      <c r="G19" s="268" t="s">
        <v>74</v>
      </c>
      <c r="H19" s="269" t="s">
        <v>60</v>
      </c>
      <c r="I19" s="270" t="s">
        <v>72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64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65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67</v>
      </c>
      <c r="AB19" s="272"/>
      <c r="AC19" s="267" t="s">
        <v>68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68</v>
      </c>
      <c r="BT19" s="310">
        <f t="shared" si="5"/>
        <v>45992</v>
      </c>
      <c r="BU19" s="310"/>
      <c r="BV19" s="283" t="s">
        <v>69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76.5">
      <c r="A20" s="271">
        <v>4</v>
      </c>
      <c r="B20" s="287" t="s">
        <v>75</v>
      </c>
      <c r="C20" s="288" t="s">
        <v>76</v>
      </c>
      <c r="D20" s="287" t="s">
        <v>77</v>
      </c>
      <c r="E20" s="267">
        <v>7506110691679</v>
      </c>
      <c r="F20" s="267" t="s">
        <v>78</v>
      </c>
      <c r="G20" s="268" t="s">
        <v>79</v>
      </c>
      <c r="H20" s="289" t="s">
        <v>60</v>
      </c>
      <c r="I20" s="270" t="s">
        <v>80</v>
      </c>
      <c r="J20" s="271" t="s">
        <v>62</v>
      </c>
      <c r="K20" s="272" t="s">
        <v>63</v>
      </c>
      <c r="L20" s="268">
        <v>1</v>
      </c>
      <c r="M20" s="290">
        <v>22.81</v>
      </c>
      <c r="N20" s="274" t="s">
        <v>81</v>
      </c>
      <c r="O20" s="274">
        <v>35000</v>
      </c>
      <c r="P20" s="290">
        <v>0</v>
      </c>
      <c r="Q20" s="275"/>
      <c r="R20" s="275"/>
      <c r="S20" s="290">
        <v>22.81</v>
      </c>
      <c r="T20" s="276" t="s">
        <v>82</v>
      </c>
      <c r="U20" s="277">
        <v>219</v>
      </c>
      <c r="V20" s="275">
        <f t="shared" si="2"/>
        <v>113.27586206896552</v>
      </c>
      <c r="W20" s="278">
        <f>+S20/V20</f>
        <v>0.20136681887366817</v>
      </c>
      <c r="X20" s="279">
        <f t="shared" si="4"/>
        <v>0.79863318112633186</v>
      </c>
      <c r="Y20" s="280">
        <v>0.4</v>
      </c>
      <c r="Z20" s="271" t="s">
        <v>83</v>
      </c>
      <c r="AA20" s="274" t="s">
        <v>84</v>
      </c>
      <c r="AB20" s="272"/>
      <c r="AC20" s="272" t="s">
        <v>85</v>
      </c>
      <c r="AD20" s="291">
        <v>46230</v>
      </c>
      <c r="BA20" s="288">
        <v>1</v>
      </c>
      <c r="BB20" s="288">
        <v>1</v>
      </c>
      <c r="BC20" s="288">
        <v>1</v>
      </c>
      <c r="BD20" s="288">
        <v>1</v>
      </c>
      <c r="BE20" s="288">
        <v>1</v>
      </c>
      <c r="BF20" s="288">
        <v>1</v>
      </c>
      <c r="BG20" s="288">
        <v>1</v>
      </c>
      <c r="BH20" s="288"/>
      <c r="BI20" s="267"/>
      <c r="BJ20" s="267">
        <v>9</v>
      </c>
      <c r="BK20" s="267">
        <f t="shared" si="0"/>
        <v>7</v>
      </c>
      <c r="BL20" s="281">
        <f t="shared" si="1"/>
        <v>0.77777777777777779</v>
      </c>
      <c r="BM20" s="282"/>
      <c r="BN20" s="282"/>
      <c r="BO20" s="282"/>
      <c r="BP20" s="282"/>
      <c r="BQ20" s="282"/>
      <c r="BR20" s="282"/>
      <c r="BS20" s="283" t="s">
        <v>85</v>
      </c>
      <c r="BT20" s="310">
        <f>+AD20</f>
        <v>46230</v>
      </c>
      <c r="BU20" s="310"/>
      <c r="BV20" s="283" t="s">
        <v>86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63.75">
      <c r="A21" s="271">
        <v>5</v>
      </c>
      <c r="B21" s="287" t="s">
        <v>75</v>
      </c>
      <c r="C21" s="288" t="s">
        <v>76</v>
      </c>
      <c r="D21" s="287" t="s">
        <v>77</v>
      </c>
      <c r="E21" s="267">
        <v>7506110691686</v>
      </c>
      <c r="F21" s="267" t="s">
        <v>87</v>
      </c>
      <c r="G21" s="268" t="s">
        <v>88</v>
      </c>
      <c r="H21" s="289" t="s">
        <v>60</v>
      </c>
      <c r="I21" s="270" t="s">
        <v>80</v>
      </c>
      <c r="J21" s="271" t="s">
        <v>62</v>
      </c>
      <c r="K21" s="272" t="s">
        <v>63</v>
      </c>
      <c r="L21" s="268">
        <v>1</v>
      </c>
      <c r="M21" s="290">
        <v>22.95</v>
      </c>
      <c r="N21" s="274" t="s">
        <v>81</v>
      </c>
      <c r="O21" s="274">
        <v>35000</v>
      </c>
      <c r="P21" s="290">
        <v>0</v>
      </c>
      <c r="Q21" s="275"/>
      <c r="R21" s="275"/>
      <c r="S21" s="290">
        <v>22.95</v>
      </c>
      <c r="T21" s="276" t="s">
        <v>89</v>
      </c>
      <c r="U21" s="277">
        <v>219</v>
      </c>
      <c r="V21" s="275">
        <f t="shared" si="2"/>
        <v>113.27586206896552</v>
      </c>
      <c r="W21" s="278">
        <f t="shared" si="3"/>
        <v>0.20260273972602738</v>
      </c>
      <c r="X21" s="279">
        <f t="shared" si="4"/>
        <v>0.79739726027397262</v>
      </c>
      <c r="Y21" s="280">
        <v>0.4</v>
      </c>
      <c r="Z21" s="271" t="s">
        <v>83</v>
      </c>
      <c r="AA21" s="274" t="s">
        <v>84</v>
      </c>
      <c r="AB21" s="272"/>
      <c r="AC21" s="272" t="s">
        <v>85</v>
      </c>
      <c r="AD21" s="291">
        <v>46230</v>
      </c>
      <c r="BA21" s="288">
        <v>1</v>
      </c>
      <c r="BB21" s="288">
        <v>1</v>
      </c>
      <c r="BC21" s="288">
        <v>1</v>
      </c>
      <c r="BD21" s="288">
        <v>1</v>
      </c>
      <c r="BE21" s="288">
        <v>1</v>
      </c>
      <c r="BF21" s="288">
        <v>1</v>
      </c>
      <c r="BG21" s="288">
        <v>1</v>
      </c>
      <c r="BH21" s="288"/>
      <c r="BI21" s="267"/>
      <c r="BJ21" s="267">
        <v>9</v>
      </c>
      <c r="BK21" s="267">
        <f t="shared" si="0"/>
        <v>7</v>
      </c>
      <c r="BL21" s="281">
        <f t="shared" si="1"/>
        <v>0.77777777777777779</v>
      </c>
      <c r="BM21" s="282"/>
      <c r="BN21" s="282"/>
      <c r="BO21" s="282"/>
      <c r="BP21" s="282"/>
      <c r="BQ21" s="282"/>
      <c r="BR21" s="282"/>
      <c r="BS21" s="283" t="s">
        <v>85</v>
      </c>
      <c r="BT21" s="310">
        <f>+AD21</f>
        <v>46230</v>
      </c>
      <c r="BU21" s="310"/>
      <c r="BV21" s="283" t="s">
        <v>86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63.75">
      <c r="A22" s="271">
        <v>6</v>
      </c>
      <c r="B22" s="287" t="s">
        <v>75</v>
      </c>
      <c r="C22" s="288" t="s">
        <v>76</v>
      </c>
      <c r="D22" s="287" t="s">
        <v>77</v>
      </c>
      <c r="E22" s="292">
        <v>7506110693925</v>
      </c>
      <c r="F22" s="267" t="s">
        <v>90</v>
      </c>
      <c r="G22" s="268" t="s">
        <v>91</v>
      </c>
      <c r="H22" s="289" t="s">
        <v>60</v>
      </c>
      <c r="I22" s="270" t="s">
        <v>80</v>
      </c>
      <c r="J22" s="271" t="s">
        <v>62</v>
      </c>
      <c r="K22" s="272" t="s">
        <v>63</v>
      </c>
      <c r="L22" s="268">
        <v>1</v>
      </c>
      <c r="M22" s="290">
        <v>23.64</v>
      </c>
      <c r="N22" s="274" t="s">
        <v>81</v>
      </c>
      <c r="O22" s="274">
        <v>35000</v>
      </c>
      <c r="P22" s="290">
        <v>0</v>
      </c>
      <c r="Q22" s="275"/>
      <c r="R22" s="275"/>
      <c r="S22" s="290">
        <v>23.64</v>
      </c>
      <c r="T22" s="276" t="s">
        <v>89</v>
      </c>
      <c r="U22" s="277">
        <v>219</v>
      </c>
      <c r="V22" s="275">
        <f t="shared" si="2"/>
        <v>113.27586206896552</v>
      </c>
      <c r="W22" s="278">
        <f t="shared" si="3"/>
        <v>0.20869406392694062</v>
      </c>
      <c r="X22" s="279">
        <f t="shared" si="4"/>
        <v>0.79130593607305943</v>
      </c>
      <c r="Y22" s="280">
        <v>0.4</v>
      </c>
      <c r="Z22" s="271" t="s">
        <v>83</v>
      </c>
      <c r="AA22" s="274" t="s">
        <v>84</v>
      </c>
      <c r="AB22" s="272"/>
      <c r="AC22" s="272" t="s">
        <v>85</v>
      </c>
      <c r="AD22" s="291">
        <v>46230</v>
      </c>
      <c r="BA22" s="288">
        <v>1</v>
      </c>
      <c r="BB22" s="288">
        <v>1</v>
      </c>
      <c r="BC22" s="288">
        <v>1</v>
      </c>
      <c r="BD22" s="288">
        <v>1</v>
      </c>
      <c r="BE22" s="288">
        <v>1</v>
      </c>
      <c r="BF22" s="288">
        <v>1</v>
      </c>
      <c r="BG22" s="288">
        <v>1</v>
      </c>
      <c r="BH22" s="288"/>
      <c r="BI22" s="288"/>
      <c r="BJ22" s="267">
        <v>9</v>
      </c>
      <c r="BK22" s="267">
        <f t="shared" si="0"/>
        <v>7</v>
      </c>
      <c r="BL22" s="281">
        <f t="shared" si="1"/>
        <v>0.77777777777777779</v>
      </c>
      <c r="BM22" s="282"/>
      <c r="BN22" s="282"/>
      <c r="BO22" s="282"/>
      <c r="BP22" s="282"/>
      <c r="BQ22" s="282"/>
      <c r="BR22" s="282"/>
      <c r="BS22" s="283" t="s">
        <v>85</v>
      </c>
      <c r="BT22" s="310">
        <f>+AD22</f>
        <v>46230</v>
      </c>
      <c r="BU22" s="310"/>
      <c r="BV22" s="283" t="s">
        <v>86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3.75">
      <c r="A23" s="271">
        <v>7</v>
      </c>
      <c r="B23" s="287" t="s">
        <v>75</v>
      </c>
      <c r="C23" s="288" t="s">
        <v>76</v>
      </c>
      <c r="D23" s="287" t="s">
        <v>77</v>
      </c>
      <c r="E23" s="292">
        <v>7506110693932</v>
      </c>
      <c r="F23" s="267" t="s">
        <v>92</v>
      </c>
      <c r="G23" s="268" t="s">
        <v>93</v>
      </c>
      <c r="H23" s="289" t="s">
        <v>60</v>
      </c>
      <c r="I23" s="270" t="s">
        <v>80</v>
      </c>
      <c r="J23" s="271" t="s">
        <v>62</v>
      </c>
      <c r="K23" s="272" t="s">
        <v>63</v>
      </c>
      <c r="L23" s="268">
        <v>1</v>
      </c>
      <c r="M23" s="290">
        <v>23.57</v>
      </c>
      <c r="N23" s="274" t="s">
        <v>81</v>
      </c>
      <c r="O23" s="274">
        <v>35000</v>
      </c>
      <c r="P23" s="290">
        <v>0</v>
      </c>
      <c r="Q23" s="275"/>
      <c r="R23" s="275"/>
      <c r="S23" s="290">
        <v>23.57</v>
      </c>
      <c r="T23" s="276" t="s">
        <v>89</v>
      </c>
      <c r="U23" s="277">
        <v>219</v>
      </c>
      <c r="V23" s="275">
        <f t="shared" si="2"/>
        <v>113.27586206896552</v>
      </c>
      <c r="W23" s="278">
        <f t="shared" si="3"/>
        <v>0.20807610350076103</v>
      </c>
      <c r="X23" s="279">
        <f t="shared" si="4"/>
        <v>0.791923896499239</v>
      </c>
      <c r="Y23" s="280">
        <v>0.4</v>
      </c>
      <c r="Z23" s="271" t="s">
        <v>83</v>
      </c>
      <c r="AA23" s="274" t="s">
        <v>84</v>
      </c>
      <c r="AB23" s="272"/>
      <c r="AC23" s="272" t="s">
        <v>85</v>
      </c>
      <c r="AD23" s="291">
        <v>46230</v>
      </c>
      <c r="BA23" s="288">
        <v>1</v>
      </c>
      <c r="BB23" s="288">
        <v>1</v>
      </c>
      <c r="BC23" s="288">
        <v>1</v>
      </c>
      <c r="BD23" s="288">
        <v>1</v>
      </c>
      <c r="BE23" s="288">
        <v>1</v>
      </c>
      <c r="BF23" s="288">
        <v>1</v>
      </c>
      <c r="BG23" s="288">
        <v>1</v>
      </c>
      <c r="BH23" s="288"/>
      <c r="BI23" s="288"/>
      <c r="BJ23" s="267">
        <v>9</v>
      </c>
      <c r="BK23" s="267">
        <f t="shared" si="0"/>
        <v>7</v>
      </c>
      <c r="BL23" s="281">
        <f t="shared" si="1"/>
        <v>0.77777777777777779</v>
      </c>
      <c r="BM23" s="282"/>
      <c r="BN23" s="282"/>
      <c r="BO23" s="282"/>
      <c r="BP23" s="282"/>
      <c r="BQ23" s="282"/>
      <c r="BR23" s="282"/>
      <c r="BS23" s="283" t="s">
        <v>85</v>
      </c>
      <c r="BT23" s="310">
        <f>+AD23</f>
        <v>46230</v>
      </c>
      <c r="BU23" s="310"/>
      <c r="BV23" s="283" t="s">
        <v>86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1">
      <c r="A24" s="271">
        <v>8</v>
      </c>
      <c r="B24" s="287" t="s">
        <v>75</v>
      </c>
      <c r="C24" s="288" t="s">
        <v>94</v>
      </c>
      <c r="D24" s="287" t="s">
        <v>77</v>
      </c>
      <c r="E24" s="292">
        <v>7502327990765</v>
      </c>
      <c r="F24" s="267" t="s">
        <v>95</v>
      </c>
      <c r="G24" s="268" t="s">
        <v>96</v>
      </c>
      <c r="H24" s="293"/>
      <c r="I24" s="270" t="s">
        <v>97</v>
      </c>
      <c r="J24" s="271" t="s">
        <v>62</v>
      </c>
      <c r="K24" s="272" t="s">
        <v>63</v>
      </c>
      <c r="L24" s="268">
        <v>1</v>
      </c>
      <c r="M24" s="273">
        <v>0.17</v>
      </c>
      <c r="N24" s="274" t="s">
        <v>64</v>
      </c>
      <c r="O24" s="274">
        <v>25000</v>
      </c>
      <c r="P24" s="275">
        <f>M24*18.5</f>
        <v>3.145</v>
      </c>
      <c r="Q24" s="294"/>
      <c r="R24" s="275">
        <v>0.1053</v>
      </c>
      <c r="S24" s="275">
        <f>P24+R24</f>
        <v>3.2503000000000002</v>
      </c>
      <c r="T24" s="276" t="s">
        <v>98</v>
      </c>
      <c r="U24" s="277">
        <v>59</v>
      </c>
      <c r="V24" s="275">
        <f t="shared" si="2"/>
        <v>30.517241379310345</v>
      </c>
      <c r="W24" s="278">
        <f t="shared" si="3"/>
        <v>0.10650700564971752</v>
      </c>
      <c r="X24" s="279">
        <f t="shared" si="4"/>
        <v>0.89349299435028251</v>
      </c>
      <c r="Y24" s="280">
        <v>0.4</v>
      </c>
      <c r="Z24" s="271" t="s">
        <v>66</v>
      </c>
      <c r="AA24" s="274" t="s">
        <v>99</v>
      </c>
      <c r="AB24" s="272"/>
      <c r="AC24" s="272" t="s">
        <v>85</v>
      </c>
      <c r="AD24" s="291">
        <v>46207</v>
      </c>
      <c r="BA24" s="288">
        <v>1</v>
      </c>
      <c r="BB24" s="288">
        <v>1</v>
      </c>
      <c r="BC24" s="288">
        <v>1</v>
      </c>
      <c r="BD24" s="288">
        <v>1</v>
      </c>
      <c r="BE24" s="288">
        <v>1</v>
      </c>
      <c r="BF24" s="288">
        <v>1</v>
      </c>
      <c r="BG24" s="288">
        <v>1</v>
      </c>
      <c r="BH24" s="288"/>
      <c r="BI24" s="267"/>
      <c r="BJ24" s="267">
        <v>9</v>
      </c>
      <c r="BK24" s="267">
        <f t="shared" si="0"/>
        <v>7</v>
      </c>
      <c r="BL24" s="281">
        <f t="shared" si="1"/>
        <v>0.77777777777777779</v>
      </c>
      <c r="BM24" s="282"/>
      <c r="BN24" s="282"/>
      <c r="BO24" s="282"/>
      <c r="BP24" s="282"/>
      <c r="BQ24" s="282"/>
      <c r="BR24" s="282"/>
      <c r="BS24" s="283" t="s">
        <v>85</v>
      </c>
      <c r="BT24" s="310">
        <f>+AD24</f>
        <v>46207</v>
      </c>
      <c r="BU24" s="310"/>
      <c r="BV24" s="283" t="s">
        <v>86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51">
      <c r="A25" s="271">
        <v>9</v>
      </c>
      <c r="B25" s="287" t="s">
        <v>75</v>
      </c>
      <c r="C25" s="288" t="s">
        <v>94</v>
      </c>
      <c r="D25" s="287" t="s">
        <v>77</v>
      </c>
      <c r="E25" s="292">
        <v>7502327990772</v>
      </c>
      <c r="F25" s="267" t="s">
        <v>100</v>
      </c>
      <c r="G25" s="268" t="s">
        <v>101</v>
      </c>
      <c r="H25" s="293"/>
      <c r="I25" s="270" t="s">
        <v>97</v>
      </c>
      <c r="J25" s="271" t="s">
        <v>62</v>
      </c>
      <c r="K25" s="272" t="s">
        <v>63</v>
      </c>
      <c r="L25" s="268">
        <v>1</v>
      </c>
      <c r="M25" s="273">
        <v>0.17</v>
      </c>
      <c r="N25" s="274" t="s">
        <v>64</v>
      </c>
      <c r="O25" s="274">
        <v>15000</v>
      </c>
      <c r="P25" s="275">
        <f>M25*18.5</f>
        <v>3.145</v>
      </c>
      <c r="Q25" s="294"/>
      <c r="R25" s="275">
        <v>0.1053</v>
      </c>
      <c r="S25" s="275">
        <f>P25+R25</f>
        <v>3.2503000000000002</v>
      </c>
      <c r="T25" s="276" t="s">
        <v>98</v>
      </c>
      <c r="U25" s="277">
        <v>59</v>
      </c>
      <c r="V25" s="275">
        <f t="shared" si="2"/>
        <v>30.517241379310345</v>
      </c>
      <c r="W25" s="278">
        <f t="shared" si="3"/>
        <v>0.10650700564971752</v>
      </c>
      <c r="X25" s="279">
        <f t="shared" si="4"/>
        <v>0.89349299435028251</v>
      </c>
      <c r="Y25" s="280">
        <v>0.4</v>
      </c>
      <c r="Z25" s="271" t="s">
        <v>66</v>
      </c>
      <c r="AA25" s="274" t="s">
        <v>99</v>
      </c>
      <c r="AB25" s="272"/>
      <c r="AC25" s="272" t="s">
        <v>85</v>
      </c>
      <c r="AD25" s="291">
        <v>46207</v>
      </c>
      <c r="BA25" s="288">
        <v>1</v>
      </c>
      <c r="BB25" s="288">
        <v>1</v>
      </c>
      <c r="BC25" s="288">
        <v>1</v>
      </c>
      <c r="BD25" s="288">
        <v>1</v>
      </c>
      <c r="BE25" s="288">
        <v>1</v>
      </c>
      <c r="BF25" s="288">
        <v>1</v>
      </c>
      <c r="BG25" s="288">
        <v>1</v>
      </c>
      <c r="BH25" s="288"/>
      <c r="BI25" s="267"/>
      <c r="BJ25" s="267">
        <v>9</v>
      </c>
      <c r="BK25" s="267">
        <f t="shared" si="0"/>
        <v>7</v>
      </c>
      <c r="BL25" s="281">
        <f t="shared" si="1"/>
        <v>0.77777777777777779</v>
      </c>
      <c r="BM25" s="282"/>
      <c r="BN25" s="282"/>
      <c r="BO25" s="282"/>
      <c r="BP25" s="282"/>
      <c r="BQ25" s="282"/>
      <c r="BR25" s="282"/>
      <c r="BS25" s="283" t="s">
        <v>85</v>
      </c>
      <c r="BT25" s="310">
        <f t="shared" si="5"/>
        <v>46207</v>
      </c>
      <c r="BU25" s="310"/>
      <c r="BV25" s="283" t="s">
        <v>86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63.75">
      <c r="A26" s="271">
        <v>10</v>
      </c>
      <c r="B26" s="287" t="s">
        <v>75</v>
      </c>
      <c r="C26" s="288" t="s">
        <v>102</v>
      </c>
      <c r="D26" s="287" t="s">
        <v>77</v>
      </c>
      <c r="E26" s="267">
        <v>7502327992646</v>
      </c>
      <c r="F26" s="267" t="s">
        <v>103</v>
      </c>
      <c r="G26" s="267" t="s">
        <v>104</v>
      </c>
      <c r="H26" s="289" t="s">
        <v>60</v>
      </c>
      <c r="I26" s="295" t="s">
        <v>105</v>
      </c>
      <c r="J26" s="271" t="s">
        <v>62</v>
      </c>
      <c r="K26" s="272" t="s">
        <v>63</v>
      </c>
      <c r="L26" s="268">
        <v>1</v>
      </c>
      <c r="M26" s="273">
        <v>18.309999999999999</v>
      </c>
      <c r="N26" s="274" t="s">
        <v>81</v>
      </c>
      <c r="O26" s="296">
        <v>20000</v>
      </c>
      <c r="P26" s="275">
        <v>18.309999999999999</v>
      </c>
      <c r="Q26" s="275"/>
      <c r="R26" s="275"/>
      <c r="S26" s="275">
        <v>18.309999999999999</v>
      </c>
      <c r="T26" s="276" t="s">
        <v>106</v>
      </c>
      <c r="U26" s="277">
        <v>149</v>
      </c>
      <c r="V26" s="275">
        <f t="shared" si="2"/>
        <v>77.068965517241381</v>
      </c>
      <c r="W26" s="278">
        <f t="shared" si="3"/>
        <v>0.23757941834451898</v>
      </c>
      <c r="X26" s="279">
        <f t="shared" si="4"/>
        <v>0.76242058165548099</v>
      </c>
      <c r="Y26" s="280">
        <v>0.4</v>
      </c>
      <c r="Z26" s="271" t="s">
        <v>66</v>
      </c>
      <c r="AA26" s="274" t="s">
        <v>99</v>
      </c>
      <c r="AB26" s="268"/>
      <c r="AC26" s="268" t="s">
        <v>107</v>
      </c>
      <c r="AD26" s="291">
        <v>46318</v>
      </c>
      <c r="BA26" s="268">
        <v>1</v>
      </c>
      <c r="BB26" s="268">
        <v>1</v>
      </c>
      <c r="BC26" s="268">
        <v>1</v>
      </c>
      <c r="BD26" s="268">
        <v>1</v>
      </c>
      <c r="BE26" s="268">
        <v>1</v>
      </c>
      <c r="BF26" s="268"/>
      <c r="BG26" s="268"/>
      <c r="BH26" s="268"/>
      <c r="BI26" s="268"/>
      <c r="BJ26" s="267">
        <v>9</v>
      </c>
      <c r="BK26" s="267">
        <f t="shared" si="0"/>
        <v>5</v>
      </c>
      <c r="BL26" s="281">
        <f t="shared" si="1"/>
        <v>0.55555555555555558</v>
      </c>
      <c r="BM26" s="282"/>
      <c r="BN26" s="282"/>
      <c r="BO26" s="282"/>
      <c r="BP26" s="282"/>
      <c r="BQ26" s="282"/>
      <c r="BR26" s="282"/>
      <c r="BS26" s="283" t="s">
        <v>108</v>
      </c>
      <c r="BT26" s="310">
        <f t="shared" si="5"/>
        <v>46318</v>
      </c>
      <c r="BU26" s="310"/>
      <c r="BV26" s="283" t="s">
        <v>109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63.75">
      <c r="A27" s="271">
        <v>11</v>
      </c>
      <c r="B27" s="287" t="s">
        <v>75</v>
      </c>
      <c r="C27" s="288" t="s">
        <v>102</v>
      </c>
      <c r="D27" s="287" t="s">
        <v>77</v>
      </c>
      <c r="E27" s="267">
        <v>7502327992653</v>
      </c>
      <c r="F27" s="267" t="s">
        <v>110</v>
      </c>
      <c r="G27" s="267" t="s">
        <v>111</v>
      </c>
      <c r="H27" s="289" t="s">
        <v>60</v>
      </c>
      <c r="I27" s="295" t="s">
        <v>105</v>
      </c>
      <c r="J27" s="271" t="s">
        <v>62</v>
      </c>
      <c r="K27" s="272" t="s">
        <v>63</v>
      </c>
      <c r="L27" s="268">
        <v>1</v>
      </c>
      <c r="M27" s="273">
        <v>18.309999999999999</v>
      </c>
      <c r="N27" s="274" t="s">
        <v>81</v>
      </c>
      <c r="O27" s="296">
        <v>20000</v>
      </c>
      <c r="P27" s="275">
        <v>18.309999999999999</v>
      </c>
      <c r="Q27" s="275"/>
      <c r="R27" s="275"/>
      <c r="S27" s="275">
        <v>18.309999999999999</v>
      </c>
      <c r="T27" s="276" t="s">
        <v>112</v>
      </c>
      <c r="U27" s="277">
        <v>149</v>
      </c>
      <c r="V27" s="275">
        <f t="shared" si="2"/>
        <v>77.068965517241381</v>
      </c>
      <c r="W27" s="278">
        <f t="shared" si="3"/>
        <v>0.23757941834451898</v>
      </c>
      <c r="X27" s="279">
        <f t="shared" si="4"/>
        <v>0.76242058165548099</v>
      </c>
      <c r="Y27" s="280">
        <v>0.4</v>
      </c>
      <c r="Z27" s="271" t="s">
        <v>66</v>
      </c>
      <c r="AA27" s="274" t="s">
        <v>99</v>
      </c>
      <c r="AB27" s="268"/>
      <c r="AC27" s="268" t="s">
        <v>107</v>
      </c>
      <c r="AD27" s="291">
        <v>46318</v>
      </c>
      <c r="BA27" s="268">
        <v>1</v>
      </c>
      <c r="BB27" s="268">
        <v>1</v>
      </c>
      <c r="BC27" s="268">
        <v>1</v>
      </c>
      <c r="BD27" s="268">
        <v>1</v>
      </c>
      <c r="BE27" s="271">
        <v>1</v>
      </c>
      <c r="BF27" s="271"/>
      <c r="BG27" s="271"/>
      <c r="BH27" s="271"/>
      <c r="BI27" s="271"/>
      <c r="BJ27" s="267">
        <v>9</v>
      </c>
      <c r="BK27" s="267">
        <f t="shared" si="0"/>
        <v>5</v>
      </c>
      <c r="BL27" s="281">
        <f t="shared" si="1"/>
        <v>0.55555555555555558</v>
      </c>
      <c r="BM27" s="282"/>
      <c r="BN27" s="282"/>
      <c r="BO27" s="282"/>
      <c r="BP27" s="282"/>
      <c r="BQ27" s="282"/>
      <c r="BR27" s="282"/>
      <c r="BS27" s="283" t="s">
        <v>108</v>
      </c>
      <c r="BT27" s="310">
        <f t="shared" si="5"/>
        <v>46318</v>
      </c>
      <c r="BU27" s="310"/>
      <c r="BV27" s="283" t="s">
        <v>109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63.75">
      <c r="A28" s="271">
        <v>12</v>
      </c>
      <c r="B28" s="287" t="s">
        <v>75</v>
      </c>
      <c r="C28" s="288" t="s">
        <v>102</v>
      </c>
      <c r="D28" s="287" t="s">
        <v>77</v>
      </c>
      <c r="E28" s="267">
        <v>7502327992660</v>
      </c>
      <c r="F28" s="267" t="s">
        <v>113</v>
      </c>
      <c r="G28" s="267" t="s">
        <v>114</v>
      </c>
      <c r="H28" s="289" t="s">
        <v>60</v>
      </c>
      <c r="I28" s="295" t="s">
        <v>105</v>
      </c>
      <c r="J28" s="271" t="s">
        <v>62</v>
      </c>
      <c r="K28" s="272" t="s">
        <v>63</v>
      </c>
      <c r="L28" s="268">
        <v>1</v>
      </c>
      <c r="M28" s="273">
        <v>18.309999999999999</v>
      </c>
      <c r="N28" s="274" t="s">
        <v>81</v>
      </c>
      <c r="O28" s="296">
        <v>20000</v>
      </c>
      <c r="P28" s="275">
        <v>18.309999999999999</v>
      </c>
      <c r="Q28" s="275"/>
      <c r="R28" s="275"/>
      <c r="S28" s="275">
        <v>18.309999999999999</v>
      </c>
      <c r="T28" s="276" t="s">
        <v>115</v>
      </c>
      <c r="U28" s="277">
        <v>149</v>
      </c>
      <c r="V28" s="275">
        <f t="shared" si="2"/>
        <v>77.068965517241381</v>
      </c>
      <c r="W28" s="278">
        <f t="shared" si="3"/>
        <v>0.23757941834451898</v>
      </c>
      <c r="X28" s="279">
        <f t="shared" si="4"/>
        <v>0.76242058165548099</v>
      </c>
      <c r="Y28" s="280">
        <v>0.4</v>
      </c>
      <c r="Z28" s="271" t="s">
        <v>66</v>
      </c>
      <c r="AA28" s="274" t="s">
        <v>99</v>
      </c>
      <c r="AB28" s="268"/>
      <c r="AC28" s="268" t="s">
        <v>107</v>
      </c>
      <c r="AD28" s="291">
        <v>46318</v>
      </c>
      <c r="BA28" s="268">
        <v>1</v>
      </c>
      <c r="BB28" s="268">
        <v>1</v>
      </c>
      <c r="BC28" s="268">
        <v>1</v>
      </c>
      <c r="BD28" s="268">
        <v>1</v>
      </c>
      <c r="BE28" s="271">
        <v>1</v>
      </c>
      <c r="BF28" s="271"/>
      <c r="BG28" s="271"/>
      <c r="BH28" s="271"/>
      <c r="BI28" s="271"/>
      <c r="BJ28" s="267">
        <v>9</v>
      </c>
      <c r="BK28" s="267">
        <f t="shared" si="0"/>
        <v>5</v>
      </c>
      <c r="BL28" s="281">
        <f t="shared" si="1"/>
        <v>0.55555555555555558</v>
      </c>
      <c r="BM28" s="282"/>
      <c r="BN28" s="282"/>
      <c r="BO28" s="282"/>
      <c r="BP28" s="282"/>
      <c r="BQ28" s="282"/>
      <c r="BR28" s="282"/>
      <c r="BS28" s="283" t="s">
        <v>108</v>
      </c>
      <c r="BT28" s="310">
        <f t="shared" si="5"/>
        <v>46318</v>
      </c>
      <c r="BU28" s="310"/>
      <c r="BV28" s="283" t="s">
        <v>109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3.75">
      <c r="A29" s="271">
        <v>13</v>
      </c>
      <c r="B29" s="287" t="s">
        <v>75</v>
      </c>
      <c r="C29" s="288" t="s">
        <v>102</v>
      </c>
      <c r="D29" s="287" t="s">
        <v>77</v>
      </c>
      <c r="E29" s="267">
        <v>7502327992677</v>
      </c>
      <c r="F29" s="267" t="s">
        <v>116</v>
      </c>
      <c r="G29" s="267" t="s">
        <v>117</v>
      </c>
      <c r="H29" s="289" t="s">
        <v>60</v>
      </c>
      <c r="I29" s="295" t="s">
        <v>105</v>
      </c>
      <c r="J29" s="271" t="s">
        <v>62</v>
      </c>
      <c r="K29" s="272" t="s">
        <v>63</v>
      </c>
      <c r="L29" s="268">
        <v>1</v>
      </c>
      <c r="M29" s="273">
        <v>18.309999999999999</v>
      </c>
      <c r="N29" s="274" t="s">
        <v>81</v>
      </c>
      <c r="O29" s="296">
        <v>20000</v>
      </c>
      <c r="P29" s="275">
        <v>18.309999999999999</v>
      </c>
      <c r="Q29" s="275"/>
      <c r="R29" s="275"/>
      <c r="S29" s="275">
        <v>18.309999999999999</v>
      </c>
      <c r="T29" s="276" t="s">
        <v>118</v>
      </c>
      <c r="U29" s="277">
        <v>149</v>
      </c>
      <c r="V29" s="275">
        <f t="shared" si="2"/>
        <v>77.068965517241381</v>
      </c>
      <c r="W29" s="278">
        <f t="shared" si="3"/>
        <v>0.23757941834451898</v>
      </c>
      <c r="X29" s="279">
        <f t="shared" si="4"/>
        <v>0.76242058165548099</v>
      </c>
      <c r="Y29" s="280">
        <v>0.4</v>
      </c>
      <c r="Z29" s="271" t="s">
        <v>66</v>
      </c>
      <c r="AA29" s="274" t="s">
        <v>99</v>
      </c>
      <c r="AB29" s="268"/>
      <c r="AC29" s="268" t="s">
        <v>107</v>
      </c>
      <c r="AD29" s="291">
        <v>46318</v>
      </c>
      <c r="BA29" s="268">
        <v>1</v>
      </c>
      <c r="BB29" s="268">
        <v>1</v>
      </c>
      <c r="BC29" s="268">
        <v>1</v>
      </c>
      <c r="BD29" s="268">
        <v>1</v>
      </c>
      <c r="BE29" s="271">
        <v>1</v>
      </c>
      <c r="BF29" s="271"/>
      <c r="BG29" s="271"/>
      <c r="BH29" s="271"/>
      <c r="BI29" s="271"/>
      <c r="BJ29" s="267">
        <v>9</v>
      </c>
      <c r="BK29" s="267">
        <f t="shared" si="0"/>
        <v>5</v>
      </c>
      <c r="BL29" s="281">
        <f t="shared" si="1"/>
        <v>0.55555555555555558</v>
      </c>
      <c r="BM29" s="282"/>
      <c r="BN29" s="282"/>
      <c r="BO29" s="282"/>
      <c r="BP29" s="282"/>
      <c r="BQ29" s="282"/>
      <c r="BR29" s="282"/>
      <c r="BS29" s="283" t="s">
        <v>108</v>
      </c>
      <c r="BT29" s="310">
        <f t="shared" si="5"/>
        <v>46318</v>
      </c>
      <c r="BU29" s="310"/>
      <c r="BV29" s="283" t="s">
        <v>109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3.75">
      <c r="A30" s="271">
        <v>14</v>
      </c>
      <c r="B30" s="287" t="s">
        <v>75</v>
      </c>
      <c r="C30" s="288" t="s">
        <v>102</v>
      </c>
      <c r="D30" s="287" t="s">
        <v>77</v>
      </c>
      <c r="E30" s="267">
        <v>7502327992684</v>
      </c>
      <c r="F30" s="267" t="s">
        <v>119</v>
      </c>
      <c r="G30" s="267" t="s">
        <v>120</v>
      </c>
      <c r="H30" s="289" t="s">
        <v>60</v>
      </c>
      <c r="I30" s="295" t="s">
        <v>105</v>
      </c>
      <c r="J30" s="271" t="s">
        <v>62</v>
      </c>
      <c r="K30" s="272" t="s">
        <v>63</v>
      </c>
      <c r="L30" s="268">
        <v>1</v>
      </c>
      <c r="M30" s="273">
        <v>18.309999999999999</v>
      </c>
      <c r="N30" s="274" t="s">
        <v>81</v>
      </c>
      <c r="O30" s="296">
        <v>20000</v>
      </c>
      <c r="P30" s="275">
        <v>18.309999999999999</v>
      </c>
      <c r="Q30" s="275"/>
      <c r="R30" s="275"/>
      <c r="S30" s="275">
        <v>18.309999999999999</v>
      </c>
      <c r="T30" s="276" t="s">
        <v>121</v>
      </c>
      <c r="U30" s="277">
        <v>149</v>
      </c>
      <c r="V30" s="275">
        <f t="shared" si="2"/>
        <v>77.068965517241381</v>
      </c>
      <c r="W30" s="278">
        <f t="shared" si="3"/>
        <v>0.23757941834451898</v>
      </c>
      <c r="X30" s="279">
        <f t="shared" si="4"/>
        <v>0.76242058165548099</v>
      </c>
      <c r="Y30" s="280">
        <v>0.4</v>
      </c>
      <c r="Z30" s="271" t="s">
        <v>66</v>
      </c>
      <c r="AA30" s="274" t="s">
        <v>99</v>
      </c>
      <c r="AB30" s="268"/>
      <c r="AC30" s="268" t="s">
        <v>107</v>
      </c>
      <c r="AD30" s="291">
        <v>46318</v>
      </c>
      <c r="BA30" s="268">
        <v>1</v>
      </c>
      <c r="BB30" s="268">
        <v>1</v>
      </c>
      <c r="BC30" s="268">
        <v>1</v>
      </c>
      <c r="BD30" s="268">
        <v>1</v>
      </c>
      <c r="BE30" s="271">
        <v>1</v>
      </c>
      <c r="BF30" s="271"/>
      <c r="BG30" s="271"/>
      <c r="BH30" s="271"/>
      <c r="BI30" s="271"/>
      <c r="BJ30" s="267">
        <v>9</v>
      </c>
      <c r="BK30" s="267">
        <f t="shared" si="0"/>
        <v>5</v>
      </c>
      <c r="BL30" s="281">
        <f t="shared" si="1"/>
        <v>0.55555555555555558</v>
      </c>
      <c r="BM30" s="282"/>
      <c r="BN30" s="282"/>
      <c r="BO30" s="282"/>
      <c r="BP30" s="282"/>
      <c r="BQ30" s="282"/>
      <c r="BR30" s="282"/>
      <c r="BS30" s="283" t="s">
        <v>108</v>
      </c>
      <c r="BT30" s="310">
        <f t="shared" si="5"/>
        <v>46318</v>
      </c>
      <c r="BU30" s="310"/>
      <c r="BV30" s="283" t="s">
        <v>109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63.75">
      <c r="A31" s="271">
        <v>15</v>
      </c>
      <c r="B31" s="287" t="s">
        <v>75</v>
      </c>
      <c r="C31" s="288" t="s">
        <v>102</v>
      </c>
      <c r="D31" s="287" t="s">
        <v>77</v>
      </c>
      <c r="E31" s="267">
        <v>7502327992691</v>
      </c>
      <c r="F31" s="267" t="s">
        <v>122</v>
      </c>
      <c r="G31" s="267" t="s">
        <v>123</v>
      </c>
      <c r="H31" s="289" t="s">
        <v>60</v>
      </c>
      <c r="I31" s="295" t="s">
        <v>105</v>
      </c>
      <c r="J31" s="271" t="s">
        <v>62</v>
      </c>
      <c r="K31" s="272" t="s">
        <v>63</v>
      </c>
      <c r="L31" s="268">
        <v>1</v>
      </c>
      <c r="M31" s="273">
        <v>18.309999999999999</v>
      </c>
      <c r="N31" s="274" t="s">
        <v>81</v>
      </c>
      <c r="O31" s="296">
        <v>20000</v>
      </c>
      <c r="P31" s="275">
        <v>18.309999999999999</v>
      </c>
      <c r="Q31" s="275"/>
      <c r="R31" s="275"/>
      <c r="S31" s="275">
        <v>18.309999999999999</v>
      </c>
      <c r="T31" s="276" t="s">
        <v>106</v>
      </c>
      <c r="U31" s="277">
        <v>149</v>
      </c>
      <c r="V31" s="275">
        <f t="shared" si="2"/>
        <v>77.068965517241381</v>
      </c>
      <c r="W31" s="278">
        <f t="shared" si="3"/>
        <v>0.23757941834451898</v>
      </c>
      <c r="X31" s="279">
        <f t="shared" si="4"/>
        <v>0.76242058165548099</v>
      </c>
      <c r="Y31" s="280">
        <v>0.4</v>
      </c>
      <c r="Z31" s="271" t="s">
        <v>66</v>
      </c>
      <c r="AA31" s="274" t="s">
        <v>99</v>
      </c>
      <c r="AB31" s="268"/>
      <c r="AC31" s="268" t="s">
        <v>107</v>
      </c>
      <c r="AD31" s="291">
        <v>46318</v>
      </c>
      <c r="BA31" s="268">
        <v>1</v>
      </c>
      <c r="BB31" s="268">
        <v>1</v>
      </c>
      <c r="BC31" s="268">
        <v>1</v>
      </c>
      <c r="BD31" s="268">
        <v>1</v>
      </c>
      <c r="BE31" s="271">
        <v>1</v>
      </c>
      <c r="BF31" s="271"/>
      <c r="BG31" s="271"/>
      <c r="BH31" s="271"/>
      <c r="BI31" s="271"/>
      <c r="BJ31" s="267">
        <v>9</v>
      </c>
      <c r="BK31" s="267">
        <f t="shared" si="0"/>
        <v>5</v>
      </c>
      <c r="BL31" s="281">
        <f t="shared" si="1"/>
        <v>0.55555555555555558</v>
      </c>
      <c r="BM31" s="282"/>
      <c r="BN31" s="282"/>
      <c r="BO31" s="282"/>
      <c r="BP31" s="282"/>
      <c r="BQ31" s="282"/>
      <c r="BR31" s="282"/>
      <c r="BS31" s="283" t="s">
        <v>108</v>
      </c>
      <c r="BT31" s="310">
        <f t="shared" si="5"/>
        <v>46318</v>
      </c>
      <c r="BU31" s="310"/>
      <c r="BV31" s="283" t="s">
        <v>109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63.75">
      <c r="A32" s="271">
        <v>16</v>
      </c>
      <c r="B32" s="287" t="s">
        <v>75</v>
      </c>
      <c r="C32" s="288" t="s">
        <v>102</v>
      </c>
      <c r="D32" s="287" t="s">
        <v>77</v>
      </c>
      <c r="E32" s="267">
        <v>7506110694854</v>
      </c>
      <c r="F32" s="267" t="s">
        <v>124</v>
      </c>
      <c r="G32" s="268" t="s">
        <v>125</v>
      </c>
      <c r="H32" s="289"/>
      <c r="I32" s="270" t="s">
        <v>80</v>
      </c>
      <c r="J32" s="271" t="s">
        <v>62</v>
      </c>
      <c r="K32" s="272" t="s">
        <v>63</v>
      </c>
      <c r="L32" s="268">
        <v>1</v>
      </c>
      <c r="M32" s="273">
        <v>27.46</v>
      </c>
      <c r="N32" s="274" t="s">
        <v>81</v>
      </c>
      <c r="O32" s="274">
        <v>10000</v>
      </c>
      <c r="P32" s="275"/>
      <c r="Q32" s="275"/>
      <c r="R32" s="275"/>
      <c r="S32" s="275">
        <v>27.46</v>
      </c>
      <c r="T32" s="276" t="s">
        <v>126</v>
      </c>
      <c r="U32" s="277">
        <v>195</v>
      </c>
      <c r="V32" s="275">
        <f t="shared" si="2"/>
        <v>100.86206896551725</v>
      </c>
      <c r="W32" s="278">
        <f t="shared" si="3"/>
        <v>0.27225299145299142</v>
      </c>
      <c r="X32" s="279">
        <f t="shared" si="4"/>
        <v>0.72774700854700858</v>
      </c>
      <c r="Y32" s="280">
        <v>0.4</v>
      </c>
      <c r="Z32" s="271" t="s">
        <v>66</v>
      </c>
      <c r="AA32" s="274" t="s">
        <v>99</v>
      </c>
      <c r="AB32" s="272"/>
      <c r="AC32" s="267" t="s">
        <v>127</v>
      </c>
      <c r="AD32" s="291">
        <v>46282</v>
      </c>
      <c r="BA32" s="267">
        <v>1</v>
      </c>
      <c r="BB32" s="267">
        <v>1</v>
      </c>
      <c r="BC32" s="267">
        <v>1</v>
      </c>
      <c r="BD32" s="267">
        <v>1</v>
      </c>
      <c r="BE32" s="267">
        <v>1</v>
      </c>
      <c r="BF32" s="267"/>
      <c r="BG32" s="267">
        <v>1</v>
      </c>
      <c r="BH32" s="267"/>
      <c r="BI32" s="267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128</v>
      </c>
      <c r="BT32" s="310">
        <f t="shared" si="5"/>
        <v>46282</v>
      </c>
      <c r="BU32" s="310"/>
      <c r="BV32" s="283" t="s">
        <v>129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89.25">
      <c r="A33" s="271">
        <v>17</v>
      </c>
      <c r="B33" s="287" t="s">
        <v>75</v>
      </c>
      <c r="C33" s="288" t="s">
        <v>130</v>
      </c>
      <c r="D33" s="287" t="s">
        <v>77</v>
      </c>
      <c r="E33" s="267">
        <v>7502327992752</v>
      </c>
      <c r="F33" s="267" t="s">
        <v>131</v>
      </c>
      <c r="G33" s="268" t="s">
        <v>132</v>
      </c>
      <c r="H33" s="289" t="s">
        <v>60</v>
      </c>
      <c r="I33" s="270" t="s">
        <v>133</v>
      </c>
      <c r="J33" s="271" t="s">
        <v>62</v>
      </c>
      <c r="K33" s="272" t="s">
        <v>63</v>
      </c>
      <c r="L33" s="268">
        <v>1</v>
      </c>
      <c r="M33" s="273">
        <v>1.65</v>
      </c>
      <c r="N33" s="274" t="s">
        <v>64</v>
      </c>
      <c r="O33" s="274">
        <v>20000</v>
      </c>
      <c r="P33" s="275">
        <v>29.7</v>
      </c>
      <c r="Q33" s="275">
        <v>7.4249999999999998</v>
      </c>
      <c r="R33" s="275">
        <v>2.0010374999999998</v>
      </c>
      <c r="S33" s="275">
        <v>39.126037500000002</v>
      </c>
      <c r="T33" s="276" t="s">
        <v>134</v>
      </c>
      <c r="U33" s="277">
        <v>259</v>
      </c>
      <c r="V33" s="275">
        <f t="shared" si="2"/>
        <v>133.9655172413793</v>
      </c>
      <c r="W33" s="278">
        <f t="shared" si="3"/>
        <v>0.29206051158301161</v>
      </c>
      <c r="X33" s="279">
        <f t="shared" si="4"/>
        <v>0.70793948841698839</v>
      </c>
      <c r="Y33" s="280">
        <v>0.4</v>
      </c>
      <c r="Z33" s="271" t="s">
        <v>66</v>
      </c>
      <c r="AA33" s="274" t="s">
        <v>99</v>
      </c>
      <c r="AB33" s="272"/>
      <c r="AC33" s="267" t="s">
        <v>135</v>
      </c>
      <c r="AD33" s="291">
        <v>46341</v>
      </c>
      <c r="BA33" s="267">
        <v>1</v>
      </c>
      <c r="BB33" s="267">
        <v>1</v>
      </c>
      <c r="BC33" s="267">
        <v>1</v>
      </c>
      <c r="BD33" s="267">
        <v>1</v>
      </c>
      <c r="BE33" s="267">
        <v>1</v>
      </c>
      <c r="BF33" s="267"/>
      <c r="BG33" s="267"/>
      <c r="BH33" s="267"/>
      <c r="BI33" s="267"/>
      <c r="BJ33" s="267">
        <v>9</v>
      </c>
      <c r="BK33" s="267">
        <f t="shared" si="0"/>
        <v>5</v>
      </c>
      <c r="BL33" s="281">
        <f t="shared" si="1"/>
        <v>0.55555555555555558</v>
      </c>
      <c r="BM33" s="282"/>
      <c r="BN33" s="282"/>
      <c r="BO33" s="282"/>
      <c r="BP33" s="282"/>
      <c r="BQ33" s="282"/>
      <c r="BR33" s="282"/>
      <c r="BS33" s="283" t="s">
        <v>135</v>
      </c>
      <c r="BT33" s="310">
        <f t="shared" si="5"/>
        <v>46341</v>
      </c>
      <c r="BU33" s="310"/>
      <c r="BV33" s="283" t="s">
        <v>129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4.25">
      <c r="A34" s="271">
        <v>18</v>
      </c>
      <c r="B34" s="287" t="s">
        <v>75</v>
      </c>
      <c r="C34" s="288" t="s">
        <v>136</v>
      </c>
      <c r="D34" s="287" t="s">
        <v>77</v>
      </c>
      <c r="E34" s="292">
        <v>7502327992707</v>
      </c>
      <c r="F34" s="267" t="s">
        <v>137</v>
      </c>
      <c r="G34" s="268" t="s">
        <v>138</v>
      </c>
      <c r="H34" s="289" t="s">
        <v>60</v>
      </c>
      <c r="I34" s="270" t="s">
        <v>139</v>
      </c>
      <c r="J34" s="271" t="s">
        <v>62</v>
      </c>
      <c r="K34" s="272" t="s">
        <v>63</v>
      </c>
      <c r="L34" s="268">
        <v>1</v>
      </c>
      <c r="M34" s="297"/>
      <c r="N34" s="274" t="s">
        <v>64</v>
      </c>
      <c r="O34" s="274">
        <v>20000</v>
      </c>
      <c r="P34" s="275">
        <v>0</v>
      </c>
      <c r="Q34" s="275"/>
      <c r="R34" s="275"/>
      <c r="S34" s="275">
        <v>48.27</v>
      </c>
      <c r="T34" s="275">
        <v>295</v>
      </c>
      <c r="U34" s="277">
        <v>299</v>
      </c>
      <c r="V34" s="275">
        <f t="shared" si="2"/>
        <v>154.65517241379311</v>
      </c>
      <c r="W34" s="278">
        <f t="shared" si="3"/>
        <v>0.31211371237458196</v>
      </c>
      <c r="X34" s="279">
        <f t="shared" si="4"/>
        <v>0.68788628762541804</v>
      </c>
      <c r="Y34" s="280">
        <v>0.4</v>
      </c>
      <c r="Z34" s="271" t="s">
        <v>66</v>
      </c>
      <c r="AA34" s="274" t="s">
        <v>99</v>
      </c>
      <c r="AB34" s="272"/>
      <c r="AC34" s="268" t="s">
        <v>140</v>
      </c>
      <c r="AD34" s="298">
        <v>46320</v>
      </c>
      <c r="BA34" s="271">
        <v>1</v>
      </c>
      <c r="BB34" s="271">
        <v>1</v>
      </c>
      <c r="BC34" s="271">
        <v>1</v>
      </c>
      <c r="BD34" s="271">
        <v>1</v>
      </c>
      <c r="BE34" s="271">
        <v>1</v>
      </c>
      <c r="BF34" s="271"/>
      <c r="BG34" s="271"/>
      <c r="BH34" s="271"/>
      <c r="BI34" s="271"/>
      <c r="BJ34" s="267">
        <v>9</v>
      </c>
      <c r="BK34" s="267">
        <f t="shared" si="0"/>
        <v>5</v>
      </c>
      <c r="BL34" s="281">
        <f t="shared" si="1"/>
        <v>0.55555555555555558</v>
      </c>
      <c r="BM34" s="282"/>
      <c r="BN34" s="282"/>
      <c r="BO34" s="282"/>
      <c r="BP34" s="282"/>
      <c r="BQ34" s="282"/>
      <c r="BR34" s="282"/>
      <c r="BS34" s="283" t="s">
        <v>141</v>
      </c>
      <c r="BT34" s="310">
        <f t="shared" si="5"/>
        <v>46320</v>
      </c>
      <c r="BU34" s="310"/>
      <c r="BV34" s="283" t="s">
        <v>129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4.25">
      <c r="A35" s="271">
        <v>19</v>
      </c>
      <c r="B35" s="287" t="s">
        <v>75</v>
      </c>
      <c r="C35" s="288" t="s">
        <v>136</v>
      </c>
      <c r="D35" s="287" t="s">
        <v>77</v>
      </c>
      <c r="E35" s="292">
        <v>7502327992714</v>
      </c>
      <c r="F35" s="267" t="s">
        <v>142</v>
      </c>
      <c r="G35" s="268" t="s">
        <v>138</v>
      </c>
      <c r="H35" s="289" t="s">
        <v>60</v>
      </c>
      <c r="I35" s="270" t="s">
        <v>139</v>
      </c>
      <c r="J35" s="271" t="s">
        <v>62</v>
      </c>
      <c r="K35" s="272" t="s">
        <v>63</v>
      </c>
      <c r="L35" s="268">
        <v>1</v>
      </c>
      <c r="M35" s="297"/>
      <c r="N35" s="274" t="s">
        <v>64</v>
      </c>
      <c r="O35" s="274">
        <v>20000</v>
      </c>
      <c r="P35" s="275">
        <v>0</v>
      </c>
      <c r="Q35" s="275"/>
      <c r="R35" s="275"/>
      <c r="S35" s="275">
        <v>48.27</v>
      </c>
      <c r="T35" s="275">
        <v>295</v>
      </c>
      <c r="U35" s="277">
        <v>299</v>
      </c>
      <c r="V35" s="275">
        <f t="shared" si="2"/>
        <v>154.65517241379311</v>
      </c>
      <c r="W35" s="278">
        <f t="shared" si="3"/>
        <v>0.31211371237458196</v>
      </c>
      <c r="X35" s="279">
        <f t="shared" si="4"/>
        <v>0.68788628762541804</v>
      </c>
      <c r="Y35" s="280">
        <v>0.4</v>
      </c>
      <c r="Z35" s="271" t="s">
        <v>66</v>
      </c>
      <c r="AA35" s="274" t="s">
        <v>99</v>
      </c>
      <c r="AB35" s="272"/>
      <c r="AC35" s="268" t="s">
        <v>140</v>
      </c>
      <c r="AD35" s="298">
        <v>46320</v>
      </c>
      <c r="BA35" s="271">
        <v>1</v>
      </c>
      <c r="BB35" s="271">
        <v>1</v>
      </c>
      <c r="BC35" s="271">
        <v>1</v>
      </c>
      <c r="BD35" s="271">
        <v>1</v>
      </c>
      <c r="BE35" s="271">
        <v>1</v>
      </c>
      <c r="BF35" s="271"/>
      <c r="BG35" s="271"/>
      <c r="BH35" s="271"/>
      <c r="BI35" s="271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141</v>
      </c>
      <c r="BT35" s="310">
        <f t="shared" si="5"/>
        <v>46320</v>
      </c>
      <c r="BU35" s="310"/>
      <c r="BV35" s="283" t="s">
        <v>143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63.75">
      <c r="A36" s="271">
        <v>20</v>
      </c>
      <c r="B36" s="287" t="s">
        <v>75</v>
      </c>
      <c r="C36" s="272" t="s">
        <v>144</v>
      </c>
      <c r="D36" s="287" t="s">
        <v>77</v>
      </c>
      <c r="E36" s="292">
        <v>7506110694786</v>
      </c>
      <c r="F36" s="292" t="s">
        <v>145</v>
      </c>
      <c r="G36" s="268" t="s">
        <v>146</v>
      </c>
      <c r="H36" s="289" t="s">
        <v>60</v>
      </c>
      <c r="I36" s="270" t="s">
        <v>147</v>
      </c>
      <c r="J36" s="271" t="s">
        <v>62</v>
      </c>
      <c r="K36" s="272" t="s">
        <v>63</v>
      </c>
      <c r="L36" s="268">
        <v>1</v>
      </c>
      <c r="M36" s="273">
        <v>0.98</v>
      </c>
      <c r="N36" s="274" t="s">
        <v>64</v>
      </c>
      <c r="O36" s="274">
        <v>20000</v>
      </c>
      <c r="P36" s="275">
        <v>17.64</v>
      </c>
      <c r="Q36" s="275">
        <v>6.3503999999999996</v>
      </c>
      <c r="R36" s="275">
        <v>1.4034384</v>
      </c>
      <c r="S36" s="299">
        <v>25.3938384</v>
      </c>
      <c r="T36" s="276" t="s">
        <v>148</v>
      </c>
      <c r="U36" s="277">
        <v>179</v>
      </c>
      <c r="V36" s="275">
        <f t="shared" si="2"/>
        <v>92.58620689655173</v>
      </c>
      <c r="W36" s="278">
        <f t="shared" si="3"/>
        <v>0.27427237005586591</v>
      </c>
      <c r="X36" s="279">
        <f t="shared" si="4"/>
        <v>0.72572762994413409</v>
      </c>
      <c r="Y36" s="280">
        <v>0.4</v>
      </c>
      <c r="Z36" s="271" t="s">
        <v>66</v>
      </c>
      <c r="AA36" s="274" t="s">
        <v>99</v>
      </c>
      <c r="AB36" s="272"/>
      <c r="AC36" s="267" t="s">
        <v>149</v>
      </c>
      <c r="AD36" s="298">
        <v>46373</v>
      </c>
      <c r="BA36" s="271">
        <v>1</v>
      </c>
      <c r="BB36" s="267"/>
      <c r="BC36" s="267"/>
      <c r="BD36" s="267"/>
      <c r="BE36" s="267"/>
      <c r="BF36" s="267"/>
      <c r="BG36" s="267"/>
      <c r="BH36" s="267"/>
      <c r="BI36" s="267"/>
      <c r="BJ36" s="267">
        <v>9</v>
      </c>
      <c r="BK36" s="267">
        <f t="shared" si="0"/>
        <v>1</v>
      </c>
      <c r="BL36" s="281">
        <f t="shared" si="1"/>
        <v>0.1111111111111111</v>
      </c>
      <c r="BM36" s="282"/>
      <c r="BN36" s="282"/>
      <c r="BO36" s="282"/>
      <c r="BP36" s="282"/>
      <c r="BQ36" s="282"/>
      <c r="BR36" s="282"/>
      <c r="BS36" s="283" t="s">
        <v>149</v>
      </c>
      <c r="BT36" s="310">
        <f t="shared" si="5"/>
        <v>46373</v>
      </c>
      <c r="BU36" s="310"/>
      <c r="BV36" s="283" t="s">
        <v>150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63.75">
      <c r="A37" s="271">
        <v>21</v>
      </c>
      <c r="B37" s="287" t="s">
        <v>75</v>
      </c>
      <c r="C37" s="272" t="s">
        <v>144</v>
      </c>
      <c r="D37" s="287" t="s">
        <v>77</v>
      </c>
      <c r="E37" s="292">
        <v>7506110694793</v>
      </c>
      <c r="F37" s="292" t="s">
        <v>151</v>
      </c>
      <c r="G37" s="268" t="s">
        <v>146</v>
      </c>
      <c r="H37" s="289" t="s">
        <v>60</v>
      </c>
      <c r="I37" s="270" t="s">
        <v>147</v>
      </c>
      <c r="J37" s="271" t="s">
        <v>62</v>
      </c>
      <c r="K37" s="272" t="s">
        <v>63</v>
      </c>
      <c r="L37" s="268">
        <v>1</v>
      </c>
      <c r="M37" s="273">
        <v>0.98</v>
      </c>
      <c r="N37" s="274" t="s">
        <v>64</v>
      </c>
      <c r="O37" s="274">
        <v>20000</v>
      </c>
      <c r="P37" s="275">
        <v>17.64</v>
      </c>
      <c r="Q37" s="275">
        <v>6.3503999999999996</v>
      </c>
      <c r="R37" s="275">
        <v>1.4034384</v>
      </c>
      <c r="S37" s="299">
        <v>25.3938384</v>
      </c>
      <c r="T37" s="276" t="s">
        <v>148</v>
      </c>
      <c r="U37" s="277">
        <v>179</v>
      </c>
      <c r="V37" s="275">
        <f t="shared" si="2"/>
        <v>92.58620689655173</v>
      </c>
      <c r="W37" s="278">
        <f t="shared" si="3"/>
        <v>0.27427237005586591</v>
      </c>
      <c r="X37" s="279">
        <f t="shared" si="4"/>
        <v>0.72572762994413409</v>
      </c>
      <c r="Y37" s="280">
        <v>0.4</v>
      </c>
      <c r="Z37" s="271" t="s">
        <v>66</v>
      </c>
      <c r="AA37" s="274" t="s">
        <v>99</v>
      </c>
      <c r="AB37" s="272"/>
      <c r="AC37" s="267" t="s">
        <v>149</v>
      </c>
      <c r="AD37" s="298">
        <v>46373</v>
      </c>
      <c r="BA37" s="271">
        <v>1</v>
      </c>
      <c r="BB37" s="267"/>
      <c r="BC37" s="267"/>
      <c r="BD37" s="267"/>
      <c r="BE37" s="267"/>
      <c r="BF37" s="267"/>
      <c r="BG37" s="267"/>
      <c r="BH37" s="267"/>
      <c r="BI37" s="267"/>
      <c r="BJ37" s="267">
        <v>9</v>
      </c>
      <c r="BK37" s="267">
        <f t="shared" si="0"/>
        <v>1</v>
      </c>
      <c r="BL37" s="281">
        <f t="shared" si="1"/>
        <v>0.1111111111111111</v>
      </c>
      <c r="BM37" s="282"/>
      <c r="BN37" s="282"/>
      <c r="BO37" s="282"/>
      <c r="BP37" s="282"/>
      <c r="BQ37" s="282"/>
      <c r="BR37" s="282"/>
      <c r="BS37" s="283" t="s">
        <v>149</v>
      </c>
      <c r="BT37" s="310">
        <f t="shared" si="5"/>
        <v>46373</v>
      </c>
      <c r="BU37" s="310"/>
      <c r="BV37" s="283" t="s">
        <v>150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63.75">
      <c r="A38" s="271">
        <v>22</v>
      </c>
      <c r="B38" s="287" t="s">
        <v>75</v>
      </c>
      <c r="C38" s="272" t="s">
        <v>144</v>
      </c>
      <c r="D38" s="287" t="s">
        <v>77</v>
      </c>
      <c r="E38" s="292">
        <v>7506110694809</v>
      </c>
      <c r="F38" s="292" t="s">
        <v>152</v>
      </c>
      <c r="G38" s="268" t="s">
        <v>146</v>
      </c>
      <c r="H38" s="289" t="s">
        <v>60</v>
      </c>
      <c r="I38" s="270" t="s">
        <v>147</v>
      </c>
      <c r="J38" s="271" t="s">
        <v>62</v>
      </c>
      <c r="K38" s="272" t="s">
        <v>63</v>
      </c>
      <c r="L38" s="268">
        <v>1</v>
      </c>
      <c r="M38" s="273">
        <v>0.98</v>
      </c>
      <c r="N38" s="274" t="s">
        <v>64</v>
      </c>
      <c r="O38" s="274">
        <v>20000</v>
      </c>
      <c r="P38" s="275">
        <v>17.64</v>
      </c>
      <c r="Q38" s="275">
        <v>6.3503999999999996</v>
      </c>
      <c r="R38" s="275">
        <v>1.4034384</v>
      </c>
      <c r="S38" s="299">
        <v>25.3938384</v>
      </c>
      <c r="T38" s="276" t="s">
        <v>148</v>
      </c>
      <c r="U38" s="277">
        <v>179</v>
      </c>
      <c r="V38" s="275">
        <f t="shared" si="2"/>
        <v>92.58620689655173</v>
      </c>
      <c r="W38" s="278">
        <f t="shared" si="3"/>
        <v>0.27427237005586591</v>
      </c>
      <c r="X38" s="279">
        <f t="shared" si="4"/>
        <v>0.72572762994413409</v>
      </c>
      <c r="Y38" s="280">
        <v>0.4</v>
      </c>
      <c r="Z38" s="271" t="s">
        <v>66</v>
      </c>
      <c r="AA38" s="274" t="s">
        <v>99</v>
      </c>
      <c r="AB38" s="272"/>
      <c r="AC38" s="267" t="s">
        <v>149</v>
      </c>
      <c r="AD38" s="298">
        <v>46373</v>
      </c>
      <c r="BA38" s="271">
        <v>1</v>
      </c>
      <c r="BB38" s="267"/>
      <c r="BC38" s="267"/>
      <c r="BD38" s="267"/>
      <c r="BE38" s="267"/>
      <c r="BF38" s="267"/>
      <c r="BG38" s="267"/>
      <c r="BH38" s="267"/>
      <c r="BI38" s="267"/>
      <c r="BJ38" s="267">
        <v>9</v>
      </c>
      <c r="BK38" s="267">
        <f t="shared" si="0"/>
        <v>1</v>
      </c>
      <c r="BL38" s="281">
        <f t="shared" si="1"/>
        <v>0.1111111111111111</v>
      </c>
      <c r="BM38" s="282"/>
      <c r="BN38" s="282"/>
      <c r="BO38" s="282"/>
      <c r="BP38" s="282"/>
      <c r="BQ38" s="282"/>
      <c r="BR38" s="282"/>
      <c r="BS38" s="283" t="s">
        <v>149</v>
      </c>
      <c r="BT38" s="310">
        <f t="shared" si="5"/>
        <v>46373</v>
      </c>
      <c r="BU38" s="310"/>
      <c r="BV38" s="283" t="s">
        <v>150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63.75">
      <c r="A39" s="271">
        <v>23</v>
      </c>
      <c r="B39" s="287" t="s">
        <v>75</v>
      </c>
      <c r="C39" s="272" t="s">
        <v>144</v>
      </c>
      <c r="D39" s="287" t="s">
        <v>77</v>
      </c>
      <c r="E39" s="292">
        <v>7506110694816</v>
      </c>
      <c r="F39" s="292" t="s">
        <v>153</v>
      </c>
      <c r="G39" s="268" t="s">
        <v>146</v>
      </c>
      <c r="H39" s="289" t="s">
        <v>60</v>
      </c>
      <c r="I39" s="270" t="s">
        <v>147</v>
      </c>
      <c r="J39" s="271" t="s">
        <v>62</v>
      </c>
      <c r="K39" s="272" t="s">
        <v>63</v>
      </c>
      <c r="L39" s="268">
        <v>1</v>
      </c>
      <c r="M39" s="273">
        <v>0.98</v>
      </c>
      <c r="N39" s="274" t="s">
        <v>64</v>
      </c>
      <c r="O39" s="274">
        <v>20000</v>
      </c>
      <c r="P39" s="275">
        <v>17.64</v>
      </c>
      <c r="Q39" s="275">
        <v>6.3503999999999996</v>
      </c>
      <c r="R39" s="275">
        <v>1.4034384</v>
      </c>
      <c r="S39" s="299">
        <v>25.3938384</v>
      </c>
      <c r="T39" s="276" t="s">
        <v>148</v>
      </c>
      <c r="U39" s="277">
        <v>179</v>
      </c>
      <c r="V39" s="275">
        <f t="shared" si="2"/>
        <v>92.58620689655173</v>
      </c>
      <c r="W39" s="278">
        <f t="shared" si="3"/>
        <v>0.27427237005586591</v>
      </c>
      <c r="X39" s="279">
        <f t="shared" si="4"/>
        <v>0.72572762994413409</v>
      </c>
      <c r="Y39" s="280">
        <v>0.4</v>
      </c>
      <c r="Z39" s="271" t="s">
        <v>66</v>
      </c>
      <c r="AA39" s="274" t="s">
        <v>99</v>
      </c>
      <c r="AB39" s="272"/>
      <c r="AC39" s="267" t="s">
        <v>149</v>
      </c>
      <c r="AD39" s="298">
        <v>46373</v>
      </c>
      <c r="BA39" s="271">
        <v>1</v>
      </c>
      <c r="BB39" s="267"/>
      <c r="BC39" s="267"/>
      <c r="BD39" s="267"/>
      <c r="BE39" s="267"/>
      <c r="BF39" s="267"/>
      <c r="BG39" s="267"/>
      <c r="BH39" s="267"/>
      <c r="BI39" s="267"/>
      <c r="BJ39" s="267">
        <v>9</v>
      </c>
      <c r="BK39" s="267">
        <f t="shared" si="0"/>
        <v>1</v>
      </c>
      <c r="BL39" s="281">
        <f t="shared" si="1"/>
        <v>0.1111111111111111</v>
      </c>
      <c r="BM39" s="282"/>
      <c r="BN39" s="282"/>
      <c r="BO39" s="282"/>
      <c r="BP39" s="282"/>
      <c r="BQ39" s="282"/>
      <c r="BR39" s="282"/>
      <c r="BS39" s="283" t="s">
        <v>149</v>
      </c>
      <c r="BT39" s="310">
        <f t="shared" si="5"/>
        <v>46373</v>
      </c>
      <c r="BU39" s="310"/>
      <c r="BV39" s="283" t="s">
        <v>150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63.75">
      <c r="A40" s="271">
        <v>24</v>
      </c>
      <c r="B40" s="287" t="s">
        <v>75</v>
      </c>
      <c r="C40" s="272" t="s">
        <v>144</v>
      </c>
      <c r="D40" s="287" t="s">
        <v>77</v>
      </c>
      <c r="E40" s="292">
        <v>7506110694823</v>
      </c>
      <c r="F40" s="292" t="s">
        <v>154</v>
      </c>
      <c r="G40" s="268" t="s">
        <v>146</v>
      </c>
      <c r="H40" s="289" t="s">
        <v>60</v>
      </c>
      <c r="I40" s="270" t="s">
        <v>147</v>
      </c>
      <c r="J40" s="271" t="s">
        <v>62</v>
      </c>
      <c r="K40" s="272" t="s">
        <v>63</v>
      </c>
      <c r="L40" s="268">
        <v>1</v>
      </c>
      <c r="M40" s="273">
        <v>0.98</v>
      </c>
      <c r="N40" s="274" t="s">
        <v>64</v>
      </c>
      <c r="O40" s="274">
        <v>20000</v>
      </c>
      <c r="P40" s="275">
        <v>17.64</v>
      </c>
      <c r="Q40" s="275">
        <v>6.3503999999999996</v>
      </c>
      <c r="R40" s="275">
        <v>1.4034384</v>
      </c>
      <c r="S40" s="299">
        <v>25.3938384</v>
      </c>
      <c r="T40" s="276" t="s">
        <v>148</v>
      </c>
      <c r="U40" s="277">
        <v>179</v>
      </c>
      <c r="V40" s="275">
        <f t="shared" si="2"/>
        <v>92.58620689655173</v>
      </c>
      <c r="W40" s="278">
        <f t="shared" si="3"/>
        <v>0.27427237005586591</v>
      </c>
      <c r="X40" s="279">
        <f t="shared" si="4"/>
        <v>0.72572762994413409</v>
      </c>
      <c r="Y40" s="280">
        <v>0.4</v>
      </c>
      <c r="Z40" s="271" t="s">
        <v>66</v>
      </c>
      <c r="AA40" s="274" t="s">
        <v>99</v>
      </c>
      <c r="AB40" s="272"/>
      <c r="AC40" s="267" t="s">
        <v>149</v>
      </c>
      <c r="AD40" s="298">
        <v>46373</v>
      </c>
      <c r="BA40" s="271">
        <v>1</v>
      </c>
      <c r="BB40" s="267"/>
      <c r="BC40" s="267"/>
      <c r="BD40" s="267"/>
      <c r="BE40" s="267"/>
      <c r="BF40" s="267"/>
      <c r="BG40" s="267"/>
      <c r="BH40" s="267"/>
      <c r="BI40" s="267"/>
      <c r="BJ40" s="267">
        <v>9</v>
      </c>
      <c r="BK40" s="267">
        <f t="shared" si="0"/>
        <v>1</v>
      </c>
      <c r="BL40" s="281">
        <f t="shared" si="1"/>
        <v>0.1111111111111111</v>
      </c>
      <c r="BM40" s="282"/>
      <c r="BN40" s="282"/>
      <c r="BO40" s="282"/>
      <c r="BP40" s="282"/>
      <c r="BQ40" s="282"/>
      <c r="BR40" s="282"/>
      <c r="BS40" s="283" t="s">
        <v>149</v>
      </c>
      <c r="BT40" s="310">
        <f t="shared" si="5"/>
        <v>46373</v>
      </c>
      <c r="BU40" s="310"/>
      <c r="BV40" s="283" t="s">
        <v>150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38.25">
      <c r="A41" s="271">
        <v>25</v>
      </c>
      <c r="B41" s="287" t="s">
        <v>75</v>
      </c>
      <c r="C41" s="272" t="s">
        <v>144</v>
      </c>
      <c r="D41" s="287" t="s">
        <v>77</v>
      </c>
      <c r="E41" s="292">
        <v>7506110694830</v>
      </c>
      <c r="F41" s="267" t="s">
        <v>155</v>
      </c>
      <c r="G41" s="268" t="s">
        <v>156</v>
      </c>
      <c r="H41" s="289" t="s">
        <v>60</v>
      </c>
      <c r="I41" s="270"/>
      <c r="J41" s="271" t="s">
        <v>62</v>
      </c>
      <c r="K41" s="272" t="s">
        <v>63</v>
      </c>
      <c r="L41" s="268">
        <v>1</v>
      </c>
      <c r="M41" s="273"/>
      <c r="N41" s="274" t="s">
        <v>64</v>
      </c>
      <c r="O41" s="274">
        <v>10000</v>
      </c>
      <c r="P41" s="275">
        <v>0</v>
      </c>
      <c r="Q41" s="275">
        <v>0</v>
      </c>
      <c r="R41" s="275">
        <v>0</v>
      </c>
      <c r="S41" s="299">
        <v>25.39</v>
      </c>
      <c r="T41" s="276" t="s">
        <v>157</v>
      </c>
      <c r="U41" s="277">
        <v>179</v>
      </c>
      <c r="V41" s="275">
        <f t="shared" si="2"/>
        <v>92.58620689655173</v>
      </c>
      <c r="W41" s="278">
        <f t="shared" si="3"/>
        <v>0.27423091247672254</v>
      </c>
      <c r="X41" s="279">
        <f t="shared" si="4"/>
        <v>0.7257690875232774</v>
      </c>
      <c r="Y41" s="280">
        <v>0.4</v>
      </c>
      <c r="Z41" s="271" t="s">
        <v>66</v>
      </c>
      <c r="AA41" s="274" t="s">
        <v>99</v>
      </c>
      <c r="AB41" s="272"/>
      <c r="AC41" s="267" t="s">
        <v>149</v>
      </c>
      <c r="AD41" s="298">
        <v>46327</v>
      </c>
      <c r="BA41" s="271">
        <v>1</v>
      </c>
      <c r="BB41" s="288"/>
      <c r="BC41" s="288"/>
      <c r="BD41" s="288"/>
      <c r="BE41" s="288"/>
      <c r="BF41" s="288"/>
      <c r="BG41" s="288"/>
      <c r="BH41" s="288"/>
      <c r="BI41" s="288"/>
      <c r="BJ41" s="267">
        <v>9</v>
      </c>
      <c r="BK41" s="267">
        <f t="shared" si="0"/>
        <v>1</v>
      </c>
      <c r="BL41" s="281">
        <f t="shared" si="1"/>
        <v>0.1111111111111111</v>
      </c>
      <c r="BM41" s="282"/>
      <c r="BN41" s="282"/>
      <c r="BO41" s="282"/>
      <c r="BP41" s="282"/>
      <c r="BQ41" s="282"/>
      <c r="BR41" s="282"/>
      <c r="BS41" s="283" t="s">
        <v>149</v>
      </c>
      <c r="BT41" s="310">
        <f t="shared" si="5"/>
        <v>46327</v>
      </c>
      <c r="BU41" s="310"/>
      <c r="BV41" s="283" t="s">
        <v>109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33">
      <c r="A42" s="271">
        <v>26</v>
      </c>
      <c r="B42" s="287" t="s">
        <v>75</v>
      </c>
      <c r="C42" s="272" t="s">
        <v>144</v>
      </c>
      <c r="D42" s="287" t="s">
        <v>77</v>
      </c>
      <c r="E42" s="292"/>
      <c r="F42" s="267" t="s">
        <v>158</v>
      </c>
      <c r="G42" s="268" t="s">
        <v>156</v>
      </c>
      <c r="H42" s="289" t="s">
        <v>60</v>
      </c>
      <c r="I42" s="270"/>
      <c r="J42" s="271" t="s">
        <v>62</v>
      </c>
      <c r="K42" s="272" t="s">
        <v>63</v>
      </c>
      <c r="L42" s="268">
        <v>1</v>
      </c>
      <c r="M42" s="273"/>
      <c r="N42" s="274" t="s">
        <v>64</v>
      </c>
      <c r="O42" s="274">
        <v>10000</v>
      </c>
      <c r="P42" s="275">
        <v>0</v>
      </c>
      <c r="Q42" s="275">
        <v>0</v>
      </c>
      <c r="R42" s="275">
        <v>0</v>
      </c>
      <c r="S42" s="299">
        <v>25.39</v>
      </c>
      <c r="T42" s="276"/>
      <c r="U42" s="277">
        <v>179</v>
      </c>
      <c r="V42" s="275">
        <f t="shared" si="2"/>
        <v>92.58620689655173</v>
      </c>
      <c r="W42" s="278">
        <f t="shared" si="3"/>
        <v>0.27423091247672254</v>
      </c>
      <c r="X42" s="279">
        <f t="shared" si="4"/>
        <v>0.7257690875232774</v>
      </c>
      <c r="Y42" s="280">
        <v>0.4</v>
      </c>
      <c r="Z42" s="271"/>
      <c r="AA42" s="274"/>
      <c r="AB42" s="272"/>
      <c r="AC42" s="267" t="s">
        <v>149</v>
      </c>
      <c r="AD42" s="298">
        <v>46327</v>
      </c>
      <c r="BA42" s="271">
        <v>1</v>
      </c>
      <c r="BB42" s="288"/>
      <c r="BC42" s="288"/>
      <c r="BD42" s="288"/>
      <c r="BE42" s="288"/>
      <c r="BF42" s="288"/>
      <c r="BG42" s="288"/>
      <c r="BH42" s="288"/>
      <c r="BI42" s="288"/>
      <c r="BJ42" s="267">
        <v>9</v>
      </c>
      <c r="BK42" s="267">
        <f t="shared" si="0"/>
        <v>1</v>
      </c>
      <c r="BL42" s="281">
        <f t="shared" si="1"/>
        <v>0.1111111111111111</v>
      </c>
      <c r="BM42" s="282"/>
      <c r="BN42" s="282"/>
      <c r="BO42" s="282"/>
      <c r="BP42" s="282"/>
      <c r="BQ42" s="282"/>
      <c r="BR42" s="282"/>
      <c r="BS42" s="283" t="s">
        <v>149</v>
      </c>
      <c r="BT42" s="310">
        <f t="shared" si="5"/>
        <v>46327</v>
      </c>
      <c r="BU42" s="310"/>
      <c r="BV42" s="283" t="s">
        <v>109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33">
      <c r="A43" s="271">
        <v>28</v>
      </c>
      <c r="B43" s="287" t="s">
        <v>75</v>
      </c>
      <c r="C43" s="288" t="s">
        <v>159</v>
      </c>
      <c r="D43" s="287" t="s">
        <v>77</v>
      </c>
      <c r="E43" s="292"/>
      <c r="F43" s="292" t="s">
        <v>160</v>
      </c>
      <c r="G43" s="268" t="s">
        <v>161</v>
      </c>
      <c r="H43" s="289" t="s">
        <v>60</v>
      </c>
      <c r="I43" s="270" t="s">
        <v>162</v>
      </c>
      <c r="J43" s="271" t="s">
        <v>62</v>
      </c>
      <c r="K43" s="272" t="s">
        <v>63</v>
      </c>
      <c r="L43" s="268">
        <v>1</v>
      </c>
      <c r="M43" s="300"/>
      <c r="N43" s="274" t="s">
        <v>64</v>
      </c>
      <c r="O43" s="274">
        <v>20000</v>
      </c>
      <c r="P43" s="275">
        <v>0</v>
      </c>
      <c r="Q43" s="275"/>
      <c r="R43" s="275"/>
      <c r="S43" s="275">
        <v>271.11</v>
      </c>
      <c r="T43" s="275"/>
      <c r="U43" s="277">
        <v>1499</v>
      </c>
      <c r="V43" s="275">
        <f t="shared" si="2"/>
        <v>775.34482758620686</v>
      </c>
      <c r="W43" s="278">
        <f t="shared" si="3"/>
        <v>0.34966377585056707</v>
      </c>
      <c r="X43" s="279">
        <f t="shared" si="4"/>
        <v>0.65033622414943293</v>
      </c>
      <c r="Y43" s="280">
        <v>0.4</v>
      </c>
      <c r="Z43" s="271" t="s">
        <v>66</v>
      </c>
      <c r="AA43" s="274" t="s">
        <v>99</v>
      </c>
      <c r="AB43" s="272"/>
      <c r="AC43" s="301" t="s">
        <v>163</v>
      </c>
      <c r="AD43" s="302">
        <v>46327</v>
      </c>
      <c r="BA43" s="271">
        <v>1</v>
      </c>
      <c r="BB43" s="271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164</v>
      </c>
      <c r="BT43" s="310">
        <f t="shared" si="5"/>
        <v>46327</v>
      </c>
      <c r="BU43" s="310"/>
      <c r="BV43" s="283" t="s">
        <v>109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128.25">
      <c r="A44" s="271">
        <v>29</v>
      </c>
      <c r="B44" s="287" t="s">
        <v>75</v>
      </c>
      <c r="C44" s="272" t="s">
        <v>165</v>
      </c>
      <c r="D44" s="287" t="s">
        <v>77</v>
      </c>
      <c r="E44" s="292"/>
      <c r="F44" s="267" t="s">
        <v>166</v>
      </c>
      <c r="G44" s="268" t="s">
        <v>167</v>
      </c>
      <c r="H44" s="289" t="s">
        <v>60</v>
      </c>
      <c r="I44" s="270" t="s">
        <v>168</v>
      </c>
      <c r="J44" s="271" t="s">
        <v>62</v>
      </c>
      <c r="K44" s="272" t="s">
        <v>63</v>
      </c>
      <c r="L44" s="268">
        <v>1</v>
      </c>
      <c r="M44" s="273">
        <v>0.59</v>
      </c>
      <c r="N44" s="274" t="s">
        <v>64</v>
      </c>
      <c r="O44" s="274">
        <v>12000</v>
      </c>
      <c r="P44" s="275">
        <v>10.62</v>
      </c>
      <c r="Q44" s="275">
        <v>2.6549999999999998</v>
      </c>
      <c r="R44" s="275">
        <v>1.19475</v>
      </c>
      <c r="S44" s="275">
        <v>14.469749999999999</v>
      </c>
      <c r="T44" s="276" t="s">
        <v>169</v>
      </c>
      <c r="U44" s="277">
        <v>149</v>
      </c>
      <c r="V44" s="275">
        <f t="shared" si="2"/>
        <v>77.068965517241381</v>
      </c>
      <c r="W44" s="278">
        <f t="shared" si="3"/>
        <v>0.18775067114093957</v>
      </c>
      <c r="X44" s="279">
        <f t="shared" si="4"/>
        <v>0.81224932885906043</v>
      </c>
      <c r="Y44" s="280">
        <v>0.4</v>
      </c>
      <c r="Z44" s="271" t="s">
        <v>66</v>
      </c>
      <c r="AA44" s="274" t="s">
        <v>67</v>
      </c>
      <c r="AB44" s="272"/>
      <c r="AC44" s="267" t="s">
        <v>170</v>
      </c>
      <c r="AD44" s="267" t="s">
        <v>171</v>
      </c>
      <c r="BA44" s="271">
        <v>1</v>
      </c>
      <c r="BB44" s="267"/>
      <c r="BC44" s="267"/>
      <c r="BD44" s="267">
        <v>1</v>
      </c>
      <c r="BE44" s="267"/>
      <c r="BF44" s="267"/>
      <c r="BG44" s="267"/>
      <c r="BH44" s="267"/>
      <c r="BI44" s="267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164</v>
      </c>
      <c r="BT44" s="310" t="str">
        <f t="shared" si="5"/>
        <v>Calendario de Adviento</v>
      </c>
      <c r="BU44" s="310"/>
      <c r="BV44" s="311"/>
      <c r="CJ44" s="283"/>
      <c r="CK44" s="283"/>
      <c r="CL44" s="283"/>
      <c r="CM44" s="283"/>
      <c r="CN44" s="283"/>
      <c r="CO44" s="283"/>
      <c r="CP44" s="284"/>
      <c r="CQ44" s="284"/>
      <c r="CR44" s="303"/>
      <c r="CS44" s="303"/>
      <c r="CT44" s="303"/>
      <c r="CU44" s="303"/>
      <c r="CV44" s="303"/>
      <c r="CW44" s="303"/>
      <c r="CX44" s="303"/>
      <c r="CY44" s="303"/>
      <c r="CZ44" s="303"/>
      <c r="DA44" s="303"/>
    </row>
    <row r="45" spans="1:105" ht="22.5">
      <c r="A45" s="271"/>
      <c r="B45" s="287"/>
      <c r="C45" s="272" t="s">
        <v>172</v>
      </c>
      <c r="D45" s="287" t="s">
        <v>77</v>
      </c>
      <c r="E45" s="292"/>
      <c r="F45" s="267" t="s">
        <v>166</v>
      </c>
      <c r="G45" s="268" t="s">
        <v>167</v>
      </c>
      <c r="H45" s="289" t="s">
        <v>60</v>
      </c>
      <c r="I45" s="270" t="s">
        <v>168</v>
      </c>
      <c r="J45" s="271" t="s">
        <v>62</v>
      </c>
      <c r="K45" s="272" t="s">
        <v>63</v>
      </c>
      <c r="L45" s="268">
        <v>1</v>
      </c>
      <c r="M45" s="273"/>
      <c r="N45" s="274" t="s">
        <v>64</v>
      </c>
      <c r="O45" s="274">
        <v>12000</v>
      </c>
      <c r="P45" s="275">
        <v>10.62</v>
      </c>
      <c r="Q45" s="275">
        <v>2.6549999999999998</v>
      </c>
      <c r="R45" s="275">
        <v>1.19475</v>
      </c>
      <c r="S45" s="275">
        <v>14.469749999999999</v>
      </c>
      <c r="T45" s="276"/>
      <c r="U45" s="277"/>
      <c r="V45" s="275">
        <f t="shared" ref="V45" si="6">(U45/1.16)*0.6</f>
        <v>0</v>
      </c>
      <c r="W45" s="278" t="e">
        <f t="shared" ref="W45" si="7">+S45/V45</f>
        <v>#DIV/0!</v>
      </c>
      <c r="X45" s="279" t="e">
        <f t="shared" ref="X45" si="8">1-(S45/V45)</f>
        <v>#DIV/0!</v>
      </c>
      <c r="Y45" s="280">
        <v>0.4</v>
      </c>
      <c r="Z45" s="271" t="s">
        <v>66</v>
      </c>
      <c r="AA45" s="274" t="s">
        <v>67</v>
      </c>
      <c r="AB45" s="272"/>
      <c r="AC45" s="267" t="s">
        <v>173</v>
      </c>
      <c r="AD45" s="267" t="s">
        <v>174</v>
      </c>
      <c r="BA45" s="271"/>
      <c r="BB45" s="267"/>
      <c r="BC45" s="267"/>
      <c r="BD45" s="267"/>
      <c r="BE45" s="267"/>
      <c r="BF45" s="267"/>
      <c r="BG45" s="267"/>
      <c r="BH45" s="267"/>
      <c r="BI45" s="267"/>
      <c r="BJ45" s="267"/>
      <c r="BK45" s="267"/>
      <c r="BL45" s="281"/>
      <c r="BM45" s="282"/>
      <c r="BN45" s="282"/>
      <c r="BO45" s="282"/>
      <c r="BP45" s="282"/>
      <c r="BQ45" s="282"/>
      <c r="BR45" s="282"/>
      <c r="BS45" s="283" t="s">
        <v>175</v>
      </c>
      <c r="BT45" s="310" t="str">
        <f>+AD45</f>
        <v>Septiembre</v>
      </c>
      <c r="BU45" s="310"/>
      <c r="BV45" s="283"/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1">
      <c r="A46" s="271">
        <v>33</v>
      </c>
      <c r="B46" s="287" t="s">
        <v>75</v>
      </c>
      <c r="C46" s="288" t="s">
        <v>176</v>
      </c>
      <c r="D46" s="287"/>
      <c r="E46" s="267"/>
      <c r="F46" s="267" t="s">
        <v>177</v>
      </c>
      <c r="G46" s="268" t="s">
        <v>178</v>
      </c>
      <c r="H46" s="304" t="s">
        <v>60</v>
      </c>
      <c r="I46" s="270" t="s">
        <v>80</v>
      </c>
      <c r="J46" s="271" t="s">
        <v>62</v>
      </c>
      <c r="K46" s="272" t="s">
        <v>63</v>
      </c>
      <c r="L46" s="268">
        <v>1</v>
      </c>
      <c r="M46" s="297"/>
      <c r="N46" s="274" t="s">
        <v>81</v>
      </c>
      <c r="O46" s="274">
        <v>20000</v>
      </c>
      <c r="P46" s="275">
        <v>0</v>
      </c>
      <c r="Q46" s="275"/>
      <c r="R46" s="275"/>
      <c r="S46" s="275">
        <v>0</v>
      </c>
      <c r="T46" s="276" t="s">
        <v>179</v>
      </c>
      <c r="U46" s="277">
        <v>189</v>
      </c>
      <c r="V46" s="275">
        <f t="shared" si="2"/>
        <v>97.758620689655174</v>
      </c>
      <c r="W46" s="278">
        <f t="shared" si="3"/>
        <v>0</v>
      </c>
      <c r="X46" s="279">
        <f t="shared" si="4"/>
        <v>1</v>
      </c>
      <c r="Y46" s="280">
        <v>0.4</v>
      </c>
      <c r="Z46" s="271" t="s">
        <v>66</v>
      </c>
      <c r="AA46" s="274" t="s">
        <v>99</v>
      </c>
      <c r="AB46" s="272"/>
      <c r="AC46" s="267" t="s">
        <v>180</v>
      </c>
      <c r="AD46" s="267"/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8</v>
      </c>
      <c r="BK46" s="267">
        <f t="shared" ref="BK46:BK68" si="9">SUM(BA46:BI46)</f>
        <v>1</v>
      </c>
      <c r="BL46" s="281">
        <f t="shared" ref="BL46:BL68" si="10">+BK46/BJ46</f>
        <v>0.125</v>
      </c>
      <c r="BM46" s="282"/>
      <c r="BN46" s="282"/>
      <c r="BO46" s="282"/>
      <c r="BP46" s="282"/>
      <c r="BQ46" s="282"/>
      <c r="BR46" s="282"/>
      <c r="BS46" s="283" t="s">
        <v>181</v>
      </c>
      <c r="BT46" s="310">
        <f t="shared" si="5"/>
        <v>0</v>
      </c>
      <c r="BU46" s="310"/>
      <c r="BV46" s="283" t="s">
        <v>150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89.25">
      <c r="A47" s="271">
        <v>34</v>
      </c>
      <c r="B47" s="287" t="s">
        <v>75</v>
      </c>
      <c r="C47" s="288" t="s">
        <v>176</v>
      </c>
      <c r="D47" s="287"/>
      <c r="E47" s="292">
        <v>7506110691594</v>
      </c>
      <c r="F47" s="267" t="s">
        <v>182</v>
      </c>
      <c r="G47" s="268" t="s">
        <v>183</v>
      </c>
      <c r="H47" s="289" t="s">
        <v>60</v>
      </c>
      <c r="I47" s="270" t="s">
        <v>184</v>
      </c>
      <c r="J47" s="271" t="s">
        <v>62</v>
      </c>
      <c r="K47" s="272" t="s">
        <v>63</v>
      </c>
      <c r="L47" s="268">
        <v>1</v>
      </c>
      <c r="M47" s="297"/>
      <c r="N47" s="274" t="s">
        <v>64</v>
      </c>
      <c r="O47" s="274">
        <v>20000</v>
      </c>
      <c r="P47" s="275">
        <v>0</v>
      </c>
      <c r="Q47" s="275"/>
      <c r="R47" s="275">
        <v>0</v>
      </c>
      <c r="S47" s="275">
        <v>0</v>
      </c>
      <c r="T47" s="276" t="s">
        <v>185</v>
      </c>
      <c r="U47" s="277">
        <v>899</v>
      </c>
      <c r="V47" s="275">
        <f t="shared" si="2"/>
        <v>465</v>
      </c>
      <c r="W47" s="278">
        <f t="shared" si="3"/>
        <v>0</v>
      </c>
      <c r="X47" s="279">
        <f t="shared" si="4"/>
        <v>1</v>
      </c>
      <c r="Y47" s="280">
        <v>0.4</v>
      </c>
      <c r="Z47" s="271" t="s">
        <v>66</v>
      </c>
      <c r="AA47" s="274" t="s">
        <v>99</v>
      </c>
      <c r="AB47" s="272"/>
      <c r="AC47" s="267"/>
      <c r="AD47" s="267"/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8</v>
      </c>
      <c r="BK47" s="267">
        <f t="shared" si="9"/>
        <v>1</v>
      </c>
      <c r="BL47" s="281">
        <f t="shared" si="10"/>
        <v>0.125</v>
      </c>
      <c r="BM47" s="282"/>
      <c r="BN47" s="282"/>
      <c r="BO47" s="282"/>
      <c r="BP47" s="282"/>
      <c r="BQ47" s="282"/>
      <c r="BR47" s="282"/>
      <c r="BS47" s="283" t="s">
        <v>186</v>
      </c>
      <c r="BT47" s="310">
        <f t="shared" si="5"/>
        <v>0</v>
      </c>
      <c r="BU47" s="310"/>
      <c r="BV47" s="283" t="s">
        <v>109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76.5">
      <c r="A48" s="271">
        <v>35</v>
      </c>
      <c r="B48" s="287" t="s">
        <v>75</v>
      </c>
      <c r="C48" s="288" t="s">
        <v>176</v>
      </c>
      <c r="D48" s="287"/>
      <c r="E48" s="292">
        <v>7506110691600</v>
      </c>
      <c r="F48" s="267" t="s">
        <v>187</v>
      </c>
      <c r="G48" s="268" t="s">
        <v>188</v>
      </c>
      <c r="H48" s="289" t="s">
        <v>60</v>
      </c>
      <c r="I48" s="270" t="s">
        <v>189</v>
      </c>
      <c r="J48" s="271" t="s">
        <v>62</v>
      </c>
      <c r="K48" s="272" t="s">
        <v>63</v>
      </c>
      <c r="L48" s="268">
        <v>1</v>
      </c>
      <c r="M48" s="297"/>
      <c r="N48" s="274" t="s">
        <v>64</v>
      </c>
      <c r="O48" s="274">
        <v>20000</v>
      </c>
      <c r="P48" s="275">
        <v>0</v>
      </c>
      <c r="Q48" s="275"/>
      <c r="R48" s="275">
        <v>0</v>
      </c>
      <c r="S48" s="275">
        <v>0</v>
      </c>
      <c r="T48" s="276" t="s">
        <v>190</v>
      </c>
      <c r="U48" s="277">
        <v>399</v>
      </c>
      <c r="V48" s="275">
        <f t="shared" si="2"/>
        <v>206.37931034482762</v>
      </c>
      <c r="W48" s="278">
        <f t="shared" si="3"/>
        <v>0</v>
      </c>
      <c r="X48" s="279">
        <f t="shared" si="4"/>
        <v>1</v>
      </c>
      <c r="Y48" s="280">
        <v>0.4</v>
      </c>
      <c r="Z48" s="271" t="s">
        <v>66</v>
      </c>
      <c r="AA48" s="274" t="s">
        <v>99</v>
      </c>
      <c r="AB48" s="272"/>
      <c r="AC48" s="267" t="s">
        <v>191</v>
      </c>
      <c r="AD48" s="267"/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8</v>
      </c>
      <c r="BK48" s="267">
        <f t="shared" si="9"/>
        <v>1</v>
      </c>
      <c r="BL48" s="281">
        <f t="shared" si="10"/>
        <v>0.125</v>
      </c>
      <c r="BM48" s="282"/>
      <c r="BN48" s="282"/>
      <c r="BO48" s="282"/>
      <c r="BP48" s="282"/>
      <c r="BQ48" s="282"/>
      <c r="BR48" s="282"/>
      <c r="BS48" s="283" t="s">
        <v>191</v>
      </c>
      <c r="BT48" s="310">
        <f t="shared" si="5"/>
        <v>0</v>
      </c>
      <c r="BU48" s="310"/>
      <c r="BV48" s="283"/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63.75">
      <c r="A49" s="271">
        <v>36</v>
      </c>
      <c r="B49" s="287" t="s">
        <v>75</v>
      </c>
      <c r="C49" s="288" t="s">
        <v>176</v>
      </c>
      <c r="D49" s="287"/>
      <c r="E49" s="267"/>
      <c r="F49" s="267" t="s">
        <v>192</v>
      </c>
      <c r="G49" s="268" t="s">
        <v>193</v>
      </c>
      <c r="H49" s="289" t="s">
        <v>60</v>
      </c>
      <c r="I49" s="295" t="s">
        <v>194</v>
      </c>
      <c r="J49" s="271" t="s">
        <v>62</v>
      </c>
      <c r="K49" s="272" t="s">
        <v>63</v>
      </c>
      <c r="L49" s="268">
        <v>1</v>
      </c>
      <c r="M49" s="300"/>
      <c r="N49" s="274" t="s">
        <v>81</v>
      </c>
      <c r="O49" s="274">
        <v>10000</v>
      </c>
      <c r="P49" s="275">
        <v>15.99</v>
      </c>
      <c r="Q49" s="275"/>
      <c r="R49" s="275"/>
      <c r="S49" s="275">
        <v>15.99</v>
      </c>
      <c r="T49" s="276" t="s">
        <v>195</v>
      </c>
      <c r="U49" s="277">
        <v>199</v>
      </c>
      <c r="V49" s="275">
        <f t="shared" si="2"/>
        <v>102.93103448275862</v>
      </c>
      <c r="W49" s="278">
        <f t="shared" si="3"/>
        <v>0.1553467336683417</v>
      </c>
      <c r="X49" s="279">
        <f t="shared" si="4"/>
        <v>0.84465326633165827</v>
      </c>
      <c r="Y49" s="280">
        <v>0.4</v>
      </c>
      <c r="Z49" s="271"/>
      <c r="AA49" s="296"/>
      <c r="AB49" s="268"/>
      <c r="AC49" s="268" t="s">
        <v>196</v>
      </c>
      <c r="AD49" s="268"/>
      <c r="BA49" s="271">
        <v>1</v>
      </c>
      <c r="BB49" s="271"/>
      <c r="BC49" s="271"/>
      <c r="BD49" s="271"/>
      <c r="BE49" s="271"/>
      <c r="BF49" s="271"/>
      <c r="BG49" s="271"/>
      <c r="BH49" s="271"/>
      <c r="BI49" s="271"/>
      <c r="BJ49" s="267">
        <v>8</v>
      </c>
      <c r="BK49" s="267">
        <f t="shared" si="9"/>
        <v>1</v>
      </c>
      <c r="BL49" s="281">
        <f t="shared" si="10"/>
        <v>0.125</v>
      </c>
      <c r="BM49" s="282"/>
      <c r="BN49" s="282"/>
      <c r="BO49" s="282"/>
      <c r="BP49" s="282"/>
      <c r="BQ49" s="282"/>
      <c r="BR49" s="282"/>
      <c r="BS49" s="283" t="s">
        <v>196</v>
      </c>
      <c r="BT49" s="310">
        <f t="shared" si="5"/>
        <v>0</v>
      </c>
      <c r="BU49" s="310"/>
      <c r="BV49" s="283" t="s">
        <v>109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63.75">
      <c r="A50" s="271">
        <v>37</v>
      </c>
      <c r="B50" s="287" t="s">
        <v>75</v>
      </c>
      <c r="C50" s="288" t="s">
        <v>176</v>
      </c>
      <c r="D50" s="287"/>
      <c r="E50" s="267"/>
      <c r="F50" s="267" t="s">
        <v>197</v>
      </c>
      <c r="G50" s="268" t="s">
        <v>198</v>
      </c>
      <c r="H50" s="289" t="s">
        <v>60</v>
      </c>
      <c r="I50" s="295" t="s">
        <v>194</v>
      </c>
      <c r="J50" s="271" t="s">
        <v>62</v>
      </c>
      <c r="K50" s="272" t="s">
        <v>63</v>
      </c>
      <c r="L50" s="268">
        <v>1</v>
      </c>
      <c r="M50" s="300"/>
      <c r="N50" s="274" t="s">
        <v>81</v>
      </c>
      <c r="O50" s="274">
        <v>10000</v>
      </c>
      <c r="P50" s="275">
        <v>15.99</v>
      </c>
      <c r="Q50" s="275"/>
      <c r="R50" s="275"/>
      <c r="S50" s="275">
        <v>15.99</v>
      </c>
      <c r="T50" s="276" t="s">
        <v>195</v>
      </c>
      <c r="U50" s="277">
        <v>199</v>
      </c>
      <c r="V50" s="275">
        <f t="shared" si="2"/>
        <v>102.93103448275862</v>
      </c>
      <c r="W50" s="278">
        <f t="shared" si="3"/>
        <v>0.1553467336683417</v>
      </c>
      <c r="X50" s="279">
        <f t="shared" si="4"/>
        <v>0.84465326633165827</v>
      </c>
      <c r="Y50" s="280">
        <v>0.4</v>
      </c>
      <c r="Z50" s="271"/>
      <c r="AA50" s="296"/>
      <c r="AB50" s="268"/>
      <c r="AC50" s="268" t="s">
        <v>196</v>
      </c>
      <c r="AD50" s="268"/>
      <c r="BA50" s="271">
        <v>1</v>
      </c>
      <c r="BB50" s="271"/>
      <c r="BC50" s="271"/>
      <c r="BD50" s="271"/>
      <c r="BE50" s="271"/>
      <c r="BF50" s="271"/>
      <c r="BG50" s="271"/>
      <c r="BH50" s="271"/>
      <c r="BI50" s="271"/>
      <c r="BJ50" s="267">
        <v>8</v>
      </c>
      <c r="BK50" s="267">
        <f t="shared" si="9"/>
        <v>1</v>
      </c>
      <c r="BL50" s="281">
        <f t="shared" si="10"/>
        <v>0.125</v>
      </c>
      <c r="BM50" s="282"/>
      <c r="BN50" s="282"/>
      <c r="BO50" s="282"/>
      <c r="BP50" s="282"/>
      <c r="BQ50" s="282"/>
      <c r="BR50" s="282"/>
      <c r="BS50" s="283" t="s">
        <v>196</v>
      </c>
      <c r="BT50" s="310">
        <f t="shared" si="5"/>
        <v>0</v>
      </c>
      <c r="BU50" s="310"/>
      <c r="BV50" s="283" t="s">
        <v>109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8.25">
      <c r="A51" s="271">
        <v>38</v>
      </c>
      <c r="B51" s="287" t="s">
        <v>75</v>
      </c>
      <c r="C51" s="288" t="s">
        <v>176</v>
      </c>
      <c r="D51" s="287"/>
      <c r="E51" s="292">
        <v>7506110694830</v>
      </c>
      <c r="F51" s="267" t="s">
        <v>199</v>
      </c>
      <c r="G51" s="268" t="s">
        <v>200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300"/>
      <c r="N51" s="274" t="s">
        <v>64</v>
      </c>
      <c r="O51" s="274">
        <v>20000</v>
      </c>
      <c r="P51" s="275">
        <v>0</v>
      </c>
      <c r="Q51" s="275"/>
      <c r="R51" s="275"/>
      <c r="S51" s="275">
        <v>0</v>
      </c>
      <c r="T51" s="276" t="s">
        <v>201</v>
      </c>
      <c r="U51" s="277">
        <v>299</v>
      </c>
      <c r="V51" s="275">
        <f t="shared" si="2"/>
        <v>154.65517241379311</v>
      </c>
      <c r="W51" s="278">
        <f t="shared" si="3"/>
        <v>0</v>
      </c>
      <c r="X51" s="279">
        <f t="shared" si="4"/>
        <v>1</v>
      </c>
      <c r="Y51" s="280">
        <v>0.4</v>
      </c>
      <c r="Z51" s="271" t="s">
        <v>66</v>
      </c>
      <c r="AA51" s="274" t="s">
        <v>99</v>
      </c>
      <c r="AB51" s="272"/>
      <c r="AC51" s="272"/>
      <c r="AD51" s="272"/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8</v>
      </c>
      <c r="BK51" s="267">
        <f t="shared" si="9"/>
        <v>1</v>
      </c>
      <c r="BL51" s="281">
        <f t="shared" si="10"/>
        <v>0.125</v>
      </c>
      <c r="BM51" s="282"/>
      <c r="BN51" s="282"/>
      <c r="BO51" s="282"/>
      <c r="BP51" s="282"/>
      <c r="BQ51" s="282"/>
      <c r="BR51" s="282"/>
      <c r="BS51" s="283" t="s">
        <v>191</v>
      </c>
      <c r="BT51" s="310">
        <f t="shared" si="5"/>
        <v>0</v>
      </c>
      <c r="BU51" s="310"/>
      <c r="BV51" s="283"/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76.5">
      <c r="A52" s="271">
        <v>39</v>
      </c>
      <c r="B52" s="287" t="s">
        <v>75</v>
      </c>
      <c r="C52" s="288" t="s">
        <v>176</v>
      </c>
      <c r="D52" s="287"/>
      <c r="E52" s="267">
        <v>7506110694052</v>
      </c>
      <c r="F52" s="267" t="s">
        <v>202</v>
      </c>
      <c r="G52" s="268" t="s">
        <v>203</v>
      </c>
      <c r="H52" s="289" t="s">
        <v>60</v>
      </c>
      <c r="I52" s="270" t="s">
        <v>204</v>
      </c>
      <c r="J52" s="271" t="s">
        <v>62</v>
      </c>
      <c r="K52" s="272" t="s">
        <v>63</v>
      </c>
      <c r="L52" s="268">
        <v>1</v>
      </c>
      <c r="M52" s="300">
        <v>4.2</v>
      </c>
      <c r="N52" s="274" t="s">
        <v>64</v>
      </c>
      <c r="O52" s="305">
        <v>10000</v>
      </c>
      <c r="P52" s="275">
        <v>75.599999999999994</v>
      </c>
      <c r="Q52" s="275"/>
      <c r="R52" s="275"/>
      <c r="S52" s="275">
        <v>90.72</v>
      </c>
      <c r="T52" s="276" t="s">
        <v>205</v>
      </c>
      <c r="U52" s="277">
        <v>499</v>
      </c>
      <c r="V52" s="275">
        <f t="shared" si="2"/>
        <v>258.10344827586209</v>
      </c>
      <c r="W52" s="278">
        <f t="shared" si="3"/>
        <v>0.35148697394789574</v>
      </c>
      <c r="X52" s="279">
        <f t="shared" si="4"/>
        <v>0.64851302605210426</v>
      </c>
      <c r="Y52" s="280">
        <v>0.3</v>
      </c>
      <c r="Z52" s="271"/>
      <c r="AA52" s="274"/>
      <c r="AB52" s="272"/>
      <c r="AC52" s="272"/>
      <c r="AD52" s="272"/>
      <c r="BA52" s="271">
        <v>1</v>
      </c>
      <c r="BB52" s="288"/>
      <c r="BC52" s="288"/>
      <c r="BD52" s="288"/>
      <c r="BE52" s="288"/>
      <c r="BF52" s="288"/>
      <c r="BG52" s="288"/>
      <c r="BH52" s="288"/>
      <c r="BI52" s="288"/>
      <c r="BJ52" s="267">
        <v>8</v>
      </c>
      <c r="BK52" s="267">
        <f t="shared" si="9"/>
        <v>1</v>
      </c>
      <c r="BL52" s="281">
        <f t="shared" si="10"/>
        <v>0.125</v>
      </c>
      <c r="BM52" s="282"/>
      <c r="BN52" s="282"/>
      <c r="BO52" s="282"/>
      <c r="BP52" s="282"/>
      <c r="BQ52" s="282"/>
      <c r="BR52" s="282"/>
      <c r="BS52" s="283" t="s">
        <v>191</v>
      </c>
      <c r="BT52" s="310">
        <f t="shared" si="5"/>
        <v>0</v>
      </c>
      <c r="BU52" s="310"/>
      <c r="BV52" s="283"/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76.5">
      <c r="A53" s="271">
        <v>40</v>
      </c>
      <c r="B53" s="287" t="s">
        <v>75</v>
      </c>
      <c r="C53" s="288" t="s">
        <v>176</v>
      </c>
      <c r="D53" s="287"/>
      <c r="E53" s="267">
        <v>7506110694076</v>
      </c>
      <c r="F53" s="267" t="s">
        <v>206</v>
      </c>
      <c r="G53" s="268" t="s">
        <v>207</v>
      </c>
      <c r="H53" s="289" t="s">
        <v>60</v>
      </c>
      <c r="I53" s="270" t="s">
        <v>204</v>
      </c>
      <c r="J53" s="271" t="s">
        <v>62</v>
      </c>
      <c r="K53" s="272" t="s">
        <v>63</v>
      </c>
      <c r="L53" s="268">
        <v>1</v>
      </c>
      <c r="M53" s="300">
        <v>2</v>
      </c>
      <c r="N53" s="274" t="s">
        <v>64</v>
      </c>
      <c r="O53" s="305">
        <v>10000</v>
      </c>
      <c r="P53" s="275">
        <v>36</v>
      </c>
      <c r="Q53" s="275"/>
      <c r="R53" s="275"/>
      <c r="S53" s="275">
        <v>43.2</v>
      </c>
      <c r="T53" s="276" t="s">
        <v>208</v>
      </c>
      <c r="U53" s="277">
        <v>229</v>
      </c>
      <c r="V53" s="275">
        <f t="shared" si="2"/>
        <v>118.44827586206897</v>
      </c>
      <c r="W53" s="278">
        <f t="shared" si="3"/>
        <v>0.3647161572052402</v>
      </c>
      <c r="X53" s="279">
        <f t="shared" si="4"/>
        <v>0.6352838427947598</v>
      </c>
      <c r="Y53" s="280">
        <v>0.3</v>
      </c>
      <c r="Z53" s="271" t="s">
        <v>66</v>
      </c>
      <c r="AA53" s="274" t="s">
        <v>99</v>
      </c>
      <c r="AB53" s="272"/>
      <c r="AC53" s="272"/>
      <c r="AD53" s="272"/>
      <c r="BA53" s="271">
        <v>1</v>
      </c>
      <c r="BB53" s="288"/>
      <c r="BC53" s="288"/>
      <c r="BD53" s="288"/>
      <c r="BE53" s="288"/>
      <c r="BF53" s="288"/>
      <c r="BG53" s="288"/>
      <c r="BH53" s="288"/>
      <c r="BI53" s="288"/>
      <c r="BJ53" s="267">
        <v>8</v>
      </c>
      <c r="BK53" s="267">
        <f t="shared" si="9"/>
        <v>1</v>
      </c>
      <c r="BL53" s="281">
        <f t="shared" si="10"/>
        <v>0.125</v>
      </c>
      <c r="BM53" s="282"/>
      <c r="BN53" s="282"/>
      <c r="BO53" s="282"/>
      <c r="BP53" s="282"/>
      <c r="BQ53" s="282"/>
      <c r="BR53" s="282"/>
      <c r="BS53" s="283" t="s">
        <v>191</v>
      </c>
      <c r="BT53" s="310">
        <f t="shared" si="5"/>
        <v>0</v>
      </c>
      <c r="BU53" s="310"/>
      <c r="BV53" s="283"/>
      <c r="CJ53" s="283"/>
      <c r="CK53" s="283"/>
      <c r="CL53" s="283"/>
      <c r="CM53" s="283"/>
      <c r="CN53" s="283"/>
      <c r="CO53" s="283"/>
      <c r="CP53" s="284"/>
      <c r="CQ53" s="284"/>
      <c r="CR53" s="285"/>
      <c r="CS53" s="285"/>
      <c r="CT53" s="285"/>
      <c r="CU53" s="285"/>
      <c r="CV53" s="285"/>
      <c r="CW53" s="285"/>
      <c r="CX53" s="285"/>
      <c r="CY53" s="285"/>
      <c r="CZ53" s="285"/>
      <c r="DA53" s="285"/>
    </row>
    <row r="54" spans="1:105" ht="38.25">
      <c r="A54" s="271">
        <v>41</v>
      </c>
      <c r="B54" s="287" t="s">
        <v>75</v>
      </c>
      <c r="C54" s="288" t="s">
        <v>176</v>
      </c>
      <c r="D54" s="287"/>
      <c r="E54" s="267">
        <v>7502327992769</v>
      </c>
      <c r="F54" s="267" t="s">
        <v>209</v>
      </c>
      <c r="G54" s="268" t="s">
        <v>210</v>
      </c>
      <c r="H54" s="306" t="s">
        <v>60</v>
      </c>
      <c r="I54" s="270" t="s">
        <v>204</v>
      </c>
      <c r="J54" s="271" t="s">
        <v>62</v>
      </c>
      <c r="K54" s="272" t="s">
        <v>63</v>
      </c>
      <c r="L54" s="268">
        <v>1</v>
      </c>
      <c r="M54" s="300"/>
      <c r="N54" s="274" t="s">
        <v>64</v>
      </c>
      <c r="O54" s="274">
        <v>20000</v>
      </c>
      <c r="P54" s="275">
        <v>16.88</v>
      </c>
      <c r="Q54" s="275"/>
      <c r="R54" s="275"/>
      <c r="S54" s="275">
        <v>22.34</v>
      </c>
      <c r="T54" s="276" t="s">
        <v>211</v>
      </c>
      <c r="U54" s="277">
        <v>89</v>
      </c>
      <c r="V54" s="275">
        <f t="shared" si="2"/>
        <v>46.03448275862069</v>
      </c>
      <c r="W54" s="278">
        <f t="shared" si="3"/>
        <v>0.4852883895131086</v>
      </c>
      <c r="X54" s="279">
        <f t="shared" si="4"/>
        <v>0.5147116104868914</v>
      </c>
      <c r="Y54" s="280">
        <v>0.4</v>
      </c>
      <c r="Z54" s="271"/>
      <c r="AA54" s="274"/>
      <c r="AB54" s="272"/>
      <c r="AC54" s="272" t="s">
        <v>212</v>
      </c>
      <c r="AD54" s="272"/>
      <c r="BA54" s="271">
        <v>1</v>
      </c>
      <c r="BB54" s="288"/>
      <c r="BC54" s="288"/>
      <c r="BD54" s="288"/>
      <c r="BE54" s="288"/>
      <c r="BF54" s="288"/>
      <c r="BG54" s="288"/>
      <c r="BH54" s="288"/>
      <c r="BI54" s="288"/>
      <c r="BJ54" s="267">
        <v>8</v>
      </c>
      <c r="BK54" s="267">
        <f t="shared" si="9"/>
        <v>1</v>
      </c>
      <c r="BL54" s="281">
        <f t="shared" si="10"/>
        <v>0.125</v>
      </c>
      <c r="BM54" s="282"/>
      <c r="BN54" s="282"/>
      <c r="BO54" s="282"/>
      <c r="BP54" s="282"/>
      <c r="BQ54" s="282"/>
      <c r="BR54" s="282"/>
      <c r="BS54" s="283" t="s">
        <v>213</v>
      </c>
      <c r="BT54" s="310">
        <f t="shared" si="5"/>
        <v>0</v>
      </c>
      <c r="BU54" s="310"/>
      <c r="BV54" s="283" t="s">
        <v>109</v>
      </c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3.75">
      <c r="A55" s="271">
        <v>42</v>
      </c>
      <c r="B55" s="287" t="s">
        <v>75</v>
      </c>
      <c r="C55" s="288" t="s">
        <v>176</v>
      </c>
      <c r="D55" s="287"/>
      <c r="E55" s="267">
        <v>7502327992776</v>
      </c>
      <c r="F55" s="267" t="s">
        <v>214</v>
      </c>
      <c r="G55" s="268" t="s">
        <v>215</v>
      </c>
      <c r="H55" s="306" t="s">
        <v>60</v>
      </c>
      <c r="I55" s="270" t="s">
        <v>204</v>
      </c>
      <c r="J55" s="271" t="s">
        <v>62</v>
      </c>
      <c r="K55" s="272" t="s">
        <v>63</v>
      </c>
      <c r="L55" s="268">
        <v>1</v>
      </c>
      <c r="M55" s="300"/>
      <c r="N55" s="274" t="s">
        <v>64</v>
      </c>
      <c r="O55" s="274">
        <v>20000</v>
      </c>
      <c r="P55" s="275">
        <v>16.88</v>
      </c>
      <c r="Q55" s="275"/>
      <c r="R55" s="275"/>
      <c r="S55" s="275">
        <v>22.34</v>
      </c>
      <c r="T55" s="276" t="s">
        <v>216</v>
      </c>
      <c r="U55" s="277">
        <v>89</v>
      </c>
      <c r="V55" s="275">
        <f t="shared" si="2"/>
        <v>46.03448275862069</v>
      </c>
      <c r="W55" s="278">
        <f t="shared" si="3"/>
        <v>0.4852883895131086</v>
      </c>
      <c r="X55" s="279">
        <f t="shared" si="4"/>
        <v>0.5147116104868914</v>
      </c>
      <c r="Y55" s="280">
        <v>0.4</v>
      </c>
      <c r="Z55" s="271"/>
      <c r="AA55" s="274"/>
      <c r="AB55" s="272"/>
      <c r="AC55" s="272" t="s">
        <v>212</v>
      </c>
      <c r="AD55" s="272"/>
      <c r="BA55" s="271">
        <v>1</v>
      </c>
      <c r="BB55" s="288"/>
      <c r="BC55" s="288"/>
      <c r="BD55" s="288"/>
      <c r="BE55" s="288"/>
      <c r="BF55" s="288"/>
      <c r="BG55" s="288"/>
      <c r="BH55" s="288"/>
      <c r="BI55" s="288"/>
      <c r="BJ55" s="267">
        <v>8</v>
      </c>
      <c r="BK55" s="267">
        <f t="shared" si="9"/>
        <v>1</v>
      </c>
      <c r="BL55" s="281">
        <f t="shared" si="10"/>
        <v>0.125</v>
      </c>
      <c r="BM55" s="282"/>
      <c r="BN55" s="282"/>
      <c r="BO55" s="282"/>
      <c r="BP55" s="282"/>
      <c r="BQ55" s="282"/>
      <c r="BR55" s="282"/>
      <c r="BS55" s="283" t="s">
        <v>213</v>
      </c>
      <c r="BT55" s="310">
        <f t="shared" si="5"/>
        <v>0</v>
      </c>
      <c r="BU55" s="310"/>
      <c r="BV55" s="283" t="s">
        <v>109</v>
      </c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51">
      <c r="A56" s="271">
        <v>43</v>
      </c>
      <c r="B56" s="287" t="s">
        <v>75</v>
      </c>
      <c r="C56" s="288" t="s">
        <v>176</v>
      </c>
      <c r="D56" s="287"/>
      <c r="E56" s="267">
        <v>7502327992783</v>
      </c>
      <c r="F56" s="267" t="s">
        <v>217</v>
      </c>
      <c r="G56" s="268" t="s">
        <v>218</v>
      </c>
      <c r="H56" s="306" t="s">
        <v>60</v>
      </c>
      <c r="I56" s="270" t="s">
        <v>204</v>
      </c>
      <c r="J56" s="271" t="s">
        <v>62</v>
      </c>
      <c r="K56" s="272" t="s">
        <v>63</v>
      </c>
      <c r="L56" s="268">
        <v>1</v>
      </c>
      <c r="M56" s="300"/>
      <c r="N56" s="274" t="s">
        <v>64</v>
      </c>
      <c r="O56" s="274">
        <v>20000</v>
      </c>
      <c r="P56" s="275">
        <v>16.88</v>
      </c>
      <c r="Q56" s="275"/>
      <c r="R56" s="275"/>
      <c r="S56" s="275">
        <v>22.34</v>
      </c>
      <c r="T56" s="276" t="s">
        <v>219</v>
      </c>
      <c r="U56" s="277">
        <v>79</v>
      </c>
      <c r="V56" s="275">
        <f t="shared" si="2"/>
        <v>40.862068965517246</v>
      </c>
      <c r="W56" s="278">
        <f t="shared" si="3"/>
        <v>0.54671729957805903</v>
      </c>
      <c r="X56" s="279">
        <f t="shared" si="4"/>
        <v>0.45328270042194097</v>
      </c>
      <c r="Y56" s="280">
        <v>0.4</v>
      </c>
      <c r="Z56" s="271"/>
      <c r="AA56" s="274"/>
      <c r="AB56" s="272"/>
      <c r="AC56" s="272" t="s">
        <v>212</v>
      </c>
      <c r="AD56" s="272"/>
      <c r="BA56" s="271">
        <v>1</v>
      </c>
      <c r="BB56" s="288"/>
      <c r="BC56" s="288"/>
      <c r="BD56" s="288"/>
      <c r="BE56" s="288"/>
      <c r="BF56" s="288"/>
      <c r="BG56" s="288"/>
      <c r="BH56" s="288"/>
      <c r="BI56" s="288"/>
      <c r="BJ56" s="267">
        <v>8</v>
      </c>
      <c r="BK56" s="267">
        <f t="shared" si="9"/>
        <v>1</v>
      </c>
      <c r="BL56" s="281">
        <f t="shared" si="10"/>
        <v>0.125</v>
      </c>
      <c r="BM56" s="282"/>
      <c r="BN56" s="282"/>
      <c r="BO56" s="282"/>
      <c r="BP56" s="282"/>
      <c r="BQ56" s="282"/>
      <c r="BR56" s="282"/>
      <c r="BS56" s="283" t="s">
        <v>213</v>
      </c>
      <c r="BT56" s="310">
        <f t="shared" si="5"/>
        <v>0</v>
      </c>
      <c r="BU56" s="310"/>
      <c r="BV56" s="283" t="s">
        <v>109</v>
      </c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51">
      <c r="A57" s="271">
        <v>46</v>
      </c>
      <c r="B57" s="287" t="s">
        <v>75</v>
      </c>
      <c r="C57" s="288" t="s">
        <v>176</v>
      </c>
      <c r="D57" s="287"/>
      <c r="E57" s="267">
        <v>7506110694014</v>
      </c>
      <c r="F57" s="267" t="s">
        <v>220</v>
      </c>
      <c r="G57" s="268" t="s">
        <v>221</v>
      </c>
      <c r="H57" s="289" t="s">
        <v>60</v>
      </c>
      <c r="I57" s="270" t="s">
        <v>222</v>
      </c>
      <c r="J57" s="271" t="s">
        <v>62</v>
      </c>
      <c r="K57" s="272" t="s">
        <v>63</v>
      </c>
      <c r="L57" s="268">
        <v>1</v>
      </c>
      <c r="M57" s="300"/>
      <c r="N57" s="274" t="s">
        <v>64</v>
      </c>
      <c r="O57" s="274">
        <v>20000</v>
      </c>
      <c r="P57" s="275">
        <v>0</v>
      </c>
      <c r="Q57" s="275"/>
      <c r="R57" s="275"/>
      <c r="S57" s="275">
        <v>0</v>
      </c>
      <c r="T57" s="276" t="s">
        <v>223</v>
      </c>
      <c r="U57" s="277">
        <v>79</v>
      </c>
      <c r="V57" s="275">
        <f t="shared" si="2"/>
        <v>40.862068965517246</v>
      </c>
      <c r="W57" s="278">
        <f t="shared" si="3"/>
        <v>0</v>
      </c>
      <c r="X57" s="279">
        <f t="shared" si="4"/>
        <v>1</v>
      </c>
      <c r="Y57" s="280">
        <v>0.4</v>
      </c>
      <c r="Z57" s="271" t="s">
        <v>66</v>
      </c>
      <c r="AA57" s="274" t="s">
        <v>99</v>
      </c>
      <c r="AB57" s="272"/>
      <c r="AC57" s="272"/>
      <c r="AD57" s="272"/>
      <c r="BA57" s="271">
        <v>1</v>
      </c>
      <c r="BB57" s="288"/>
      <c r="BC57" s="288"/>
      <c r="BD57" s="288"/>
      <c r="BE57" s="288"/>
      <c r="BF57" s="288"/>
      <c r="BG57" s="288"/>
      <c r="BH57" s="288"/>
      <c r="BI57" s="288"/>
      <c r="BJ57" s="267">
        <v>8</v>
      </c>
      <c r="BK57" s="267">
        <f t="shared" si="9"/>
        <v>1</v>
      </c>
      <c r="BL57" s="281">
        <f t="shared" si="10"/>
        <v>0.125</v>
      </c>
      <c r="BM57" s="282"/>
      <c r="BN57" s="282"/>
      <c r="BO57" s="282"/>
      <c r="BP57" s="282"/>
      <c r="BQ57" s="282"/>
      <c r="BR57" s="282"/>
      <c r="BS57" s="283"/>
      <c r="BT57" s="310">
        <f t="shared" si="5"/>
        <v>0</v>
      </c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51">
      <c r="A58" s="271">
        <v>47</v>
      </c>
      <c r="B58" s="287" t="s">
        <v>75</v>
      </c>
      <c r="C58" s="288" t="s">
        <v>176</v>
      </c>
      <c r="D58" s="287"/>
      <c r="E58" s="267">
        <v>7506110694021</v>
      </c>
      <c r="F58" s="267" t="s">
        <v>224</v>
      </c>
      <c r="G58" s="268" t="s">
        <v>225</v>
      </c>
      <c r="H58" s="289" t="s">
        <v>60</v>
      </c>
      <c r="I58" s="270" t="s">
        <v>222</v>
      </c>
      <c r="J58" s="271" t="s">
        <v>62</v>
      </c>
      <c r="K58" s="272" t="s">
        <v>63</v>
      </c>
      <c r="L58" s="268">
        <v>1</v>
      </c>
      <c r="M58" s="300"/>
      <c r="N58" s="274" t="s">
        <v>64</v>
      </c>
      <c r="O58" s="274">
        <v>20000</v>
      </c>
      <c r="P58" s="275">
        <v>0</v>
      </c>
      <c r="Q58" s="275"/>
      <c r="R58" s="275"/>
      <c r="S58" s="275">
        <v>0</v>
      </c>
      <c r="T58" s="276" t="s">
        <v>223</v>
      </c>
      <c r="U58" s="277">
        <v>79</v>
      </c>
      <c r="V58" s="275">
        <f t="shared" si="2"/>
        <v>40.862068965517246</v>
      </c>
      <c r="W58" s="278">
        <f t="shared" si="3"/>
        <v>0</v>
      </c>
      <c r="X58" s="279">
        <f t="shared" si="4"/>
        <v>1</v>
      </c>
      <c r="Y58" s="280">
        <v>0.4</v>
      </c>
      <c r="Z58" s="271" t="s">
        <v>66</v>
      </c>
      <c r="AA58" s="274" t="s">
        <v>99</v>
      </c>
      <c r="AB58" s="272"/>
      <c r="AC58" s="272"/>
      <c r="AD58" s="272"/>
      <c r="BA58" s="271">
        <v>1</v>
      </c>
      <c r="BB58" s="288"/>
      <c r="BC58" s="288"/>
      <c r="BD58" s="288"/>
      <c r="BE58" s="288"/>
      <c r="BF58" s="288"/>
      <c r="BG58" s="288"/>
      <c r="BH58" s="288"/>
      <c r="BI58" s="288"/>
      <c r="BJ58" s="267">
        <v>8</v>
      </c>
      <c r="BK58" s="267">
        <f t="shared" si="9"/>
        <v>1</v>
      </c>
      <c r="BL58" s="281">
        <f t="shared" si="10"/>
        <v>0.125</v>
      </c>
      <c r="BM58" s="282"/>
      <c r="BN58" s="282"/>
      <c r="BO58" s="282"/>
      <c r="BP58" s="282"/>
      <c r="BQ58" s="282"/>
      <c r="BR58" s="282"/>
      <c r="BS58" s="283">
        <v>0</v>
      </c>
      <c r="BT58" s="310">
        <f t="shared" si="5"/>
        <v>0</v>
      </c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51">
      <c r="A59" s="271">
        <v>48</v>
      </c>
      <c r="B59" s="287" t="s">
        <v>75</v>
      </c>
      <c r="C59" s="288" t="s">
        <v>176</v>
      </c>
      <c r="D59" s="287"/>
      <c r="E59" s="267"/>
      <c r="F59" s="267" t="s">
        <v>226</v>
      </c>
      <c r="G59" s="268" t="s">
        <v>227</v>
      </c>
      <c r="H59" s="289" t="s">
        <v>60</v>
      </c>
      <c r="I59" s="295" t="s">
        <v>228</v>
      </c>
      <c r="J59" s="271" t="s">
        <v>62</v>
      </c>
      <c r="K59" s="272" t="s">
        <v>63</v>
      </c>
      <c r="L59" s="268">
        <v>1</v>
      </c>
      <c r="M59" s="300"/>
      <c r="N59" s="274" t="s">
        <v>64</v>
      </c>
      <c r="O59" s="274">
        <v>20000</v>
      </c>
      <c r="P59" s="275">
        <v>0</v>
      </c>
      <c r="Q59" s="275"/>
      <c r="R59" s="275"/>
      <c r="S59" s="275">
        <v>0</v>
      </c>
      <c r="T59" s="276" t="s">
        <v>229</v>
      </c>
      <c r="U59" s="277">
        <v>119</v>
      </c>
      <c r="V59" s="275">
        <f t="shared" si="2"/>
        <v>61.551724137931032</v>
      </c>
      <c r="W59" s="278">
        <f t="shared" si="3"/>
        <v>0</v>
      </c>
      <c r="X59" s="279">
        <f t="shared" si="4"/>
        <v>1</v>
      </c>
      <c r="Y59" s="280">
        <v>0.4</v>
      </c>
      <c r="Z59" s="271"/>
      <c r="AA59" s="296"/>
      <c r="AB59" s="268"/>
      <c r="AC59" s="268"/>
      <c r="AD59" s="268"/>
      <c r="BA59" s="271">
        <v>1</v>
      </c>
      <c r="BB59" s="271"/>
      <c r="BC59" s="271"/>
      <c r="BD59" s="271"/>
      <c r="BE59" s="271"/>
      <c r="BF59" s="271"/>
      <c r="BG59" s="271"/>
      <c r="BH59" s="271"/>
      <c r="BI59" s="271"/>
      <c r="BJ59" s="267">
        <v>8</v>
      </c>
      <c r="BK59" s="267">
        <f t="shared" si="9"/>
        <v>1</v>
      </c>
      <c r="BL59" s="281">
        <f t="shared" si="10"/>
        <v>0.125</v>
      </c>
      <c r="BM59" s="282"/>
      <c r="BN59" s="282"/>
      <c r="BO59" s="282"/>
      <c r="BP59" s="282"/>
      <c r="BQ59" s="282"/>
      <c r="BR59" s="282"/>
      <c r="BS59" s="283">
        <v>0</v>
      </c>
      <c r="BT59" s="310">
        <f t="shared" si="5"/>
        <v>0</v>
      </c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63.75">
      <c r="A60" s="271">
        <v>49</v>
      </c>
      <c r="B60" s="287" t="s">
        <v>75</v>
      </c>
      <c r="C60" s="288" t="s">
        <v>176</v>
      </c>
      <c r="D60" s="287"/>
      <c r="E60" s="267"/>
      <c r="F60" s="267"/>
      <c r="G60" s="268" t="s">
        <v>230</v>
      </c>
      <c r="H60" s="289" t="s">
        <v>60</v>
      </c>
      <c r="I60" s="270" t="s">
        <v>204</v>
      </c>
      <c r="J60" s="271" t="s">
        <v>62</v>
      </c>
      <c r="K60" s="272" t="s">
        <v>63</v>
      </c>
      <c r="L60" s="268">
        <v>1</v>
      </c>
      <c r="M60" s="300"/>
      <c r="N60" s="274" t="s">
        <v>64</v>
      </c>
      <c r="O60" s="274">
        <v>10000</v>
      </c>
      <c r="P60" s="275">
        <v>0</v>
      </c>
      <c r="Q60" s="275"/>
      <c r="R60" s="275"/>
      <c r="S60" s="275">
        <v>0</v>
      </c>
      <c r="T60" s="276" t="s">
        <v>231</v>
      </c>
      <c r="U60" s="277">
        <v>699</v>
      </c>
      <c r="V60" s="275">
        <f t="shared" si="2"/>
        <v>361.55172413793105</v>
      </c>
      <c r="W60" s="278">
        <f t="shared" si="3"/>
        <v>0</v>
      </c>
      <c r="X60" s="279">
        <f t="shared" si="4"/>
        <v>1</v>
      </c>
      <c r="Y60" s="280">
        <v>0.4</v>
      </c>
      <c r="Z60" s="271"/>
      <c r="AA60" s="296"/>
      <c r="AB60" s="268"/>
      <c r="AC60" s="268"/>
      <c r="AD60" s="268"/>
      <c r="BA60" s="271">
        <v>1</v>
      </c>
      <c r="BB60" s="271"/>
      <c r="BC60" s="271"/>
      <c r="BD60" s="271"/>
      <c r="BE60" s="271"/>
      <c r="BF60" s="271"/>
      <c r="BG60" s="271"/>
      <c r="BH60" s="271"/>
      <c r="BI60" s="271"/>
      <c r="BJ60" s="267">
        <v>8</v>
      </c>
      <c r="BK60" s="267">
        <f t="shared" si="9"/>
        <v>1</v>
      </c>
      <c r="BL60" s="281">
        <f t="shared" si="10"/>
        <v>0.125</v>
      </c>
      <c r="BM60" s="282"/>
      <c r="BN60" s="282"/>
      <c r="BO60" s="282"/>
      <c r="BP60" s="282"/>
      <c r="BQ60" s="282"/>
      <c r="BR60" s="282"/>
      <c r="BS60" s="283">
        <v>0</v>
      </c>
      <c r="BT60" s="310">
        <f t="shared" si="5"/>
        <v>0</v>
      </c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51">
      <c r="A61" s="271">
        <v>50</v>
      </c>
      <c r="B61" s="287" t="s">
        <v>75</v>
      </c>
      <c r="C61" s="288" t="s">
        <v>176</v>
      </c>
      <c r="D61" s="287"/>
      <c r="E61" s="267"/>
      <c r="F61" s="267"/>
      <c r="G61" s="268" t="s">
        <v>232</v>
      </c>
      <c r="H61" s="289" t="s">
        <v>60</v>
      </c>
      <c r="I61" s="270" t="s">
        <v>204</v>
      </c>
      <c r="J61" s="271" t="s">
        <v>62</v>
      </c>
      <c r="K61" s="272" t="s">
        <v>63</v>
      </c>
      <c r="L61" s="268">
        <v>1</v>
      </c>
      <c r="M61" s="300"/>
      <c r="N61" s="274" t="s">
        <v>64</v>
      </c>
      <c r="O61" s="274">
        <v>10000</v>
      </c>
      <c r="P61" s="275">
        <v>0</v>
      </c>
      <c r="Q61" s="275"/>
      <c r="R61" s="275"/>
      <c r="S61" s="275">
        <v>0</v>
      </c>
      <c r="T61" s="276" t="s">
        <v>233</v>
      </c>
      <c r="U61" s="277">
        <v>599</v>
      </c>
      <c r="V61" s="275">
        <f t="shared" si="2"/>
        <v>309.82758620689657</v>
      </c>
      <c r="W61" s="278">
        <f t="shared" si="3"/>
        <v>0</v>
      </c>
      <c r="X61" s="279">
        <f t="shared" si="4"/>
        <v>1</v>
      </c>
      <c r="Y61" s="280">
        <v>0.4</v>
      </c>
      <c r="Z61" s="271"/>
      <c r="AA61" s="296"/>
      <c r="AB61" s="268"/>
      <c r="AC61" s="268"/>
      <c r="AD61" s="268"/>
      <c r="BA61" s="271">
        <v>1</v>
      </c>
      <c r="BB61" s="271"/>
      <c r="BC61" s="271"/>
      <c r="BD61" s="271"/>
      <c r="BE61" s="271"/>
      <c r="BF61" s="271"/>
      <c r="BG61" s="271"/>
      <c r="BH61" s="271"/>
      <c r="BI61" s="271"/>
      <c r="BJ61" s="267">
        <v>8</v>
      </c>
      <c r="BK61" s="267">
        <f t="shared" si="9"/>
        <v>1</v>
      </c>
      <c r="BL61" s="281">
        <f t="shared" si="10"/>
        <v>0.125</v>
      </c>
      <c r="BM61" s="282"/>
      <c r="BN61" s="282"/>
      <c r="BO61" s="282"/>
      <c r="BP61" s="282"/>
      <c r="BQ61" s="282"/>
      <c r="BR61" s="282"/>
      <c r="BS61" s="283">
        <v>0</v>
      </c>
      <c r="BT61" s="310">
        <f t="shared" si="5"/>
        <v>0</v>
      </c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76.5">
      <c r="A62" s="271">
        <v>51</v>
      </c>
      <c r="B62" s="287" t="s">
        <v>75</v>
      </c>
      <c r="C62" s="288" t="s">
        <v>176</v>
      </c>
      <c r="D62" s="287"/>
      <c r="E62" s="267"/>
      <c r="F62" s="267"/>
      <c r="G62" s="268" t="s">
        <v>234</v>
      </c>
      <c r="H62" s="289" t="s">
        <v>60</v>
      </c>
      <c r="I62" s="270" t="s">
        <v>204</v>
      </c>
      <c r="J62" s="271" t="s">
        <v>62</v>
      </c>
      <c r="K62" s="272" t="s">
        <v>63</v>
      </c>
      <c r="L62" s="268">
        <v>1</v>
      </c>
      <c r="M62" s="300">
        <v>0.42</v>
      </c>
      <c r="N62" s="274" t="s">
        <v>64</v>
      </c>
      <c r="O62" s="274">
        <v>10000</v>
      </c>
      <c r="P62" s="275">
        <v>7.56</v>
      </c>
      <c r="Q62" s="275">
        <v>0.5292</v>
      </c>
      <c r="R62" s="275">
        <v>0.16178400000000001</v>
      </c>
      <c r="S62" s="299">
        <v>8.2509840000000008</v>
      </c>
      <c r="T62" s="276" t="s">
        <v>235</v>
      </c>
      <c r="U62" s="277">
        <v>599</v>
      </c>
      <c r="V62" s="275">
        <f t="shared" si="2"/>
        <v>309.82758620689657</v>
      </c>
      <c r="W62" s="278">
        <f t="shared" si="3"/>
        <v>2.6630888814691153E-2</v>
      </c>
      <c r="X62" s="279">
        <f t="shared" si="4"/>
        <v>0.97336911118530889</v>
      </c>
      <c r="Y62" s="280">
        <v>0.4</v>
      </c>
      <c r="Z62" s="271"/>
      <c r="AA62" s="296"/>
      <c r="AB62" s="268"/>
      <c r="AC62" s="268"/>
      <c r="AD62" s="268"/>
      <c r="BA62" s="271">
        <v>1</v>
      </c>
      <c r="BB62" s="271"/>
      <c r="BC62" s="271"/>
      <c r="BD62" s="271"/>
      <c r="BE62" s="271"/>
      <c r="BF62" s="271"/>
      <c r="BG62" s="271"/>
      <c r="BH62" s="271"/>
      <c r="BI62" s="271"/>
      <c r="BJ62" s="267">
        <v>8</v>
      </c>
      <c r="BK62" s="267">
        <f t="shared" si="9"/>
        <v>1</v>
      </c>
      <c r="BL62" s="281">
        <f t="shared" si="10"/>
        <v>0.125</v>
      </c>
      <c r="BM62" s="282"/>
      <c r="BN62" s="282"/>
      <c r="BO62" s="282"/>
      <c r="BP62" s="282"/>
      <c r="BQ62" s="282"/>
      <c r="BR62" s="282"/>
      <c r="BS62" s="283">
        <v>0</v>
      </c>
      <c r="BT62" s="310">
        <f t="shared" si="5"/>
        <v>0</v>
      </c>
      <c r="BU62" s="310"/>
      <c r="BV62" s="283"/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12.75">
      <c r="A63" s="271">
        <v>52</v>
      </c>
      <c r="B63" s="287" t="s">
        <v>75</v>
      </c>
      <c r="C63" s="288" t="s">
        <v>176</v>
      </c>
      <c r="D63" s="287"/>
      <c r="E63" s="267"/>
      <c r="F63" s="267" t="s">
        <v>236</v>
      </c>
      <c r="G63" s="268" t="s">
        <v>237</v>
      </c>
      <c r="H63" s="289"/>
      <c r="I63" s="270"/>
      <c r="J63" s="271"/>
      <c r="K63" s="272" t="s">
        <v>63</v>
      </c>
      <c r="L63" s="268">
        <v>1</v>
      </c>
      <c r="M63" s="290"/>
      <c r="N63" s="274" t="s">
        <v>64</v>
      </c>
      <c r="O63" s="274">
        <v>20002</v>
      </c>
      <c r="P63" s="275">
        <v>0</v>
      </c>
      <c r="Q63" s="275"/>
      <c r="R63" s="275"/>
      <c r="S63" s="275">
        <v>16.53</v>
      </c>
      <c r="T63" s="275">
        <v>249</v>
      </c>
      <c r="U63" s="277">
        <v>89</v>
      </c>
      <c r="V63" s="275">
        <f t="shared" si="2"/>
        <v>46.03448275862069</v>
      </c>
      <c r="W63" s="278">
        <f t="shared" si="3"/>
        <v>0.35907865168539327</v>
      </c>
      <c r="X63" s="279">
        <f t="shared" si="4"/>
        <v>0.64092134831460679</v>
      </c>
      <c r="Y63" s="280">
        <v>0.4</v>
      </c>
      <c r="Z63" s="271"/>
      <c r="AA63" s="274"/>
      <c r="AB63" s="272"/>
      <c r="AC63" s="272"/>
      <c r="AD63" s="272"/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 t="shared" si="9"/>
        <v>1</v>
      </c>
      <c r="BL63" s="281">
        <f t="shared" si="10"/>
        <v>0.125</v>
      </c>
      <c r="BM63" s="282"/>
      <c r="BN63" s="282"/>
      <c r="BO63" s="282"/>
      <c r="BP63" s="282"/>
      <c r="BQ63" s="282"/>
      <c r="BR63" s="282"/>
      <c r="BS63" s="283">
        <v>0</v>
      </c>
      <c r="BT63" s="310">
        <f t="shared" si="5"/>
        <v>0</v>
      </c>
      <c r="BU63" s="310"/>
      <c r="BV63" s="283"/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12.75">
      <c r="A64" s="271">
        <v>53</v>
      </c>
      <c r="B64" s="287" t="s">
        <v>75</v>
      </c>
      <c r="C64" s="288" t="s">
        <v>176</v>
      </c>
      <c r="D64" s="287"/>
      <c r="E64" s="267"/>
      <c r="F64" s="267" t="s">
        <v>238</v>
      </c>
      <c r="G64" s="268" t="s">
        <v>239</v>
      </c>
      <c r="H64" s="289"/>
      <c r="I64" s="270"/>
      <c r="J64" s="271"/>
      <c r="K64" s="272" t="s">
        <v>63</v>
      </c>
      <c r="L64" s="268">
        <v>1</v>
      </c>
      <c r="M64" s="290"/>
      <c r="N64" s="274" t="s">
        <v>64</v>
      </c>
      <c r="O64" s="274">
        <v>20003</v>
      </c>
      <c r="P64" s="275">
        <v>0</v>
      </c>
      <c r="Q64" s="275"/>
      <c r="R64" s="275"/>
      <c r="S64" s="275">
        <v>17.89</v>
      </c>
      <c r="T64" s="275">
        <v>249</v>
      </c>
      <c r="U64" s="277">
        <v>89</v>
      </c>
      <c r="V64" s="275">
        <f t="shared" si="2"/>
        <v>46.03448275862069</v>
      </c>
      <c r="W64" s="278">
        <f t="shared" si="3"/>
        <v>0.38862172284644197</v>
      </c>
      <c r="X64" s="279">
        <f t="shared" si="4"/>
        <v>0.61137827715355808</v>
      </c>
      <c r="Y64" s="280">
        <v>0.4</v>
      </c>
      <c r="Z64" s="271"/>
      <c r="AA64" s="274"/>
      <c r="AB64" s="272"/>
      <c r="AC64" s="272"/>
      <c r="AD64" s="272"/>
      <c r="BA64" s="271">
        <v>1</v>
      </c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 t="shared" si="9"/>
        <v>1</v>
      </c>
      <c r="BL64" s="281">
        <f t="shared" si="10"/>
        <v>0.125</v>
      </c>
      <c r="BM64" s="282"/>
      <c r="BN64" s="282"/>
      <c r="BO64" s="282"/>
      <c r="BP64" s="282"/>
      <c r="BQ64" s="282"/>
      <c r="BR64" s="282"/>
      <c r="BS64" s="283">
        <v>0</v>
      </c>
      <c r="BT64" s="310">
        <f t="shared" si="5"/>
        <v>0</v>
      </c>
      <c r="BU64" s="310"/>
      <c r="BV64" s="283"/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1:105" ht="12.75">
      <c r="A65" s="271">
        <v>54</v>
      </c>
      <c r="B65" s="287" t="s">
        <v>75</v>
      </c>
      <c r="C65" s="288" t="s">
        <v>176</v>
      </c>
      <c r="D65" s="287"/>
      <c r="E65" s="267"/>
      <c r="F65" s="267" t="s">
        <v>240</v>
      </c>
      <c r="G65" s="268" t="s">
        <v>241</v>
      </c>
      <c r="H65" s="289"/>
      <c r="I65" s="270"/>
      <c r="J65" s="271"/>
      <c r="K65" s="272" t="s">
        <v>63</v>
      </c>
      <c r="L65" s="268">
        <v>1</v>
      </c>
      <c r="M65" s="290"/>
      <c r="N65" s="274" t="s">
        <v>64</v>
      </c>
      <c r="O65" s="274">
        <v>20005</v>
      </c>
      <c r="P65" s="275">
        <v>0</v>
      </c>
      <c r="Q65" s="275"/>
      <c r="R65" s="275"/>
      <c r="S65" s="275">
        <v>17.89</v>
      </c>
      <c r="T65" s="275">
        <v>249</v>
      </c>
      <c r="U65" s="277">
        <v>89</v>
      </c>
      <c r="V65" s="275">
        <f t="shared" si="2"/>
        <v>46.03448275862069</v>
      </c>
      <c r="W65" s="278">
        <f t="shared" si="3"/>
        <v>0.38862172284644197</v>
      </c>
      <c r="X65" s="279">
        <f t="shared" si="4"/>
        <v>0.61137827715355808</v>
      </c>
      <c r="Y65" s="280">
        <v>0.4</v>
      </c>
      <c r="Z65" s="271"/>
      <c r="AA65" s="274"/>
      <c r="AB65" s="272"/>
      <c r="AC65" s="272"/>
      <c r="AD65" s="272"/>
      <c r="BA65" s="271">
        <v>1</v>
      </c>
      <c r="BB65" s="288"/>
      <c r="BC65" s="288"/>
      <c r="BD65" s="288"/>
      <c r="BE65" s="288"/>
      <c r="BF65" s="288"/>
      <c r="BG65" s="288"/>
      <c r="BH65" s="288"/>
      <c r="BI65" s="288"/>
      <c r="BJ65" s="267">
        <v>8</v>
      </c>
      <c r="BK65" s="267">
        <f t="shared" si="9"/>
        <v>1</v>
      </c>
      <c r="BL65" s="281">
        <f t="shared" si="10"/>
        <v>0.125</v>
      </c>
      <c r="BM65" s="282"/>
      <c r="BN65" s="282"/>
      <c r="BO65" s="282"/>
      <c r="BP65" s="282"/>
      <c r="BQ65" s="282"/>
      <c r="BR65" s="282"/>
      <c r="BS65" s="283">
        <v>0</v>
      </c>
      <c r="BT65" s="310">
        <f t="shared" si="5"/>
        <v>0</v>
      </c>
      <c r="BU65" s="310"/>
      <c r="BV65" s="283"/>
      <c r="CJ65" s="283"/>
      <c r="CK65" s="283"/>
      <c r="CL65" s="283"/>
      <c r="CM65" s="283"/>
      <c r="CN65" s="283"/>
      <c r="CO65" s="283"/>
      <c r="CP65" s="284"/>
      <c r="CQ65" s="284"/>
      <c r="CR65" s="285"/>
      <c r="CS65" s="285"/>
      <c r="CT65" s="285"/>
      <c r="CU65" s="285"/>
      <c r="CV65" s="285"/>
      <c r="CW65" s="285"/>
      <c r="CX65" s="285"/>
      <c r="CY65" s="285"/>
      <c r="CZ65" s="285"/>
      <c r="DA65" s="285"/>
    </row>
    <row r="66" spans="1:105" ht="12.75">
      <c r="A66" s="271">
        <v>55</v>
      </c>
      <c r="B66" s="287" t="s">
        <v>75</v>
      </c>
      <c r="C66" s="288" t="s">
        <v>176</v>
      </c>
      <c r="D66" s="287"/>
      <c r="E66" s="267"/>
      <c r="F66" s="267" t="s">
        <v>242</v>
      </c>
      <c r="G66" s="268" t="s">
        <v>243</v>
      </c>
      <c r="H66" s="307"/>
      <c r="I66" s="270"/>
      <c r="J66" s="271"/>
      <c r="K66" s="272" t="s">
        <v>63</v>
      </c>
      <c r="L66" s="268">
        <v>1</v>
      </c>
      <c r="M66" s="290"/>
      <c r="N66" s="274" t="s">
        <v>64</v>
      </c>
      <c r="O66" s="274">
        <v>20006</v>
      </c>
      <c r="P66" s="275">
        <v>0</v>
      </c>
      <c r="Q66" s="275"/>
      <c r="R66" s="275"/>
      <c r="S66" s="275">
        <v>17.89</v>
      </c>
      <c r="T66" s="275">
        <v>249</v>
      </c>
      <c r="U66" s="277">
        <v>89</v>
      </c>
      <c r="V66" s="275">
        <f t="shared" si="2"/>
        <v>46.03448275862069</v>
      </c>
      <c r="W66" s="278">
        <f t="shared" si="3"/>
        <v>0.38862172284644197</v>
      </c>
      <c r="X66" s="279">
        <f t="shared" si="4"/>
        <v>0.61137827715355808</v>
      </c>
      <c r="Y66" s="280">
        <v>0.4</v>
      </c>
      <c r="Z66" s="271"/>
      <c r="AA66" s="274"/>
      <c r="AB66" s="272"/>
      <c r="AC66" s="272"/>
      <c r="AD66" s="272"/>
      <c r="BA66" s="271">
        <v>1</v>
      </c>
      <c r="BB66" s="288"/>
      <c r="BC66" s="288"/>
      <c r="BD66" s="288"/>
      <c r="BE66" s="288"/>
      <c r="BF66" s="288"/>
      <c r="BG66" s="288"/>
      <c r="BH66" s="288"/>
      <c r="BI66" s="288"/>
      <c r="BJ66" s="267">
        <v>8</v>
      </c>
      <c r="BK66" s="267">
        <f t="shared" si="9"/>
        <v>1</v>
      </c>
      <c r="BL66" s="281">
        <f t="shared" si="10"/>
        <v>0.125</v>
      </c>
      <c r="BM66" s="282"/>
      <c r="BN66" s="282"/>
      <c r="BO66" s="282"/>
      <c r="BP66" s="282"/>
      <c r="BQ66" s="282"/>
      <c r="BR66" s="282"/>
      <c r="BS66" s="283">
        <v>0</v>
      </c>
      <c r="BT66" s="310">
        <f t="shared" si="5"/>
        <v>0</v>
      </c>
      <c r="BU66" s="310"/>
      <c r="BV66" s="283"/>
      <c r="CJ66" s="283"/>
      <c r="CK66" s="283"/>
      <c r="CL66" s="283"/>
      <c r="CM66" s="283"/>
      <c r="CN66" s="283"/>
      <c r="CO66" s="283"/>
      <c r="CP66" s="284"/>
      <c r="CQ66" s="284"/>
      <c r="CR66" s="285"/>
      <c r="CS66" s="285"/>
      <c r="CT66" s="285"/>
      <c r="CU66" s="285"/>
      <c r="CV66" s="285"/>
      <c r="CW66" s="285"/>
      <c r="CX66" s="285"/>
      <c r="CY66" s="285"/>
      <c r="CZ66" s="285"/>
      <c r="DA66" s="285"/>
    </row>
    <row r="67" spans="1:105" ht="25.5">
      <c r="A67" s="271">
        <v>56</v>
      </c>
      <c r="B67" s="287" t="s">
        <v>75</v>
      </c>
      <c r="C67" s="288" t="s">
        <v>176</v>
      </c>
      <c r="D67" s="287"/>
      <c r="E67" s="267"/>
      <c r="F67" s="267" t="s">
        <v>244</v>
      </c>
      <c r="G67" s="268" t="s">
        <v>245</v>
      </c>
      <c r="H67" s="289"/>
      <c r="I67" s="270"/>
      <c r="J67" s="271"/>
      <c r="K67" s="272" t="s">
        <v>63</v>
      </c>
      <c r="L67" s="268">
        <v>1</v>
      </c>
      <c r="M67" s="290"/>
      <c r="N67" s="274" t="s">
        <v>64</v>
      </c>
      <c r="O67" s="274">
        <v>20008</v>
      </c>
      <c r="P67" s="275">
        <v>0</v>
      </c>
      <c r="Q67" s="275"/>
      <c r="R67" s="275"/>
      <c r="S67" s="275">
        <v>15.9</v>
      </c>
      <c r="T67" s="275">
        <v>249</v>
      </c>
      <c r="U67" s="277">
        <v>79</v>
      </c>
      <c r="V67" s="275">
        <f t="shared" si="2"/>
        <v>40.862068965517246</v>
      </c>
      <c r="W67" s="278">
        <f t="shared" si="3"/>
        <v>0.38911392405063289</v>
      </c>
      <c r="X67" s="279">
        <f t="shared" si="4"/>
        <v>0.61088607594936706</v>
      </c>
      <c r="Y67" s="280">
        <v>0.4</v>
      </c>
      <c r="Z67" s="271"/>
      <c r="AA67" s="274"/>
      <c r="AB67" s="272"/>
      <c r="AC67" s="272"/>
      <c r="AD67" s="272"/>
      <c r="BA67" s="271">
        <v>1</v>
      </c>
      <c r="BB67" s="288"/>
      <c r="BC67" s="288"/>
      <c r="BD67" s="288"/>
      <c r="BE67" s="288"/>
      <c r="BF67" s="288"/>
      <c r="BG67" s="288"/>
      <c r="BH67" s="288"/>
      <c r="BI67" s="288"/>
      <c r="BJ67" s="267">
        <v>8</v>
      </c>
      <c r="BK67" s="267">
        <f t="shared" si="9"/>
        <v>1</v>
      </c>
      <c r="BL67" s="281">
        <f t="shared" si="10"/>
        <v>0.125</v>
      </c>
      <c r="BM67" s="282"/>
      <c r="BN67" s="282"/>
      <c r="BO67" s="282"/>
      <c r="BP67" s="282"/>
      <c r="BQ67" s="282"/>
      <c r="BR67" s="282"/>
      <c r="BS67" s="283">
        <v>0</v>
      </c>
      <c r="BT67" s="310">
        <f t="shared" si="5"/>
        <v>0</v>
      </c>
      <c r="BU67" s="310"/>
      <c r="BV67" s="283"/>
      <c r="CJ67" s="283"/>
      <c r="CK67" s="283"/>
      <c r="CL67" s="283"/>
      <c r="CM67" s="283"/>
      <c r="CN67" s="283"/>
      <c r="CO67" s="283"/>
      <c r="CP67" s="284"/>
      <c r="CQ67" s="284"/>
      <c r="CR67" s="285"/>
      <c r="CS67" s="285"/>
      <c r="CT67" s="285"/>
      <c r="CU67" s="285"/>
      <c r="CV67" s="285"/>
      <c r="CW67" s="285"/>
      <c r="CX67" s="285"/>
      <c r="CY67" s="285"/>
      <c r="CZ67" s="285"/>
      <c r="DA67" s="285"/>
    </row>
    <row r="68" spans="1:105" ht="12.75">
      <c r="A68" s="271">
        <v>57</v>
      </c>
      <c r="B68" s="287" t="s">
        <v>75</v>
      </c>
      <c r="C68" s="288" t="s">
        <v>176</v>
      </c>
      <c r="D68" s="287"/>
      <c r="E68" s="267"/>
      <c r="F68" s="267" t="s">
        <v>246</v>
      </c>
      <c r="G68" s="268" t="s">
        <v>247</v>
      </c>
      <c r="H68" s="289"/>
      <c r="I68" s="270"/>
      <c r="J68" s="271"/>
      <c r="K68" s="272" t="s">
        <v>63</v>
      </c>
      <c r="L68" s="268">
        <v>1</v>
      </c>
      <c r="M68" s="290"/>
      <c r="N68" s="274" t="s">
        <v>64</v>
      </c>
      <c r="O68" s="274">
        <v>20009</v>
      </c>
      <c r="P68" s="275">
        <v>0</v>
      </c>
      <c r="Q68" s="275"/>
      <c r="R68" s="275"/>
      <c r="S68" s="275">
        <v>15.9</v>
      </c>
      <c r="T68" s="275">
        <v>249</v>
      </c>
      <c r="U68" s="277">
        <v>79</v>
      </c>
      <c r="V68" s="275">
        <f t="shared" si="2"/>
        <v>40.862068965517246</v>
      </c>
      <c r="W68" s="278">
        <f t="shared" si="3"/>
        <v>0.38911392405063289</v>
      </c>
      <c r="X68" s="279">
        <f t="shared" si="4"/>
        <v>0.61088607594936706</v>
      </c>
      <c r="Y68" s="280">
        <v>0.4</v>
      </c>
      <c r="Z68" s="271"/>
      <c r="AA68" s="274"/>
      <c r="AB68" s="272"/>
      <c r="AC68" s="272"/>
      <c r="AD68" s="272"/>
      <c r="BA68" s="271">
        <v>1</v>
      </c>
      <c r="BB68" s="288"/>
      <c r="BC68" s="288"/>
      <c r="BD68" s="288"/>
      <c r="BE68" s="288"/>
      <c r="BF68" s="288"/>
      <c r="BG68" s="288"/>
      <c r="BH68" s="288"/>
      <c r="BI68" s="288"/>
      <c r="BJ68" s="267">
        <v>8</v>
      </c>
      <c r="BK68" s="267">
        <f t="shared" si="9"/>
        <v>1</v>
      </c>
      <c r="BL68" s="281">
        <f t="shared" si="10"/>
        <v>0.125</v>
      </c>
      <c r="BM68" s="282"/>
      <c r="BN68" s="282"/>
      <c r="BO68" s="282"/>
      <c r="BP68" s="282"/>
      <c r="BQ68" s="282"/>
      <c r="BR68" s="282"/>
      <c r="BS68" s="283">
        <v>0</v>
      </c>
      <c r="BT68" s="310">
        <f t="shared" si="5"/>
        <v>0</v>
      </c>
      <c r="BU68" s="310"/>
      <c r="BV68" s="283"/>
      <c r="CJ68" s="283"/>
      <c r="CK68" s="283"/>
      <c r="CL68" s="283"/>
      <c r="CM68" s="283"/>
      <c r="CN68" s="283"/>
      <c r="CO68" s="283"/>
      <c r="CP68" s="284"/>
      <c r="CQ68" s="284"/>
      <c r="CR68" s="285"/>
      <c r="CS68" s="285"/>
      <c r="CT68" s="285"/>
      <c r="CU68" s="285"/>
      <c r="CV68" s="285"/>
      <c r="CW68" s="285"/>
      <c r="CX68" s="285"/>
      <c r="CY68" s="285"/>
      <c r="CZ68" s="285"/>
      <c r="DA68" s="285"/>
    </row>
  </sheetData>
  <mergeCells count="1">
    <mergeCell ref="CJ14:DA14"/>
  </mergeCells>
  <conditionalFormatting sqref="W17:W68">
    <cfRule type="cellIs" dxfId="25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zoomScale="29" zoomScaleNormal="40" workbookViewId="0">
      <pane xSplit="8" topLeftCell="AS1" activePane="topRight" state="frozen"/>
      <selection pane="topRight" activeCell="AU11" sqref="AU11"/>
      <selection activeCell="A17" sqref="A17"/>
    </sheetView>
  </sheetViews>
  <sheetFormatPr defaultColWidth="11.5703125" defaultRowHeight="15"/>
  <cols>
    <col min="1" max="1" width="11" style="328" customWidth="1"/>
    <col min="2" max="2" width="16.7109375" style="328" customWidth="1"/>
    <col min="3" max="3" width="13.85546875" style="328" customWidth="1"/>
    <col min="4" max="4" width="14.85546875" style="328" customWidth="1"/>
    <col min="5" max="5" width="16.28515625" style="328" bestFit="1" customWidth="1"/>
    <col min="6" max="6" width="15.28515625" style="328" customWidth="1"/>
    <col min="7" max="7" width="35" style="328" customWidth="1"/>
    <col min="8" max="8" width="23.7109375" style="328" hidden="1" customWidth="1"/>
    <col min="9" max="9" width="29.42578125" style="328" customWidth="1"/>
    <col min="10" max="10" width="16.85546875" style="328" customWidth="1"/>
    <col min="11" max="13" width="13.42578125" style="328" customWidth="1"/>
    <col min="14" max="14" width="15.5703125" style="328" hidden="1" customWidth="1"/>
    <col min="15" max="15" width="22.85546875" style="328" bestFit="1" customWidth="1"/>
    <col min="16" max="16" width="12.5703125" style="409" hidden="1" customWidth="1"/>
    <col min="17" max="17" width="10" style="328" hidden="1" customWidth="1"/>
    <col min="18" max="18" width="12.42578125" style="328" hidden="1" customWidth="1"/>
    <col min="19" max="19" width="15.7109375" style="328" hidden="1" customWidth="1"/>
    <col min="20" max="20" width="10.5703125" style="328" hidden="1" customWidth="1"/>
    <col min="21" max="21" width="18.7109375" style="328" hidden="1" customWidth="1"/>
    <col min="22" max="22" width="16" style="328" hidden="1" customWidth="1"/>
    <col min="23" max="23" width="16.285156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5546875" style="328" bestFit="1" customWidth="1"/>
    <col min="33" max="33" width="59.28515625" style="360" bestFit="1" customWidth="1"/>
    <col min="34" max="34" width="17" style="328" customWidth="1"/>
    <col min="35" max="36" width="13" style="328" customWidth="1"/>
    <col min="37" max="37" width="10.140625" style="328" customWidth="1"/>
    <col min="38" max="42" width="20.5703125" style="328" hidden="1" customWidth="1"/>
    <col min="43" max="52" width="3.140625" style="328" customWidth="1"/>
    <col min="53" max="60" width="15.7109375" style="328" customWidth="1"/>
    <col min="61" max="61" width="15.7109375" style="408" customWidth="1"/>
    <col min="62" max="64" width="15.7109375" style="328" customWidth="1"/>
    <col min="65" max="69" width="3.28515625" style="319" customWidth="1"/>
    <col min="70" max="72" width="20.7109375" style="378" customWidth="1"/>
    <col min="73" max="87" width="11.5703125" style="328" customWidth="1"/>
    <col min="88" max="89" width="35.42578125" style="360" customWidth="1"/>
    <col min="90" max="90" width="40.42578125" style="360" customWidth="1"/>
    <col min="91" max="93" width="35.42578125" style="360" customWidth="1"/>
    <col min="94" max="105" width="35.42578125" style="328" customWidth="1"/>
    <col min="106" max="16383" width="11.5703125" style="328"/>
    <col min="16384" max="16384" width="11.5703125" style="328" bestFit="1" customWidth="1"/>
  </cols>
  <sheetData>
    <row r="1" spans="1:105" s="319" customFormat="1" ht="15.75">
      <c r="A1" s="361"/>
      <c r="B1" s="362" t="s">
        <v>13</v>
      </c>
      <c r="C1" s="363" t="s">
        <v>248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5.75">
      <c r="A2" s="507" t="s">
        <v>249</v>
      </c>
      <c r="B2" s="50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5.75">
      <c r="A3" s="370" t="s">
        <v>250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5.75">
      <c r="A4" s="370" t="s">
        <v>251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5.75">
      <c r="A5" s="370" t="s">
        <v>252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5.75">
      <c r="A6" s="370" t="s">
        <v>253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5.75">
      <c r="A7" s="370" t="s">
        <v>254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5.75">
      <c r="A8" s="370" t="s">
        <v>255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5.75">
      <c r="A9" s="370" t="s">
        <v>256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5.75">
      <c r="A10" s="370" t="s">
        <v>257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5.75">
      <c r="A11" s="374" t="s">
        <v>258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15.75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15.75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 ht="15.75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259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260</v>
      </c>
      <c r="AM15" s="377"/>
      <c r="AN15" s="377"/>
      <c r="AO15" s="377"/>
      <c r="AP15" s="377"/>
      <c r="BA15" s="508" t="s">
        <v>261</v>
      </c>
      <c r="BB15" s="508"/>
      <c r="BC15" s="508"/>
      <c r="BD15" s="508"/>
      <c r="BE15" s="508"/>
      <c r="BF15" s="508"/>
      <c r="BG15" s="508"/>
      <c r="BH15" s="508"/>
      <c r="BI15" s="508"/>
      <c r="BJ15" s="508"/>
      <c r="BK15" s="508"/>
      <c r="BL15" s="50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0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262</v>
      </c>
      <c r="N16" s="327" t="s">
        <v>263</v>
      </c>
      <c r="O16" s="323" t="s">
        <v>264</v>
      </c>
      <c r="P16" s="379" t="s">
        <v>265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266</v>
      </c>
      <c r="Y16" s="322" t="s">
        <v>31</v>
      </c>
      <c r="Z16" s="322" t="s">
        <v>267</v>
      </c>
      <c r="AA16" s="322" t="s">
        <v>33</v>
      </c>
      <c r="AB16" s="322" t="s">
        <v>34</v>
      </c>
      <c r="AC16" s="322" t="s">
        <v>268</v>
      </c>
      <c r="AD16" s="322" t="s">
        <v>269</v>
      </c>
      <c r="AE16" s="322" t="s">
        <v>270</v>
      </c>
      <c r="AF16" s="322" t="s">
        <v>271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272</v>
      </c>
      <c r="BA16" s="329" t="s">
        <v>273</v>
      </c>
      <c r="BB16" s="329" t="s">
        <v>274</v>
      </c>
      <c r="BC16" s="329" t="s">
        <v>42</v>
      </c>
      <c r="BD16" s="329" t="s">
        <v>275</v>
      </c>
      <c r="BE16" s="329" t="s">
        <v>44</v>
      </c>
      <c r="BF16" s="329" t="s">
        <v>276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0.75">
      <c r="A17" s="332">
        <v>1</v>
      </c>
      <c r="B17" s="333">
        <v>46248</v>
      </c>
      <c r="C17" s="333" t="s">
        <v>277</v>
      </c>
      <c r="D17" s="333" t="s">
        <v>77</v>
      </c>
      <c r="E17" s="334">
        <v>7502327990857</v>
      </c>
      <c r="F17" s="332" t="s">
        <v>278</v>
      </c>
      <c r="G17" s="335" t="s">
        <v>279</v>
      </c>
      <c r="H17" s="336" t="s">
        <v>60</v>
      </c>
      <c r="I17" s="332" t="s">
        <v>280</v>
      </c>
      <c r="J17" s="335" t="s">
        <v>249</v>
      </c>
      <c r="K17" s="335" t="s">
        <v>281</v>
      </c>
      <c r="L17" s="332">
        <v>1</v>
      </c>
      <c r="M17" s="338" t="s">
        <v>282</v>
      </c>
      <c r="N17" s="339" t="s">
        <v>283</v>
      </c>
      <c r="O17" s="332" t="s">
        <v>284</v>
      </c>
      <c r="P17" s="385" t="s">
        <v>285</v>
      </c>
      <c r="Q17" s="340" t="s">
        <v>286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287</v>
      </c>
      <c r="AD17" s="332"/>
      <c r="AE17" s="335">
        <v>6</v>
      </c>
      <c r="AF17" s="335">
        <v>48</v>
      </c>
      <c r="AG17" s="352" t="s">
        <v>288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>
        <v>1</v>
      </c>
      <c r="BF17" s="350"/>
      <c r="BG17" s="350"/>
      <c r="BH17" s="350"/>
      <c r="BI17" s="388"/>
      <c r="BJ17" s="350">
        <v>9</v>
      </c>
      <c r="BK17" s="413">
        <f t="shared" ref="BK17:BK48" si="12">SUM(BA17:BI17)</f>
        <v>5</v>
      </c>
      <c r="BL17" s="412">
        <f t="shared" ref="BL17:BL48" si="13">+BK17/BJ17</f>
        <v>0.55555555555555558</v>
      </c>
      <c r="BM17" s="389"/>
      <c r="BN17" s="389"/>
      <c r="BO17" s="389"/>
      <c r="BP17" s="389"/>
      <c r="BQ17" s="389"/>
      <c r="BR17" s="390" t="s">
        <v>289</v>
      </c>
      <c r="BS17" s="410">
        <f>AH17</f>
        <v>46308</v>
      </c>
      <c r="BT17" s="353" t="s">
        <v>129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0.75">
      <c r="A18" s="332">
        <v>2</v>
      </c>
      <c r="B18" s="333">
        <v>46248</v>
      </c>
      <c r="C18" s="333" t="s">
        <v>277</v>
      </c>
      <c r="D18" s="333" t="s">
        <v>77</v>
      </c>
      <c r="E18" s="334">
        <v>7502327990864</v>
      </c>
      <c r="F18" s="332" t="s">
        <v>290</v>
      </c>
      <c r="G18" s="335" t="s">
        <v>291</v>
      </c>
      <c r="H18" s="336" t="s">
        <v>60</v>
      </c>
      <c r="I18" s="332" t="s">
        <v>280</v>
      </c>
      <c r="J18" s="335" t="s">
        <v>249</v>
      </c>
      <c r="K18" s="335" t="s">
        <v>281</v>
      </c>
      <c r="L18" s="332">
        <v>1</v>
      </c>
      <c r="M18" s="338" t="s">
        <v>282</v>
      </c>
      <c r="N18" s="339" t="s">
        <v>292</v>
      </c>
      <c r="O18" s="332" t="s">
        <v>284</v>
      </c>
      <c r="P18" s="385" t="s">
        <v>285</v>
      </c>
      <c r="Q18" s="340" t="s">
        <v>286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287</v>
      </c>
      <c r="AD18" s="332"/>
      <c r="AE18" s="335">
        <v>6</v>
      </c>
      <c r="AF18" s="335">
        <v>48</v>
      </c>
      <c r="AG18" s="352" t="s">
        <v>288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>
        <v>1</v>
      </c>
      <c r="BE18" s="350">
        <v>1</v>
      </c>
      <c r="BF18" s="350"/>
      <c r="BG18" s="350"/>
      <c r="BH18" s="350"/>
      <c r="BI18" s="388"/>
      <c r="BJ18" s="350">
        <v>9</v>
      </c>
      <c r="BK18" s="413">
        <f t="shared" si="12"/>
        <v>5</v>
      </c>
      <c r="BL18" s="412">
        <f t="shared" si="13"/>
        <v>0.55555555555555558</v>
      </c>
      <c r="BM18" s="389"/>
      <c r="BN18" s="389"/>
      <c r="BO18" s="389"/>
      <c r="BP18" s="389"/>
      <c r="BQ18" s="389"/>
      <c r="BR18" s="390" t="s">
        <v>289</v>
      </c>
      <c r="BS18" s="410">
        <f t="shared" ref="BS18:BS78" si="15">AH18</f>
        <v>46308</v>
      </c>
      <c r="BT18" s="353" t="s">
        <v>129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0.75">
      <c r="A19" s="332">
        <v>3</v>
      </c>
      <c r="B19" s="333">
        <v>46248</v>
      </c>
      <c r="C19" s="333" t="s">
        <v>277</v>
      </c>
      <c r="D19" s="333" t="s">
        <v>77</v>
      </c>
      <c r="E19" s="334">
        <v>7502327990871</v>
      </c>
      <c r="F19" s="332" t="s">
        <v>293</v>
      </c>
      <c r="G19" s="335" t="s">
        <v>294</v>
      </c>
      <c r="H19" s="336" t="s">
        <v>60</v>
      </c>
      <c r="I19" s="332" t="s">
        <v>280</v>
      </c>
      <c r="J19" s="335" t="s">
        <v>249</v>
      </c>
      <c r="K19" s="335" t="s">
        <v>281</v>
      </c>
      <c r="L19" s="332">
        <v>1</v>
      </c>
      <c r="M19" s="338" t="s">
        <v>282</v>
      </c>
      <c r="N19" s="339" t="s">
        <v>295</v>
      </c>
      <c r="O19" s="332" t="s">
        <v>284</v>
      </c>
      <c r="P19" s="385" t="s">
        <v>285</v>
      </c>
      <c r="Q19" s="340" t="s">
        <v>286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287</v>
      </c>
      <c r="AD19" s="332"/>
      <c r="AE19" s="335">
        <v>6</v>
      </c>
      <c r="AF19" s="335">
        <v>48</v>
      </c>
      <c r="AG19" s="352" t="s">
        <v>288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>
        <v>1</v>
      </c>
      <c r="BE19" s="350">
        <v>1</v>
      </c>
      <c r="BF19" s="350"/>
      <c r="BG19" s="350"/>
      <c r="BH19" s="350"/>
      <c r="BI19" s="388"/>
      <c r="BJ19" s="350">
        <v>9</v>
      </c>
      <c r="BK19" s="413">
        <f t="shared" si="12"/>
        <v>5</v>
      </c>
      <c r="BL19" s="412">
        <f t="shared" si="13"/>
        <v>0.55555555555555558</v>
      </c>
      <c r="BM19" s="389"/>
      <c r="BN19" s="389"/>
      <c r="BO19" s="389"/>
      <c r="BP19" s="389"/>
      <c r="BQ19" s="389"/>
      <c r="BR19" s="390" t="s">
        <v>289</v>
      </c>
      <c r="BS19" s="410">
        <f t="shared" si="15"/>
        <v>46308</v>
      </c>
      <c r="BT19" s="353" t="s">
        <v>129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0.75">
      <c r="A20" s="332">
        <v>4</v>
      </c>
      <c r="B20" s="333">
        <v>46248</v>
      </c>
      <c r="C20" s="333" t="s">
        <v>277</v>
      </c>
      <c r="D20" s="333" t="s">
        <v>77</v>
      </c>
      <c r="E20" s="334">
        <v>7502327990888</v>
      </c>
      <c r="F20" s="332" t="s">
        <v>296</v>
      </c>
      <c r="G20" s="335" t="s">
        <v>297</v>
      </c>
      <c r="H20" s="336" t="s">
        <v>60</v>
      </c>
      <c r="I20" s="332" t="s">
        <v>280</v>
      </c>
      <c r="J20" s="335" t="s">
        <v>249</v>
      </c>
      <c r="K20" s="335" t="s">
        <v>281</v>
      </c>
      <c r="L20" s="332">
        <v>1</v>
      </c>
      <c r="M20" s="338" t="s">
        <v>282</v>
      </c>
      <c r="N20" s="339" t="s">
        <v>298</v>
      </c>
      <c r="O20" s="332" t="s">
        <v>284</v>
      </c>
      <c r="P20" s="385" t="s">
        <v>285</v>
      </c>
      <c r="Q20" s="340" t="s">
        <v>286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287</v>
      </c>
      <c r="AD20" s="332"/>
      <c r="AE20" s="335">
        <v>6</v>
      </c>
      <c r="AF20" s="335">
        <v>48</v>
      </c>
      <c r="AG20" s="352" t="s">
        <v>288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>
        <v>1</v>
      </c>
      <c r="BE20" s="350">
        <v>1</v>
      </c>
      <c r="BF20" s="350"/>
      <c r="BG20" s="350"/>
      <c r="BH20" s="350"/>
      <c r="BI20" s="388"/>
      <c r="BJ20" s="350">
        <v>9</v>
      </c>
      <c r="BK20" s="413">
        <f t="shared" si="12"/>
        <v>5</v>
      </c>
      <c r="BL20" s="412">
        <f t="shared" si="13"/>
        <v>0.55555555555555558</v>
      </c>
      <c r="BM20" s="389"/>
      <c r="BN20" s="389"/>
      <c r="BO20" s="389"/>
      <c r="BP20" s="389"/>
      <c r="BQ20" s="389"/>
      <c r="BR20" s="390" t="s">
        <v>289</v>
      </c>
      <c r="BS20" s="410">
        <f t="shared" si="15"/>
        <v>46308</v>
      </c>
      <c r="BT20" s="353" t="s">
        <v>129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0.75">
      <c r="A21" s="332">
        <v>5</v>
      </c>
      <c r="B21" s="333">
        <v>46248</v>
      </c>
      <c r="C21" s="333" t="s">
        <v>277</v>
      </c>
      <c r="D21" s="333" t="s">
        <v>77</v>
      </c>
      <c r="E21" s="334">
        <v>7502327990895</v>
      </c>
      <c r="F21" s="332" t="s">
        <v>299</v>
      </c>
      <c r="G21" s="335" t="s">
        <v>300</v>
      </c>
      <c r="H21" s="336" t="s">
        <v>60</v>
      </c>
      <c r="I21" s="332" t="s">
        <v>280</v>
      </c>
      <c r="J21" s="335" t="s">
        <v>249</v>
      </c>
      <c r="K21" s="335" t="s">
        <v>281</v>
      </c>
      <c r="L21" s="332">
        <v>1</v>
      </c>
      <c r="M21" s="338" t="s">
        <v>282</v>
      </c>
      <c r="N21" s="339" t="s">
        <v>301</v>
      </c>
      <c r="O21" s="332" t="s">
        <v>284</v>
      </c>
      <c r="P21" s="385" t="s">
        <v>285</v>
      </c>
      <c r="Q21" s="340" t="s">
        <v>286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287</v>
      </c>
      <c r="AD21" s="332"/>
      <c r="AE21" s="335">
        <v>6</v>
      </c>
      <c r="AF21" s="335">
        <v>48</v>
      </c>
      <c r="AG21" s="352" t="s">
        <v>288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>
        <v>1</v>
      </c>
      <c r="BE21" s="350">
        <v>1</v>
      </c>
      <c r="BF21" s="350"/>
      <c r="BG21" s="350"/>
      <c r="BH21" s="350"/>
      <c r="BI21" s="388"/>
      <c r="BJ21" s="350">
        <v>9</v>
      </c>
      <c r="BK21" s="413">
        <f t="shared" si="12"/>
        <v>5</v>
      </c>
      <c r="BL21" s="412">
        <f t="shared" si="13"/>
        <v>0.55555555555555558</v>
      </c>
      <c r="BM21" s="389"/>
      <c r="BN21" s="389"/>
      <c r="BO21" s="389"/>
      <c r="BP21" s="389"/>
      <c r="BQ21" s="389"/>
      <c r="BR21" s="390" t="s">
        <v>289</v>
      </c>
      <c r="BS21" s="410">
        <f t="shared" si="15"/>
        <v>46308</v>
      </c>
      <c r="BT21" s="353" t="s">
        <v>129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30.75">
      <c r="A22" s="332">
        <v>6</v>
      </c>
      <c r="B22" s="333">
        <v>46248</v>
      </c>
      <c r="C22" s="333" t="s">
        <v>277</v>
      </c>
      <c r="D22" s="333" t="s">
        <v>77</v>
      </c>
      <c r="E22" s="334">
        <v>7502327990901</v>
      </c>
      <c r="F22" s="332" t="s">
        <v>302</v>
      </c>
      <c r="G22" s="335" t="s">
        <v>303</v>
      </c>
      <c r="H22" s="336" t="s">
        <v>60</v>
      </c>
      <c r="I22" s="332" t="s">
        <v>280</v>
      </c>
      <c r="J22" s="335" t="s">
        <v>249</v>
      </c>
      <c r="K22" s="335" t="s">
        <v>281</v>
      </c>
      <c r="L22" s="332">
        <v>1</v>
      </c>
      <c r="M22" s="338" t="s">
        <v>282</v>
      </c>
      <c r="N22" s="339" t="s">
        <v>304</v>
      </c>
      <c r="O22" s="332" t="s">
        <v>284</v>
      </c>
      <c r="P22" s="385" t="s">
        <v>285</v>
      </c>
      <c r="Q22" s="340" t="s">
        <v>286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287</v>
      </c>
      <c r="AD22" s="332"/>
      <c r="AE22" s="335">
        <v>6</v>
      </c>
      <c r="AF22" s="335">
        <v>48</v>
      </c>
      <c r="AG22" s="352" t="s">
        <v>288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>
        <v>1</v>
      </c>
      <c r="BE22" s="350">
        <v>1</v>
      </c>
      <c r="BF22" s="350"/>
      <c r="BG22" s="350"/>
      <c r="BH22" s="350"/>
      <c r="BI22" s="388"/>
      <c r="BJ22" s="350">
        <v>9</v>
      </c>
      <c r="BK22" s="413">
        <f t="shared" si="12"/>
        <v>5</v>
      </c>
      <c r="BL22" s="412">
        <f t="shared" si="13"/>
        <v>0.55555555555555558</v>
      </c>
      <c r="BM22" s="389"/>
      <c r="BN22" s="389"/>
      <c r="BO22" s="389"/>
      <c r="BP22" s="389"/>
      <c r="BQ22" s="389"/>
      <c r="BR22" s="390" t="s">
        <v>289</v>
      </c>
      <c r="BS22" s="410">
        <f t="shared" si="15"/>
        <v>46308</v>
      </c>
      <c r="BT22" s="353" t="s">
        <v>129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30.75">
      <c r="A23" s="332">
        <v>11</v>
      </c>
      <c r="B23" s="333">
        <v>46248</v>
      </c>
      <c r="C23" s="333" t="s">
        <v>277</v>
      </c>
      <c r="D23" s="333" t="s">
        <v>77</v>
      </c>
      <c r="E23" s="334">
        <v>7502327990956</v>
      </c>
      <c r="F23" s="332" t="s">
        <v>305</v>
      </c>
      <c r="G23" s="335" t="s">
        <v>306</v>
      </c>
      <c r="H23" s="336" t="s">
        <v>60</v>
      </c>
      <c r="I23" s="332" t="s">
        <v>307</v>
      </c>
      <c r="J23" s="335" t="s">
        <v>249</v>
      </c>
      <c r="K23" s="335" t="s">
        <v>281</v>
      </c>
      <c r="L23" s="332">
        <v>1</v>
      </c>
      <c r="M23" s="338" t="s">
        <v>282</v>
      </c>
      <c r="N23" s="339" t="s">
        <v>308</v>
      </c>
      <c r="O23" s="332" t="s">
        <v>284</v>
      </c>
      <c r="P23" s="385" t="s">
        <v>309</v>
      </c>
      <c r="Q23" s="340" t="s">
        <v>286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287</v>
      </c>
      <c r="AD23" s="332"/>
      <c r="AE23" s="335">
        <v>6</v>
      </c>
      <c r="AF23" s="335">
        <v>144</v>
      </c>
      <c r="AG23" s="352" t="s">
        <v>288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>
        <v>1</v>
      </c>
      <c r="BE23" s="350">
        <v>1</v>
      </c>
      <c r="BF23" s="350"/>
      <c r="BG23" s="350"/>
      <c r="BH23" s="350"/>
      <c r="BI23" s="388"/>
      <c r="BJ23" s="350">
        <v>9</v>
      </c>
      <c r="BK23" s="413">
        <f t="shared" si="12"/>
        <v>5</v>
      </c>
      <c r="BL23" s="412">
        <f t="shared" si="13"/>
        <v>0.55555555555555558</v>
      </c>
      <c r="BM23" s="389"/>
      <c r="BN23" s="389"/>
      <c r="BO23" s="389"/>
      <c r="BP23" s="389"/>
      <c r="BQ23" s="389"/>
      <c r="BR23" s="390" t="s">
        <v>289</v>
      </c>
      <c r="BS23" s="410">
        <f t="shared" si="15"/>
        <v>46308</v>
      </c>
      <c r="BT23" s="353" t="s">
        <v>129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30.75">
      <c r="A24" s="332">
        <v>12</v>
      </c>
      <c r="B24" s="333">
        <v>46248</v>
      </c>
      <c r="C24" s="333" t="s">
        <v>277</v>
      </c>
      <c r="D24" s="333" t="s">
        <v>77</v>
      </c>
      <c r="E24" s="334">
        <v>7502327990963</v>
      </c>
      <c r="F24" s="332" t="s">
        <v>310</v>
      </c>
      <c r="G24" s="335" t="s">
        <v>311</v>
      </c>
      <c r="H24" s="336" t="s">
        <v>60</v>
      </c>
      <c r="I24" s="332" t="s">
        <v>307</v>
      </c>
      <c r="J24" s="335" t="s">
        <v>249</v>
      </c>
      <c r="K24" s="335" t="s">
        <v>281</v>
      </c>
      <c r="L24" s="332">
        <v>1</v>
      </c>
      <c r="M24" s="338" t="s">
        <v>282</v>
      </c>
      <c r="N24" s="339" t="s">
        <v>312</v>
      </c>
      <c r="O24" s="332" t="s">
        <v>284</v>
      </c>
      <c r="P24" s="385" t="s">
        <v>309</v>
      </c>
      <c r="Q24" s="340" t="s">
        <v>286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287</v>
      </c>
      <c r="AD24" s="332"/>
      <c r="AE24" s="335">
        <v>6</v>
      </c>
      <c r="AF24" s="335">
        <v>144</v>
      </c>
      <c r="AG24" s="352" t="s">
        <v>288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>
        <v>1</v>
      </c>
      <c r="BE24" s="350">
        <v>1</v>
      </c>
      <c r="BF24" s="350"/>
      <c r="BG24" s="350"/>
      <c r="BH24" s="350"/>
      <c r="BI24" s="388"/>
      <c r="BJ24" s="350">
        <v>9</v>
      </c>
      <c r="BK24" s="413">
        <f t="shared" si="12"/>
        <v>5</v>
      </c>
      <c r="BL24" s="412">
        <f t="shared" si="13"/>
        <v>0.55555555555555558</v>
      </c>
      <c r="BM24" s="389"/>
      <c r="BN24" s="389"/>
      <c r="BO24" s="389"/>
      <c r="BP24" s="389"/>
      <c r="BQ24" s="389"/>
      <c r="BR24" s="390" t="s">
        <v>289</v>
      </c>
      <c r="BS24" s="410">
        <f t="shared" si="15"/>
        <v>46308</v>
      </c>
      <c r="BT24" s="353" t="s">
        <v>129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0.75">
      <c r="A25" s="332">
        <v>13</v>
      </c>
      <c r="B25" s="333">
        <v>46248</v>
      </c>
      <c r="C25" s="333" t="s">
        <v>277</v>
      </c>
      <c r="D25" s="333" t="s">
        <v>77</v>
      </c>
      <c r="E25" s="334">
        <v>7502327990970</v>
      </c>
      <c r="F25" s="332" t="s">
        <v>313</v>
      </c>
      <c r="G25" s="335" t="s">
        <v>314</v>
      </c>
      <c r="H25" s="336" t="s">
        <v>60</v>
      </c>
      <c r="I25" s="332" t="s">
        <v>307</v>
      </c>
      <c r="J25" s="335" t="s">
        <v>249</v>
      </c>
      <c r="K25" s="335" t="s">
        <v>281</v>
      </c>
      <c r="L25" s="332">
        <v>1</v>
      </c>
      <c r="M25" s="338" t="s">
        <v>282</v>
      </c>
      <c r="N25" s="339" t="s">
        <v>312</v>
      </c>
      <c r="O25" s="332" t="s">
        <v>284</v>
      </c>
      <c r="P25" s="385" t="s">
        <v>309</v>
      </c>
      <c r="Q25" s="340" t="s">
        <v>286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287</v>
      </c>
      <c r="AD25" s="332"/>
      <c r="AE25" s="335">
        <v>6</v>
      </c>
      <c r="AF25" s="335">
        <v>144</v>
      </c>
      <c r="AG25" s="352" t="s">
        <v>288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>
        <v>1</v>
      </c>
      <c r="BE25" s="350">
        <v>1</v>
      </c>
      <c r="BF25" s="350"/>
      <c r="BG25" s="350"/>
      <c r="BH25" s="350"/>
      <c r="BI25" s="388"/>
      <c r="BJ25" s="350">
        <v>9</v>
      </c>
      <c r="BK25" s="413">
        <f t="shared" si="12"/>
        <v>5</v>
      </c>
      <c r="BL25" s="412">
        <f t="shared" si="13"/>
        <v>0.55555555555555558</v>
      </c>
      <c r="BM25" s="389"/>
      <c r="BN25" s="389"/>
      <c r="BO25" s="389"/>
      <c r="BP25" s="389"/>
      <c r="BQ25" s="389"/>
      <c r="BR25" s="390" t="s">
        <v>289</v>
      </c>
      <c r="BS25" s="410">
        <f t="shared" si="15"/>
        <v>46308</v>
      </c>
      <c r="BT25" s="353" t="s">
        <v>129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30.75">
      <c r="A26" s="332">
        <v>14</v>
      </c>
      <c r="B26" s="333">
        <v>46248</v>
      </c>
      <c r="C26" s="333" t="s">
        <v>277</v>
      </c>
      <c r="D26" s="333" t="s">
        <v>77</v>
      </c>
      <c r="E26" s="334">
        <v>7502327990987</v>
      </c>
      <c r="F26" s="332" t="s">
        <v>315</v>
      </c>
      <c r="G26" s="335" t="s">
        <v>316</v>
      </c>
      <c r="H26" s="336" t="s">
        <v>60</v>
      </c>
      <c r="I26" s="332" t="s">
        <v>307</v>
      </c>
      <c r="J26" s="335" t="s">
        <v>249</v>
      </c>
      <c r="K26" s="335" t="s">
        <v>281</v>
      </c>
      <c r="L26" s="332">
        <v>1</v>
      </c>
      <c r="M26" s="338" t="s">
        <v>282</v>
      </c>
      <c r="N26" s="339" t="s">
        <v>312</v>
      </c>
      <c r="O26" s="332" t="s">
        <v>284</v>
      </c>
      <c r="P26" s="385" t="s">
        <v>309</v>
      </c>
      <c r="Q26" s="340" t="s">
        <v>286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287</v>
      </c>
      <c r="AD26" s="332"/>
      <c r="AE26" s="335">
        <v>6</v>
      </c>
      <c r="AF26" s="335">
        <v>144</v>
      </c>
      <c r="AG26" s="352" t="s">
        <v>288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>
        <v>1</v>
      </c>
      <c r="BE26" s="350">
        <v>1</v>
      </c>
      <c r="BF26" s="350"/>
      <c r="BG26" s="350"/>
      <c r="BH26" s="350"/>
      <c r="BI26" s="388"/>
      <c r="BJ26" s="350">
        <v>9</v>
      </c>
      <c r="BK26" s="413">
        <f t="shared" si="12"/>
        <v>5</v>
      </c>
      <c r="BL26" s="412">
        <f t="shared" si="13"/>
        <v>0.55555555555555558</v>
      </c>
      <c r="BM26" s="389"/>
      <c r="BN26" s="389"/>
      <c r="BO26" s="389"/>
      <c r="BP26" s="389"/>
      <c r="BQ26" s="389"/>
      <c r="BR26" s="390" t="s">
        <v>289</v>
      </c>
      <c r="BS26" s="410">
        <f t="shared" si="15"/>
        <v>46308</v>
      </c>
      <c r="BT26" s="353" t="s">
        <v>129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30.75">
      <c r="A27" s="332">
        <v>15</v>
      </c>
      <c r="B27" s="333">
        <v>46248</v>
      </c>
      <c r="C27" s="333" t="s">
        <v>277</v>
      </c>
      <c r="D27" s="333" t="s">
        <v>77</v>
      </c>
      <c r="E27" s="334">
        <v>7502327990994</v>
      </c>
      <c r="F27" s="332" t="s">
        <v>317</v>
      </c>
      <c r="G27" s="335" t="s">
        <v>318</v>
      </c>
      <c r="H27" s="336" t="s">
        <v>60</v>
      </c>
      <c r="I27" s="332" t="s">
        <v>307</v>
      </c>
      <c r="J27" s="335" t="s">
        <v>249</v>
      </c>
      <c r="K27" s="335" t="s">
        <v>281</v>
      </c>
      <c r="L27" s="332">
        <v>1</v>
      </c>
      <c r="M27" s="338" t="s">
        <v>282</v>
      </c>
      <c r="N27" s="339" t="s">
        <v>312</v>
      </c>
      <c r="O27" s="332" t="s">
        <v>284</v>
      </c>
      <c r="P27" s="385" t="s">
        <v>309</v>
      </c>
      <c r="Q27" s="340" t="s">
        <v>286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287</v>
      </c>
      <c r="AD27" s="332"/>
      <c r="AE27" s="335">
        <v>6</v>
      </c>
      <c r="AF27" s="335">
        <v>144</v>
      </c>
      <c r="AG27" s="352" t="s">
        <v>288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>
        <v>1</v>
      </c>
      <c r="BE27" s="350">
        <v>1</v>
      </c>
      <c r="BF27" s="350"/>
      <c r="BG27" s="350"/>
      <c r="BH27" s="350"/>
      <c r="BI27" s="388"/>
      <c r="BJ27" s="350">
        <v>9</v>
      </c>
      <c r="BK27" s="413">
        <f t="shared" si="12"/>
        <v>5</v>
      </c>
      <c r="BL27" s="412">
        <f t="shared" si="13"/>
        <v>0.55555555555555558</v>
      </c>
      <c r="BM27" s="389"/>
      <c r="BN27" s="389"/>
      <c r="BO27" s="389"/>
      <c r="BP27" s="389"/>
      <c r="BQ27" s="389"/>
      <c r="BR27" s="390" t="s">
        <v>289</v>
      </c>
      <c r="BS27" s="410">
        <f t="shared" si="15"/>
        <v>46308</v>
      </c>
      <c r="BT27" s="353" t="s">
        <v>129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0.75">
      <c r="A28" s="332">
        <v>16</v>
      </c>
      <c r="B28" s="333">
        <v>46248</v>
      </c>
      <c r="C28" s="333" t="s">
        <v>277</v>
      </c>
      <c r="D28" s="333" t="s">
        <v>77</v>
      </c>
      <c r="E28" s="334">
        <v>7502327991007</v>
      </c>
      <c r="F28" s="332" t="s">
        <v>319</v>
      </c>
      <c r="G28" s="335" t="s">
        <v>320</v>
      </c>
      <c r="H28" s="336" t="s">
        <v>60</v>
      </c>
      <c r="I28" s="332" t="s">
        <v>307</v>
      </c>
      <c r="J28" s="335" t="s">
        <v>249</v>
      </c>
      <c r="K28" s="335" t="s">
        <v>281</v>
      </c>
      <c r="L28" s="332">
        <v>1</v>
      </c>
      <c r="M28" s="338" t="s">
        <v>282</v>
      </c>
      <c r="N28" s="339" t="s">
        <v>321</v>
      </c>
      <c r="O28" s="332" t="s">
        <v>284</v>
      </c>
      <c r="P28" s="385" t="s">
        <v>322</v>
      </c>
      <c r="Q28" s="340" t="s">
        <v>286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287</v>
      </c>
      <c r="AD28" s="332"/>
      <c r="AE28" s="335">
        <v>6</v>
      </c>
      <c r="AF28" s="335">
        <v>144</v>
      </c>
      <c r="AG28" s="352" t="s">
        <v>323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>
        <v>1</v>
      </c>
      <c r="BE28" s="350"/>
      <c r="BF28" s="350"/>
      <c r="BG28" s="350"/>
      <c r="BH28" s="350"/>
      <c r="BI28" s="388"/>
      <c r="BJ28" s="350">
        <v>9</v>
      </c>
      <c r="BK28" s="413">
        <f t="shared" si="12"/>
        <v>4</v>
      </c>
      <c r="BL28" s="412">
        <f t="shared" si="13"/>
        <v>0.44444444444444442</v>
      </c>
      <c r="BM28" s="389"/>
      <c r="BN28" s="389"/>
      <c r="BO28" s="389"/>
      <c r="BP28" s="389"/>
      <c r="BQ28" s="389"/>
      <c r="BR28" s="390" t="s">
        <v>289</v>
      </c>
      <c r="BS28" s="410">
        <f t="shared" si="15"/>
        <v>46315</v>
      </c>
      <c r="BT28" s="353" t="s">
        <v>129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0.75">
      <c r="A29" s="332">
        <v>17</v>
      </c>
      <c r="B29" s="333">
        <v>46248</v>
      </c>
      <c r="C29" s="333" t="s">
        <v>277</v>
      </c>
      <c r="D29" s="333" t="s">
        <v>77</v>
      </c>
      <c r="E29" s="334">
        <v>7502327991014</v>
      </c>
      <c r="F29" s="332" t="s">
        <v>324</v>
      </c>
      <c r="G29" s="335" t="s">
        <v>320</v>
      </c>
      <c r="H29" s="336" t="s">
        <v>60</v>
      </c>
      <c r="I29" s="332" t="s">
        <v>307</v>
      </c>
      <c r="J29" s="335" t="s">
        <v>249</v>
      </c>
      <c r="K29" s="335" t="s">
        <v>281</v>
      </c>
      <c r="L29" s="332">
        <v>1</v>
      </c>
      <c r="M29" s="338" t="s">
        <v>282</v>
      </c>
      <c r="N29" s="339" t="s">
        <v>321</v>
      </c>
      <c r="O29" s="332" t="s">
        <v>284</v>
      </c>
      <c r="P29" s="385" t="s">
        <v>322</v>
      </c>
      <c r="Q29" s="340" t="s">
        <v>286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287</v>
      </c>
      <c r="AD29" s="332"/>
      <c r="AE29" s="335">
        <v>6</v>
      </c>
      <c r="AF29" s="335">
        <v>144</v>
      </c>
      <c r="AG29" s="352" t="s">
        <v>323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>
        <v>1</v>
      </c>
      <c r="BE29" s="350"/>
      <c r="BF29" s="350"/>
      <c r="BG29" s="350"/>
      <c r="BH29" s="350"/>
      <c r="BI29" s="388"/>
      <c r="BJ29" s="350">
        <v>9</v>
      </c>
      <c r="BK29" s="413">
        <f t="shared" si="12"/>
        <v>4</v>
      </c>
      <c r="BL29" s="412">
        <f t="shared" si="13"/>
        <v>0.44444444444444442</v>
      </c>
      <c r="BM29" s="389"/>
      <c r="BN29" s="389"/>
      <c r="BO29" s="389"/>
      <c r="BP29" s="389"/>
      <c r="BQ29" s="389"/>
      <c r="BR29" s="390" t="s">
        <v>289</v>
      </c>
      <c r="BS29" s="410">
        <f t="shared" si="15"/>
        <v>46315</v>
      </c>
      <c r="BT29" s="353" t="s">
        <v>129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0.75">
      <c r="A30" s="332">
        <v>18</v>
      </c>
      <c r="B30" s="333">
        <v>46248</v>
      </c>
      <c r="C30" s="333" t="s">
        <v>277</v>
      </c>
      <c r="D30" s="333" t="s">
        <v>77</v>
      </c>
      <c r="E30" s="334">
        <v>7502327991021</v>
      </c>
      <c r="F30" s="332" t="s">
        <v>325</v>
      </c>
      <c r="G30" s="335" t="s">
        <v>320</v>
      </c>
      <c r="H30" s="336" t="s">
        <v>60</v>
      </c>
      <c r="I30" s="332" t="s">
        <v>307</v>
      </c>
      <c r="J30" s="335" t="s">
        <v>249</v>
      </c>
      <c r="K30" s="335" t="s">
        <v>281</v>
      </c>
      <c r="L30" s="332">
        <v>1</v>
      </c>
      <c r="M30" s="338" t="s">
        <v>282</v>
      </c>
      <c r="N30" s="339" t="s">
        <v>321</v>
      </c>
      <c r="O30" s="332" t="s">
        <v>284</v>
      </c>
      <c r="P30" s="385" t="s">
        <v>322</v>
      </c>
      <c r="Q30" s="340" t="s">
        <v>286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287</v>
      </c>
      <c r="AD30" s="332"/>
      <c r="AE30" s="335">
        <v>6</v>
      </c>
      <c r="AF30" s="335">
        <v>144</v>
      </c>
      <c r="AG30" s="352" t="s">
        <v>323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>
        <v>1</v>
      </c>
      <c r="BE30" s="350"/>
      <c r="BF30" s="350"/>
      <c r="BG30" s="350"/>
      <c r="BH30" s="350"/>
      <c r="BI30" s="388"/>
      <c r="BJ30" s="350">
        <v>9</v>
      </c>
      <c r="BK30" s="413">
        <f t="shared" si="12"/>
        <v>4</v>
      </c>
      <c r="BL30" s="412">
        <f t="shared" si="13"/>
        <v>0.44444444444444442</v>
      </c>
      <c r="BM30" s="389"/>
      <c r="BN30" s="389"/>
      <c r="BO30" s="389"/>
      <c r="BP30" s="389"/>
      <c r="BQ30" s="389"/>
      <c r="BR30" s="390" t="s">
        <v>289</v>
      </c>
      <c r="BS30" s="410">
        <f t="shared" si="15"/>
        <v>46315</v>
      </c>
      <c r="BT30" s="353" t="s">
        <v>129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0.75">
      <c r="A31" s="332">
        <v>19</v>
      </c>
      <c r="B31" s="333">
        <v>46248</v>
      </c>
      <c r="C31" s="333" t="s">
        <v>277</v>
      </c>
      <c r="D31" s="333" t="s">
        <v>77</v>
      </c>
      <c r="E31" s="334">
        <v>7502327991038</v>
      </c>
      <c r="F31" s="332" t="s">
        <v>326</v>
      </c>
      <c r="G31" s="335" t="s">
        <v>327</v>
      </c>
      <c r="H31" s="336" t="s">
        <v>60</v>
      </c>
      <c r="I31" s="332" t="s">
        <v>307</v>
      </c>
      <c r="J31" s="335" t="s">
        <v>249</v>
      </c>
      <c r="K31" s="335" t="s">
        <v>281</v>
      </c>
      <c r="L31" s="332">
        <v>1</v>
      </c>
      <c r="M31" s="338" t="s">
        <v>282</v>
      </c>
      <c r="N31" s="339" t="s">
        <v>328</v>
      </c>
      <c r="O31" s="332" t="s">
        <v>284</v>
      </c>
      <c r="P31" s="385" t="s">
        <v>329</v>
      </c>
      <c r="Q31" s="340" t="s">
        <v>286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287</v>
      </c>
      <c r="AD31" s="332"/>
      <c r="AE31" s="335">
        <v>6</v>
      </c>
      <c r="AF31" s="335">
        <v>144</v>
      </c>
      <c r="AG31" s="352" t="s">
        <v>330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>
        <v>1</v>
      </c>
      <c r="BE31" s="350"/>
      <c r="BF31" s="350"/>
      <c r="BG31" s="350"/>
      <c r="BH31" s="350"/>
      <c r="BI31" s="388"/>
      <c r="BJ31" s="350">
        <v>9</v>
      </c>
      <c r="BK31" s="413">
        <f t="shared" si="12"/>
        <v>4</v>
      </c>
      <c r="BL31" s="412">
        <f t="shared" si="13"/>
        <v>0.44444444444444442</v>
      </c>
      <c r="BM31" s="389"/>
      <c r="BN31" s="389"/>
      <c r="BO31" s="389"/>
      <c r="BP31" s="389"/>
      <c r="BQ31" s="389"/>
      <c r="BR31" s="390" t="s">
        <v>289</v>
      </c>
      <c r="BS31" s="410">
        <f t="shared" si="15"/>
        <v>46315</v>
      </c>
      <c r="BT31" s="353" t="s">
        <v>129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0.75">
      <c r="A32" s="332">
        <v>20</v>
      </c>
      <c r="B32" s="333">
        <v>46248</v>
      </c>
      <c r="C32" s="333" t="s">
        <v>277</v>
      </c>
      <c r="D32" s="333" t="s">
        <v>77</v>
      </c>
      <c r="E32" s="334">
        <v>7502327991045</v>
      </c>
      <c r="F32" s="332" t="s">
        <v>331</v>
      </c>
      <c r="G32" s="335" t="s">
        <v>332</v>
      </c>
      <c r="H32" s="336" t="s">
        <v>60</v>
      </c>
      <c r="I32" s="332" t="s">
        <v>307</v>
      </c>
      <c r="J32" s="335" t="s">
        <v>249</v>
      </c>
      <c r="K32" s="335" t="s">
        <v>281</v>
      </c>
      <c r="L32" s="332">
        <v>1</v>
      </c>
      <c r="M32" s="338" t="s">
        <v>282</v>
      </c>
      <c r="N32" s="339" t="s">
        <v>333</v>
      </c>
      <c r="O32" s="332" t="s">
        <v>284</v>
      </c>
      <c r="P32" s="385" t="s">
        <v>329</v>
      </c>
      <c r="Q32" s="340" t="s">
        <v>286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287</v>
      </c>
      <c r="AD32" s="332"/>
      <c r="AE32" s="335">
        <v>6</v>
      </c>
      <c r="AF32" s="335">
        <v>144</v>
      </c>
      <c r="AG32" s="352" t="s">
        <v>330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>
        <v>1</v>
      </c>
      <c r="BE32" s="350"/>
      <c r="BF32" s="350"/>
      <c r="BG32" s="350"/>
      <c r="BH32" s="350"/>
      <c r="BI32" s="388"/>
      <c r="BJ32" s="350">
        <v>9</v>
      </c>
      <c r="BK32" s="413">
        <f t="shared" si="12"/>
        <v>4</v>
      </c>
      <c r="BL32" s="412">
        <f t="shared" si="13"/>
        <v>0.44444444444444442</v>
      </c>
      <c r="BM32" s="389"/>
      <c r="BN32" s="389"/>
      <c r="BO32" s="389"/>
      <c r="BP32" s="389"/>
      <c r="BQ32" s="389"/>
      <c r="BR32" s="390" t="s">
        <v>289</v>
      </c>
      <c r="BS32" s="410">
        <f t="shared" si="15"/>
        <v>46315</v>
      </c>
      <c r="BT32" s="353" t="s">
        <v>129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0.75">
      <c r="A33" s="332">
        <v>21</v>
      </c>
      <c r="B33" s="333">
        <v>46248</v>
      </c>
      <c r="C33" s="333" t="s">
        <v>277</v>
      </c>
      <c r="D33" s="333" t="s">
        <v>77</v>
      </c>
      <c r="E33" s="334">
        <v>7502327991052</v>
      </c>
      <c r="F33" s="332" t="s">
        <v>334</v>
      </c>
      <c r="G33" s="335" t="s">
        <v>335</v>
      </c>
      <c r="H33" s="336" t="s">
        <v>60</v>
      </c>
      <c r="I33" s="332" t="s">
        <v>307</v>
      </c>
      <c r="J33" s="335" t="s">
        <v>249</v>
      </c>
      <c r="K33" s="335" t="s">
        <v>281</v>
      </c>
      <c r="L33" s="332">
        <v>1</v>
      </c>
      <c r="M33" s="338" t="s">
        <v>282</v>
      </c>
      <c r="N33" s="339" t="s">
        <v>333</v>
      </c>
      <c r="O33" s="332" t="s">
        <v>284</v>
      </c>
      <c r="P33" s="385" t="s">
        <v>329</v>
      </c>
      <c r="Q33" s="340" t="s">
        <v>286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287</v>
      </c>
      <c r="AD33" s="332"/>
      <c r="AE33" s="335">
        <v>6</v>
      </c>
      <c r="AF33" s="335">
        <v>144</v>
      </c>
      <c r="AG33" s="352" t="s">
        <v>330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>
        <v>1</v>
      </c>
      <c r="BE33" s="350"/>
      <c r="BF33" s="350"/>
      <c r="BG33" s="350"/>
      <c r="BH33" s="350"/>
      <c r="BI33" s="388"/>
      <c r="BJ33" s="350">
        <v>9</v>
      </c>
      <c r="BK33" s="413">
        <f t="shared" si="12"/>
        <v>4</v>
      </c>
      <c r="BL33" s="412">
        <f t="shared" si="13"/>
        <v>0.44444444444444442</v>
      </c>
      <c r="BM33" s="389"/>
      <c r="BN33" s="389"/>
      <c r="BO33" s="389"/>
      <c r="BP33" s="389"/>
      <c r="BQ33" s="389"/>
      <c r="BR33" s="390" t="s">
        <v>289</v>
      </c>
      <c r="BS33" s="410">
        <f t="shared" si="15"/>
        <v>0</v>
      </c>
      <c r="BT33" s="353" t="s">
        <v>129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45.75">
      <c r="A34" s="332">
        <v>22</v>
      </c>
      <c r="B34" s="333">
        <v>46248</v>
      </c>
      <c r="C34" s="333" t="s">
        <v>277</v>
      </c>
      <c r="D34" s="333" t="s">
        <v>77</v>
      </c>
      <c r="E34" s="334">
        <v>7502327991069</v>
      </c>
      <c r="F34" s="332" t="s">
        <v>336</v>
      </c>
      <c r="G34" s="335" t="s">
        <v>337</v>
      </c>
      <c r="H34" s="336" t="s">
        <v>60</v>
      </c>
      <c r="I34" s="332" t="s">
        <v>338</v>
      </c>
      <c r="J34" s="335" t="s">
        <v>249</v>
      </c>
      <c r="K34" s="335" t="s">
        <v>281</v>
      </c>
      <c r="L34" s="332">
        <v>1</v>
      </c>
      <c r="M34" s="338" t="s">
        <v>282</v>
      </c>
      <c r="N34" s="339" t="s">
        <v>339</v>
      </c>
      <c r="O34" s="332" t="s">
        <v>284</v>
      </c>
      <c r="P34" s="385" t="s">
        <v>340</v>
      </c>
      <c r="Q34" s="340" t="s">
        <v>286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287</v>
      </c>
      <c r="AD34" s="332"/>
      <c r="AE34" s="335">
        <v>6</v>
      </c>
      <c r="AF34" s="335">
        <v>72</v>
      </c>
      <c r="AG34" s="352" t="s">
        <v>288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>
        <v>1</v>
      </c>
      <c r="BE34" s="350">
        <v>1</v>
      </c>
      <c r="BF34" s="350"/>
      <c r="BG34" s="350"/>
      <c r="BH34" s="350"/>
      <c r="BI34" s="388"/>
      <c r="BJ34" s="350">
        <v>9</v>
      </c>
      <c r="BK34" s="413">
        <f t="shared" si="12"/>
        <v>5</v>
      </c>
      <c r="BL34" s="412">
        <f t="shared" si="13"/>
        <v>0.55555555555555558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129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45.75">
      <c r="A35" s="332">
        <v>23</v>
      </c>
      <c r="B35" s="333">
        <v>46248</v>
      </c>
      <c r="C35" s="333" t="s">
        <v>277</v>
      </c>
      <c r="D35" s="333" t="s">
        <v>77</v>
      </c>
      <c r="E35" s="334">
        <v>7502327991076</v>
      </c>
      <c r="F35" s="332" t="s">
        <v>341</v>
      </c>
      <c r="G35" s="335" t="s">
        <v>342</v>
      </c>
      <c r="H35" s="336" t="s">
        <v>60</v>
      </c>
      <c r="I35" s="332" t="s">
        <v>343</v>
      </c>
      <c r="J35" s="335" t="s">
        <v>249</v>
      </c>
      <c r="K35" s="335" t="s">
        <v>281</v>
      </c>
      <c r="L35" s="332">
        <v>1</v>
      </c>
      <c r="M35" s="338" t="s">
        <v>282</v>
      </c>
      <c r="N35" s="339" t="s">
        <v>344</v>
      </c>
      <c r="O35" s="332" t="s">
        <v>284</v>
      </c>
      <c r="P35" s="385" t="s">
        <v>345</v>
      </c>
      <c r="Q35" s="340" t="s">
        <v>286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287</v>
      </c>
      <c r="AD35" s="332"/>
      <c r="AE35" s="335">
        <v>6</v>
      </c>
      <c r="AF35" s="335">
        <v>72</v>
      </c>
      <c r="AG35" s="352" t="s">
        <v>288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>
        <v>1</v>
      </c>
      <c r="BE35" s="350"/>
      <c r="BF35" s="350"/>
      <c r="BG35" s="350"/>
      <c r="BH35" s="350"/>
      <c r="BI35" s="388"/>
      <c r="BJ35" s="350">
        <v>9</v>
      </c>
      <c r="BK35" s="413">
        <f t="shared" si="12"/>
        <v>4</v>
      </c>
      <c r="BL35" s="412">
        <f t="shared" si="13"/>
        <v>0.44444444444444442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129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45.75">
      <c r="A36" s="332">
        <v>24</v>
      </c>
      <c r="B36" s="333">
        <v>46248</v>
      </c>
      <c r="C36" s="333" t="s">
        <v>277</v>
      </c>
      <c r="D36" s="333" t="s">
        <v>77</v>
      </c>
      <c r="E36" s="334">
        <v>7502327991083</v>
      </c>
      <c r="F36" s="332" t="s">
        <v>346</v>
      </c>
      <c r="G36" s="335" t="s">
        <v>347</v>
      </c>
      <c r="H36" s="336" t="s">
        <v>60</v>
      </c>
      <c r="I36" s="352" t="s">
        <v>147</v>
      </c>
      <c r="J36" s="335" t="s">
        <v>249</v>
      </c>
      <c r="K36" s="335" t="s">
        <v>281</v>
      </c>
      <c r="L36" s="332">
        <v>1</v>
      </c>
      <c r="M36" s="338" t="s">
        <v>282</v>
      </c>
      <c r="N36" s="393" t="s">
        <v>348</v>
      </c>
      <c r="O36" s="332" t="s">
        <v>284</v>
      </c>
      <c r="P36" s="385" t="s">
        <v>349</v>
      </c>
      <c r="Q36" s="340" t="s">
        <v>286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287</v>
      </c>
      <c r="AD36" s="332"/>
      <c r="AE36" s="335">
        <v>6</v>
      </c>
      <c r="AF36" s="335">
        <v>72</v>
      </c>
      <c r="AG36" s="352" t="s">
        <v>288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>
        <v>1</v>
      </c>
      <c r="BE36" s="350"/>
      <c r="BF36" s="350"/>
      <c r="BG36" s="350"/>
      <c r="BH36" s="350"/>
      <c r="BI36" s="388"/>
      <c r="BJ36" s="350">
        <v>9</v>
      </c>
      <c r="BK36" s="413">
        <f t="shared" si="12"/>
        <v>4</v>
      </c>
      <c r="BL36" s="412">
        <f t="shared" si="13"/>
        <v>0.44444444444444442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129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46.5">
      <c r="A37" s="332">
        <v>25</v>
      </c>
      <c r="B37" s="333">
        <v>46248</v>
      </c>
      <c r="C37" s="333" t="s">
        <v>277</v>
      </c>
      <c r="D37" s="333" t="s">
        <v>77</v>
      </c>
      <c r="E37" s="334">
        <v>7502327991090</v>
      </c>
      <c r="F37" s="332" t="s">
        <v>350</v>
      </c>
      <c r="G37" s="335" t="s">
        <v>351</v>
      </c>
      <c r="H37" s="336" t="s">
        <v>60</v>
      </c>
      <c r="I37" s="352" t="s">
        <v>147</v>
      </c>
      <c r="J37" s="335" t="s">
        <v>249</v>
      </c>
      <c r="K37" s="335" t="s">
        <v>281</v>
      </c>
      <c r="L37" s="332">
        <v>1</v>
      </c>
      <c r="M37" s="338" t="s">
        <v>282</v>
      </c>
      <c r="N37" s="393" t="s">
        <v>352</v>
      </c>
      <c r="O37" s="332" t="s">
        <v>284</v>
      </c>
      <c r="P37" s="385" t="s">
        <v>349</v>
      </c>
      <c r="Q37" s="340" t="s">
        <v>286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287</v>
      </c>
      <c r="AD37" s="332"/>
      <c r="AE37" s="335">
        <v>6</v>
      </c>
      <c r="AF37" s="335">
        <v>72</v>
      </c>
      <c r="AG37" s="352" t="s">
        <v>288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>
        <v>1</v>
      </c>
      <c r="BE37" s="350"/>
      <c r="BF37" s="350"/>
      <c r="BG37" s="350"/>
      <c r="BH37" s="350"/>
      <c r="BI37" s="388"/>
      <c r="BJ37" s="350">
        <v>9</v>
      </c>
      <c r="BK37" s="413">
        <f t="shared" si="12"/>
        <v>4</v>
      </c>
      <c r="BL37" s="412">
        <f t="shared" si="13"/>
        <v>0.44444444444444442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129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45.75">
      <c r="A38" s="332">
        <v>26</v>
      </c>
      <c r="B38" s="333">
        <v>46248</v>
      </c>
      <c r="C38" s="333" t="s">
        <v>277</v>
      </c>
      <c r="D38" s="333" t="s">
        <v>77</v>
      </c>
      <c r="E38" s="334">
        <v>7502327991106</v>
      </c>
      <c r="F38" s="332" t="s">
        <v>353</v>
      </c>
      <c r="G38" s="335" t="s">
        <v>354</v>
      </c>
      <c r="H38" s="336" t="s">
        <v>60</v>
      </c>
      <c r="I38" s="352" t="s">
        <v>147</v>
      </c>
      <c r="J38" s="335" t="s">
        <v>249</v>
      </c>
      <c r="K38" s="335" t="s">
        <v>281</v>
      </c>
      <c r="L38" s="332">
        <v>1</v>
      </c>
      <c r="M38" s="338" t="s">
        <v>282</v>
      </c>
      <c r="N38" s="393" t="s">
        <v>355</v>
      </c>
      <c r="O38" s="332" t="s">
        <v>284</v>
      </c>
      <c r="P38" s="385" t="s">
        <v>349</v>
      </c>
      <c r="Q38" s="340" t="s">
        <v>286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287</v>
      </c>
      <c r="AD38" s="332"/>
      <c r="AE38" s="335">
        <v>6</v>
      </c>
      <c r="AF38" s="335">
        <v>72</v>
      </c>
      <c r="AG38" s="352" t="s">
        <v>288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>
        <v>1</v>
      </c>
      <c r="BE38" s="350"/>
      <c r="BF38" s="350"/>
      <c r="BG38" s="350"/>
      <c r="BH38" s="350"/>
      <c r="BI38" s="388"/>
      <c r="BJ38" s="350">
        <v>9</v>
      </c>
      <c r="BK38" s="413">
        <f t="shared" si="12"/>
        <v>4</v>
      </c>
      <c r="BL38" s="412">
        <f t="shared" si="13"/>
        <v>0.44444444444444442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129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46.5">
      <c r="A39" s="332">
        <v>27</v>
      </c>
      <c r="B39" s="333">
        <v>46248</v>
      </c>
      <c r="C39" s="333" t="s">
        <v>277</v>
      </c>
      <c r="D39" s="333" t="s">
        <v>77</v>
      </c>
      <c r="E39" s="334">
        <v>7502327991113</v>
      </c>
      <c r="F39" s="332" t="s">
        <v>356</v>
      </c>
      <c r="G39" s="335" t="s">
        <v>357</v>
      </c>
      <c r="H39" s="336" t="s">
        <v>60</v>
      </c>
      <c r="I39" s="352" t="s">
        <v>147</v>
      </c>
      <c r="J39" s="335" t="s">
        <v>249</v>
      </c>
      <c r="K39" s="335" t="s">
        <v>281</v>
      </c>
      <c r="L39" s="332">
        <v>1</v>
      </c>
      <c r="M39" s="338" t="s">
        <v>282</v>
      </c>
      <c r="N39" s="393" t="s">
        <v>358</v>
      </c>
      <c r="O39" s="332" t="s">
        <v>284</v>
      </c>
      <c r="P39" s="385" t="s">
        <v>349</v>
      </c>
      <c r="Q39" s="340" t="s">
        <v>286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287</v>
      </c>
      <c r="AD39" s="332"/>
      <c r="AE39" s="335">
        <v>6</v>
      </c>
      <c r="AF39" s="335">
        <v>72</v>
      </c>
      <c r="AG39" s="352" t="s">
        <v>288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>
        <v>1</v>
      </c>
      <c r="BE39" s="350"/>
      <c r="BF39" s="350"/>
      <c r="BG39" s="350"/>
      <c r="BH39" s="350"/>
      <c r="BI39" s="388"/>
      <c r="BJ39" s="350">
        <v>9</v>
      </c>
      <c r="BK39" s="413">
        <f t="shared" si="12"/>
        <v>4</v>
      </c>
      <c r="BL39" s="412">
        <f t="shared" si="13"/>
        <v>0.44444444444444442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129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46.5">
      <c r="A40" s="332">
        <v>28</v>
      </c>
      <c r="B40" s="333">
        <v>46248</v>
      </c>
      <c r="C40" s="333" t="s">
        <v>277</v>
      </c>
      <c r="D40" s="333" t="s">
        <v>77</v>
      </c>
      <c r="E40" s="334">
        <v>7502327991120</v>
      </c>
      <c r="F40" s="332" t="s">
        <v>359</v>
      </c>
      <c r="G40" s="335" t="s">
        <v>360</v>
      </c>
      <c r="H40" s="336" t="s">
        <v>60</v>
      </c>
      <c r="I40" s="352" t="s">
        <v>147</v>
      </c>
      <c r="J40" s="335" t="s">
        <v>249</v>
      </c>
      <c r="K40" s="335" t="s">
        <v>281</v>
      </c>
      <c r="L40" s="332">
        <v>1</v>
      </c>
      <c r="M40" s="338" t="s">
        <v>282</v>
      </c>
      <c r="N40" s="393" t="s">
        <v>361</v>
      </c>
      <c r="O40" s="332" t="s">
        <v>284</v>
      </c>
      <c r="P40" s="385" t="s">
        <v>349</v>
      </c>
      <c r="Q40" s="340" t="s">
        <v>286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287</v>
      </c>
      <c r="AD40" s="332"/>
      <c r="AE40" s="335">
        <v>6</v>
      </c>
      <c r="AF40" s="335">
        <v>72</v>
      </c>
      <c r="AG40" s="352" t="s">
        <v>288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>
        <v>1</v>
      </c>
      <c r="BE40" s="350"/>
      <c r="BF40" s="350"/>
      <c r="BG40" s="350"/>
      <c r="BH40" s="350"/>
      <c r="BI40" s="388"/>
      <c r="BJ40" s="350">
        <v>9</v>
      </c>
      <c r="BK40" s="413">
        <f t="shared" si="12"/>
        <v>4</v>
      </c>
      <c r="BL40" s="412">
        <f t="shared" si="13"/>
        <v>0.44444444444444442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129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46.5">
      <c r="A41" s="332">
        <v>29</v>
      </c>
      <c r="B41" s="333">
        <v>46248</v>
      </c>
      <c r="C41" s="333" t="s">
        <v>277</v>
      </c>
      <c r="D41" s="333" t="s">
        <v>77</v>
      </c>
      <c r="E41" s="334">
        <v>7502327991137</v>
      </c>
      <c r="F41" s="332" t="s">
        <v>362</v>
      </c>
      <c r="G41" s="335" t="s">
        <v>363</v>
      </c>
      <c r="H41" s="336" t="s">
        <v>60</v>
      </c>
      <c r="I41" s="352" t="s">
        <v>147</v>
      </c>
      <c r="J41" s="335" t="s">
        <v>249</v>
      </c>
      <c r="K41" s="335" t="s">
        <v>281</v>
      </c>
      <c r="L41" s="332">
        <v>1</v>
      </c>
      <c r="M41" s="338" t="s">
        <v>282</v>
      </c>
      <c r="N41" s="393" t="s">
        <v>364</v>
      </c>
      <c r="O41" s="332" t="s">
        <v>284</v>
      </c>
      <c r="P41" s="385" t="s">
        <v>349</v>
      </c>
      <c r="Q41" s="340" t="s">
        <v>286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287</v>
      </c>
      <c r="AD41" s="332"/>
      <c r="AE41" s="335">
        <v>6</v>
      </c>
      <c r="AF41" s="335">
        <v>72</v>
      </c>
      <c r="AG41" s="352" t="s">
        <v>288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>
        <v>1</v>
      </c>
      <c r="BE41" s="350"/>
      <c r="BF41" s="350"/>
      <c r="BG41" s="350"/>
      <c r="BH41" s="350"/>
      <c r="BI41" s="388"/>
      <c r="BJ41" s="350">
        <v>9</v>
      </c>
      <c r="BK41" s="413">
        <f t="shared" si="12"/>
        <v>4</v>
      </c>
      <c r="BL41" s="412">
        <f t="shared" si="13"/>
        <v>0.44444444444444442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129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5.75">
      <c r="A42" s="332">
        <v>30</v>
      </c>
      <c r="B42" s="333">
        <v>46248</v>
      </c>
      <c r="C42" s="333" t="s">
        <v>277</v>
      </c>
      <c r="D42" s="333" t="s">
        <v>77</v>
      </c>
      <c r="E42" s="334">
        <v>7502327991144</v>
      </c>
      <c r="F42" s="332" t="s">
        <v>365</v>
      </c>
      <c r="G42" s="394" t="s">
        <v>366</v>
      </c>
      <c r="H42" s="336" t="s">
        <v>60</v>
      </c>
      <c r="I42" s="332" t="s">
        <v>367</v>
      </c>
      <c r="J42" s="335" t="s">
        <v>249</v>
      </c>
      <c r="K42" s="335" t="s">
        <v>281</v>
      </c>
      <c r="L42" s="332">
        <v>1</v>
      </c>
      <c r="M42" s="338" t="s">
        <v>282</v>
      </c>
      <c r="N42" s="395" t="s">
        <v>368</v>
      </c>
      <c r="O42" s="332" t="s">
        <v>284</v>
      </c>
      <c r="P42" s="385" t="s">
        <v>349</v>
      </c>
      <c r="Q42" s="340" t="s">
        <v>286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287</v>
      </c>
      <c r="AD42" s="332"/>
      <c r="AE42" s="335">
        <v>6</v>
      </c>
      <c r="AF42" s="335">
        <v>144</v>
      </c>
      <c r="AG42" s="352" t="s">
        <v>288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>
        <v>1</v>
      </c>
      <c r="BE42" s="350">
        <v>1</v>
      </c>
      <c r="BF42" s="350"/>
      <c r="BG42" s="350"/>
      <c r="BH42" s="350"/>
      <c r="BI42" s="388"/>
      <c r="BJ42" s="350">
        <v>9</v>
      </c>
      <c r="BK42" s="413">
        <f t="shared" si="12"/>
        <v>5</v>
      </c>
      <c r="BL42" s="412">
        <f t="shared" si="13"/>
        <v>0.55555555555555558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129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6.5">
      <c r="A43" s="332">
        <v>31</v>
      </c>
      <c r="B43" s="333">
        <v>46248</v>
      </c>
      <c r="C43" s="333" t="s">
        <v>277</v>
      </c>
      <c r="D43" s="333" t="s">
        <v>77</v>
      </c>
      <c r="E43" s="334">
        <v>7502327991151</v>
      </c>
      <c r="F43" s="332" t="s">
        <v>369</v>
      </c>
      <c r="G43" s="394" t="s">
        <v>370</v>
      </c>
      <c r="H43" s="336" t="s">
        <v>60</v>
      </c>
      <c r="I43" s="332" t="s">
        <v>367</v>
      </c>
      <c r="J43" s="335" t="s">
        <v>249</v>
      </c>
      <c r="K43" s="335" t="s">
        <v>281</v>
      </c>
      <c r="L43" s="332">
        <v>1</v>
      </c>
      <c r="M43" s="338" t="s">
        <v>282</v>
      </c>
      <c r="N43" s="395" t="s">
        <v>371</v>
      </c>
      <c r="O43" s="332" t="s">
        <v>284</v>
      </c>
      <c r="P43" s="385" t="s">
        <v>372</v>
      </c>
      <c r="Q43" s="340" t="s">
        <v>286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287</v>
      </c>
      <c r="AD43" s="332"/>
      <c r="AE43" s="335">
        <v>6</v>
      </c>
      <c r="AF43" s="335">
        <v>144</v>
      </c>
      <c r="AG43" s="352" t="s">
        <v>288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>
        <v>1</v>
      </c>
      <c r="BE43" s="350">
        <v>1</v>
      </c>
      <c r="BF43" s="350"/>
      <c r="BG43" s="350"/>
      <c r="BH43" s="350"/>
      <c r="BI43" s="388"/>
      <c r="BJ43" s="350">
        <v>9</v>
      </c>
      <c r="BK43" s="413">
        <f t="shared" si="12"/>
        <v>5</v>
      </c>
      <c r="BL43" s="412">
        <f t="shared" si="13"/>
        <v>0.55555555555555558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129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5.75">
      <c r="A44" s="332">
        <v>32</v>
      </c>
      <c r="B44" s="333">
        <v>46248</v>
      </c>
      <c r="C44" s="333" t="s">
        <v>277</v>
      </c>
      <c r="D44" s="333" t="s">
        <v>77</v>
      </c>
      <c r="E44" s="334">
        <v>7502327991168</v>
      </c>
      <c r="F44" s="332" t="s">
        <v>373</v>
      </c>
      <c r="G44" s="335" t="s">
        <v>374</v>
      </c>
      <c r="H44" s="336" t="s">
        <v>60</v>
      </c>
      <c r="I44" s="332" t="s">
        <v>375</v>
      </c>
      <c r="J44" s="335" t="s">
        <v>249</v>
      </c>
      <c r="K44" s="335" t="s">
        <v>281</v>
      </c>
      <c r="L44" s="332">
        <v>1</v>
      </c>
      <c r="M44" s="338" t="s">
        <v>376</v>
      </c>
      <c r="N44" s="395" t="s">
        <v>377</v>
      </c>
      <c r="O44" s="332" t="s">
        <v>284</v>
      </c>
      <c r="P44" s="385">
        <v>3.2</v>
      </c>
      <c r="Q44" s="340" t="s">
        <v>286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287</v>
      </c>
      <c r="AD44" s="332"/>
      <c r="AE44" s="335">
        <v>6</v>
      </c>
      <c r="AF44" s="335">
        <v>144</v>
      </c>
      <c r="AG44" s="352" t="s">
        <v>288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>
        <v>1</v>
      </c>
      <c r="BE44" s="350">
        <v>1</v>
      </c>
      <c r="BF44" s="350"/>
      <c r="BG44" s="350"/>
      <c r="BH44" s="350"/>
      <c r="BI44" s="388"/>
      <c r="BJ44" s="350">
        <v>9</v>
      </c>
      <c r="BK44" s="413">
        <f t="shared" si="12"/>
        <v>5</v>
      </c>
      <c r="BL44" s="412">
        <f t="shared" si="13"/>
        <v>0.55555555555555558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129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5.75">
      <c r="A45" s="332">
        <v>33</v>
      </c>
      <c r="B45" s="333">
        <v>46248</v>
      </c>
      <c r="C45" s="333" t="s">
        <v>277</v>
      </c>
      <c r="D45" s="333" t="s">
        <v>77</v>
      </c>
      <c r="E45" s="334">
        <v>7502327991175</v>
      </c>
      <c r="F45" s="332" t="s">
        <v>378</v>
      </c>
      <c r="G45" s="335" t="s">
        <v>379</v>
      </c>
      <c r="H45" s="336" t="s">
        <v>60</v>
      </c>
      <c r="I45" s="332" t="s">
        <v>375</v>
      </c>
      <c r="J45" s="335" t="s">
        <v>249</v>
      </c>
      <c r="K45" s="335" t="s">
        <v>281</v>
      </c>
      <c r="L45" s="332">
        <v>1</v>
      </c>
      <c r="M45" s="338" t="s">
        <v>376</v>
      </c>
      <c r="N45" s="395" t="s">
        <v>380</v>
      </c>
      <c r="O45" s="332" t="s">
        <v>284</v>
      </c>
      <c r="P45" s="385">
        <v>3.2</v>
      </c>
      <c r="Q45" s="340" t="s">
        <v>286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287</v>
      </c>
      <c r="AD45" s="332"/>
      <c r="AE45" s="335">
        <v>6</v>
      </c>
      <c r="AF45" s="335">
        <v>144</v>
      </c>
      <c r="AG45" s="352" t="s">
        <v>288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>
        <v>1</v>
      </c>
      <c r="BE45" s="350">
        <v>1</v>
      </c>
      <c r="BF45" s="350"/>
      <c r="BG45" s="350"/>
      <c r="BH45" s="350"/>
      <c r="BI45" s="388"/>
      <c r="BJ45" s="350">
        <v>9</v>
      </c>
      <c r="BK45" s="413">
        <f t="shared" si="12"/>
        <v>5</v>
      </c>
      <c r="BL45" s="412">
        <f t="shared" si="13"/>
        <v>0.55555555555555558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129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5.75">
      <c r="A46" s="332">
        <v>34</v>
      </c>
      <c r="B46" s="333">
        <v>46248</v>
      </c>
      <c r="C46" s="333" t="s">
        <v>277</v>
      </c>
      <c r="D46" s="333" t="s">
        <v>77</v>
      </c>
      <c r="E46" s="334">
        <v>7502327991182</v>
      </c>
      <c r="F46" s="332" t="s">
        <v>381</v>
      </c>
      <c r="G46" s="335" t="s">
        <v>382</v>
      </c>
      <c r="H46" s="336" t="s">
        <v>60</v>
      </c>
      <c r="I46" s="332" t="s">
        <v>375</v>
      </c>
      <c r="J46" s="335" t="s">
        <v>249</v>
      </c>
      <c r="K46" s="335" t="s">
        <v>281</v>
      </c>
      <c r="L46" s="332">
        <v>1</v>
      </c>
      <c r="M46" s="338" t="s">
        <v>376</v>
      </c>
      <c r="N46" s="396" t="s">
        <v>383</v>
      </c>
      <c r="O46" s="332" t="s">
        <v>284</v>
      </c>
      <c r="P46" s="385">
        <v>2.9</v>
      </c>
      <c r="Q46" s="340" t="s">
        <v>286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287</v>
      </c>
      <c r="AD46" s="332"/>
      <c r="AE46" s="335">
        <v>6</v>
      </c>
      <c r="AF46" s="335">
        <v>144</v>
      </c>
      <c r="AG46" s="352" t="s">
        <v>288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>
        <v>1</v>
      </c>
      <c r="BE46" s="350">
        <v>1</v>
      </c>
      <c r="BF46" s="350"/>
      <c r="BG46" s="350"/>
      <c r="BH46" s="350"/>
      <c r="BI46" s="388"/>
      <c r="BJ46" s="350">
        <v>9</v>
      </c>
      <c r="BK46" s="413">
        <f t="shared" si="12"/>
        <v>5</v>
      </c>
      <c r="BL46" s="412">
        <f t="shared" si="13"/>
        <v>0.55555555555555558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129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5.75">
      <c r="A47" s="332">
        <v>35</v>
      </c>
      <c r="B47" s="333">
        <v>46248</v>
      </c>
      <c r="C47" s="333" t="s">
        <v>277</v>
      </c>
      <c r="D47" s="333" t="s">
        <v>77</v>
      </c>
      <c r="E47" s="334">
        <v>7502327991199</v>
      </c>
      <c r="F47" s="332" t="s">
        <v>384</v>
      </c>
      <c r="G47" s="335" t="s">
        <v>385</v>
      </c>
      <c r="H47" s="336" t="s">
        <v>60</v>
      </c>
      <c r="I47" s="332" t="s">
        <v>386</v>
      </c>
      <c r="J47" s="335" t="s">
        <v>249</v>
      </c>
      <c r="K47" s="335" t="s">
        <v>281</v>
      </c>
      <c r="L47" s="332">
        <v>1</v>
      </c>
      <c r="M47" s="338" t="s">
        <v>387</v>
      </c>
      <c r="N47" s="395" t="s">
        <v>388</v>
      </c>
      <c r="O47" s="332" t="s">
        <v>284</v>
      </c>
      <c r="P47" s="385"/>
      <c r="Q47" s="340" t="s">
        <v>99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287</v>
      </c>
      <c r="AD47" s="332"/>
      <c r="AE47" s="335">
        <v>6</v>
      </c>
      <c r="AF47" s="335">
        <v>144</v>
      </c>
      <c r="AG47" s="352" t="s">
        <v>288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>
        <v>1</v>
      </c>
      <c r="BE47" s="350">
        <v>1</v>
      </c>
      <c r="BF47" s="350"/>
      <c r="BG47" s="350"/>
      <c r="BH47" s="350"/>
      <c r="BI47" s="388"/>
      <c r="BJ47" s="350">
        <v>9</v>
      </c>
      <c r="BK47" s="413">
        <f t="shared" si="12"/>
        <v>5</v>
      </c>
      <c r="BL47" s="412">
        <f t="shared" si="13"/>
        <v>0.55555555555555558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129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45.75">
      <c r="A48" s="332">
        <v>36</v>
      </c>
      <c r="B48" s="333">
        <v>46248</v>
      </c>
      <c r="C48" s="333" t="s">
        <v>277</v>
      </c>
      <c r="D48" s="333" t="s">
        <v>77</v>
      </c>
      <c r="E48" s="334">
        <v>7502327991205</v>
      </c>
      <c r="F48" s="332" t="s">
        <v>389</v>
      </c>
      <c r="G48" s="394" t="s">
        <v>390</v>
      </c>
      <c r="H48" s="336" t="s">
        <v>60</v>
      </c>
      <c r="I48" s="332" t="s">
        <v>391</v>
      </c>
      <c r="J48" s="335" t="s">
        <v>249</v>
      </c>
      <c r="K48" s="335" t="s">
        <v>281</v>
      </c>
      <c r="L48" s="332">
        <v>1</v>
      </c>
      <c r="M48" s="338" t="s">
        <v>392</v>
      </c>
      <c r="N48" s="393" t="s">
        <v>393</v>
      </c>
      <c r="O48" s="332" t="s">
        <v>284</v>
      </c>
      <c r="P48" s="385">
        <v>0.35499999999999998</v>
      </c>
      <c r="Q48" s="340" t="s">
        <v>64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287</v>
      </c>
      <c r="AD48" s="332"/>
      <c r="AE48" s="335">
        <v>6</v>
      </c>
      <c r="AF48" s="335">
        <v>144</v>
      </c>
      <c r="AG48" s="352" t="s">
        <v>288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>
        <v>1</v>
      </c>
      <c r="BE48" s="350">
        <v>1</v>
      </c>
      <c r="BF48" s="350"/>
      <c r="BG48" s="350"/>
      <c r="BH48" s="350"/>
      <c r="BI48" s="388"/>
      <c r="BJ48" s="350">
        <v>9</v>
      </c>
      <c r="BK48" s="413">
        <f t="shared" si="12"/>
        <v>5</v>
      </c>
      <c r="BL48" s="412">
        <f t="shared" si="13"/>
        <v>0.55555555555555558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129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45.75">
      <c r="A49" s="332">
        <v>37</v>
      </c>
      <c r="B49" s="333">
        <v>46248</v>
      </c>
      <c r="C49" s="333" t="s">
        <v>277</v>
      </c>
      <c r="D49" s="333" t="s">
        <v>77</v>
      </c>
      <c r="E49" s="334">
        <v>7502327991212</v>
      </c>
      <c r="F49" s="332" t="s">
        <v>394</v>
      </c>
      <c r="G49" s="394" t="s">
        <v>395</v>
      </c>
      <c r="H49" s="336" t="s">
        <v>60</v>
      </c>
      <c r="I49" s="332" t="s">
        <v>391</v>
      </c>
      <c r="J49" s="335" t="s">
        <v>249</v>
      </c>
      <c r="K49" s="335" t="s">
        <v>281</v>
      </c>
      <c r="L49" s="332">
        <v>1</v>
      </c>
      <c r="M49" s="338" t="s">
        <v>392</v>
      </c>
      <c r="N49" s="393" t="s">
        <v>396</v>
      </c>
      <c r="O49" s="332" t="s">
        <v>284</v>
      </c>
      <c r="P49" s="385">
        <v>0.35499999999999998</v>
      </c>
      <c r="Q49" s="340" t="s">
        <v>64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287</v>
      </c>
      <c r="AD49" s="332"/>
      <c r="AE49" s="335">
        <v>6</v>
      </c>
      <c r="AF49" s="335">
        <v>144</v>
      </c>
      <c r="AG49" s="352" t="s">
        <v>288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>
        <v>1</v>
      </c>
      <c r="BE49" s="350">
        <v>1</v>
      </c>
      <c r="BF49" s="350"/>
      <c r="BG49" s="350"/>
      <c r="BH49" s="350"/>
      <c r="BI49" s="388"/>
      <c r="BJ49" s="350">
        <v>9</v>
      </c>
      <c r="BK49" s="413">
        <f t="shared" ref="BK49:BK77" si="29">SUM(BA49:BI49)</f>
        <v>5</v>
      </c>
      <c r="BL49" s="412">
        <f t="shared" ref="BL49:BL77" si="30">+BK49/BJ49</f>
        <v>0.55555555555555558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397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5.75">
      <c r="A50" s="332">
        <v>38</v>
      </c>
      <c r="B50" s="333">
        <v>46248</v>
      </c>
      <c r="C50" s="333" t="s">
        <v>277</v>
      </c>
      <c r="D50" s="333" t="s">
        <v>77</v>
      </c>
      <c r="E50" s="334">
        <v>7502327991229</v>
      </c>
      <c r="F50" s="332" t="s">
        <v>398</v>
      </c>
      <c r="G50" s="335" t="s">
        <v>399</v>
      </c>
      <c r="H50" s="336" t="s">
        <v>60</v>
      </c>
      <c r="I50" s="397" t="s">
        <v>400</v>
      </c>
      <c r="J50" s="335" t="s">
        <v>249</v>
      </c>
      <c r="K50" s="335" t="s">
        <v>281</v>
      </c>
      <c r="L50" s="332">
        <v>1</v>
      </c>
      <c r="M50" s="358" t="s">
        <v>376</v>
      </c>
      <c r="N50" s="398" t="s">
        <v>401</v>
      </c>
      <c r="O50" s="332" t="s">
        <v>284</v>
      </c>
      <c r="P50" s="385">
        <v>6.8</v>
      </c>
      <c r="Q50" s="340" t="s">
        <v>286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287</v>
      </c>
      <c r="AD50" s="332"/>
      <c r="AE50" s="335">
        <v>6</v>
      </c>
      <c r="AF50" s="335">
        <v>144</v>
      </c>
      <c r="AG50" s="352" t="s">
        <v>288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>
        <v>1</v>
      </c>
      <c r="BE50" s="350"/>
      <c r="BF50" s="350"/>
      <c r="BG50" s="350"/>
      <c r="BH50" s="350"/>
      <c r="BI50" s="388"/>
      <c r="BJ50" s="350">
        <v>9</v>
      </c>
      <c r="BK50" s="413">
        <f t="shared" si="29"/>
        <v>4</v>
      </c>
      <c r="BL50" s="412">
        <f t="shared" si="30"/>
        <v>0.44444444444444442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150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5.75">
      <c r="A51" s="332">
        <v>39</v>
      </c>
      <c r="B51" s="333">
        <v>46248</v>
      </c>
      <c r="C51" s="333" t="s">
        <v>277</v>
      </c>
      <c r="D51" s="333" t="s">
        <v>77</v>
      </c>
      <c r="E51" s="334">
        <v>7502327991236</v>
      </c>
      <c r="F51" s="332" t="s">
        <v>402</v>
      </c>
      <c r="G51" s="335" t="s">
        <v>403</v>
      </c>
      <c r="H51" s="336" t="s">
        <v>60</v>
      </c>
      <c r="I51" s="397" t="s">
        <v>400</v>
      </c>
      <c r="J51" s="335" t="s">
        <v>249</v>
      </c>
      <c r="K51" s="335" t="s">
        <v>281</v>
      </c>
      <c r="L51" s="332">
        <v>1</v>
      </c>
      <c r="M51" s="358" t="s">
        <v>376</v>
      </c>
      <c r="N51" s="398" t="s">
        <v>404</v>
      </c>
      <c r="O51" s="332" t="s">
        <v>284</v>
      </c>
      <c r="P51" s="385">
        <v>6.8</v>
      </c>
      <c r="Q51" s="340" t="s">
        <v>286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287</v>
      </c>
      <c r="AD51" s="332"/>
      <c r="AE51" s="335">
        <v>6</v>
      </c>
      <c r="AF51" s="335">
        <v>144</v>
      </c>
      <c r="AG51" s="352" t="s">
        <v>288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>
        <v>1</v>
      </c>
      <c r="BE51" s="350"/>
      <c r="BF51" s="350"/>
      <c r="BG51" s="350"/>
      <c r="BH51" s="350"/>
      <c r="BI51" s="388"/>
      <c r="BJ51" s="350">
        <v>9</v>
      </c>
      <c r="BK51" s="413">
        <f t="shared" si="29"/>
        <v>4</v>
      </c>
      <c r="BL51" s="412">
        <f t="shared" si="30"/>
        <v>0.44444444444444442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150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5.75">
      <c r="A52" s="332">
        <v>40</v>
      </c>
      <c r="B52" s="333">
        <v>46248</v>
      </c>
      <c r="C52" s="333" t="s">
        <v>277</v>
      </c>
      <c r="D52" s="333" t="s">
        <v>77</v>
      </c>
      <c r="E52" s="334">
        <v>7502327991243</v>
      </c>
      <c r="F52" s="332" t="s">
        <v>405</v>
      </c>
      <c r="G52" s="335" t="s">
        <v>406</v>
      </c>
      <c r="H52" s="336" t="s">
        <v>60</v>
      </c>
      <c r="I52" s="397" t="s">
        <v>400</v>
      </c>
      <c r="J52" s="335" t="s">
        <v>249</v>
      </c>
      <c r="K52" s="335" t="s">
        <v>281</v>
      </c>
      <c r="L52" s="332">
        <v>1</v>
      </c>
      <c r="M52" s="358" t="s">
        <v>376</v>
      </c>
      <c r="N52" s="398" t="s">
        <v>407</v>
      </c>
      <c r="O52" s="332" t="s">
        <v>284</v>
      </c>
      <c r="P52" s="385">
        <v>6.8</v>
      </c>
      <c r="Q52" s="340" t="s">
        <v>286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287</v>
      </c>
      <c r="AD52" s="332"/>
      <c r="AE52" s="335">
        <v>6</v>
      </c>
      <c r="AF52" s="335">
        <v>144</v>
      </c>
      <c r="AG52" s="352" t="s">
        <v>288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>
        <v>1</v>
      </c>
      <c r="BE52" s="350"/>
      <c r="BF52" s="350"/>
      <c r="BG52" s="350"/>
      <c r="BH52" s="350"/>
      <c r="BI52" s="388"/>
      <c r="BJ52" s="350">
        <v>9</v>
      </c>
      <c r="BK52" s="413">
        <f t="shared" si="29"/>
        <v>4</v>
      </c>
      <c r="BL52" s="412">
        <f t="shared" si="30"/>
        <v>0.44444444444444442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150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5.75">
      <c r="A53" s="332">
        <v>41</v>
      </c>
      <c r="B53" s="333">
        <v>46248</v>
      </c>
      <c r="C53" s="333" t="s">
        <v>277</v>
      </c>
      <c r="D53" s="333" t="s">
        <v>77</v>
      </c>
      <c r="E53" s="334">
        <v>7502327991250</v>
      </c>
      <c r="F53" s="332" t="s">
        <v>408</v>
      </c>
      <c r="G53" s="335" t="s">
        <v>409</v>
      </c>
      <c r="H53" s="336" t="s">
        <v>60</v>
      </c>
      <c r="I53" s="397" t="s">
        <v>410</v>
      </c>
      <c r="J53" s="335" t="s">
        <v>249</v>
      </c>
      <c r="K53" s="335" t="s">
        <v>281</v>
      </c>
      <c r="L53" s="332">
        <v>1</v>
      </c>
      <c r="M53" s="358" t="s">
        <v>282</v>
      </c>
      <c r="N53" s="395" t="s">
        <v>411</v>
      </c>
      <c r="O53" s="332" t="s">
        <v>284</v>
      </c>
      <c r="P53" s="385" t="s">
        <v>329</v>
      </c>
      <c r="Q53" s="340" t="s">
        <v>286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287</v>
      </c>
      <c r="AD53" s="332"/>
      <c r="AE53" s="335">
        <v>6</v>
      </c>
      <c r="AF53" s="335">
        <v>144</v>
      </c>
      <c r="AG53" s="352" t="s">
        <v>288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>
        <v>1</v>
      </c>
      <c r="BE53" s="350">
        <v>1</v>
      </c>
      <c r="BF53" s="350"/>
      <c r="BG53" s="350"/>
      <c r="BH53" s="350"/>
      <c r="BI53" s="388"/>
      <c r="BJ53" s="350">
        <v>9</v>
      </c>
      <c r="BK53" s="413">
        <f t="shared" si="29"/>
        <v>5</v>
      </c>
      <c r="BL53" s="412">
        <f t="shared" si="30"/>
        <v>0.55555555555555558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129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5.75">
      <c r="A54" s="332">
        <v>42</v>
      </c>
      <c r="B54" s="333">
        <v>46248</v>
      </c>
      <c r="C54" s="333" t="s">
        <v>277</v>
      </c>
      <c r="D54" s="333" t="s">
        <v>77</v>
      </c>
      <c r="E54" s="334">
        <v>7502327991267</v>
      </c>
      <c r="F54" s="332" t="s">
        <v>412</v>
      </c>
      <c r="G54" s="335" t="s">
        <v>413</v>
      </c>
      <c r="H54" s="336" t="s">
        <v>60</v>
      </c>
      <c r="I54" s="397" t="s">
        <v>410</v>
      </c>
      <c r="J54" s="335" t="s">
        <v>249</v>
      </c>
      <c r="K54" s="335" t="s">
        <v>281</v>
      </c>
      <c r="L54" s="332">
        <v>1</v>
      </c>
      <c r="M54" s="358" t="s">
        <v>282</v>
      </c>
      <c r="N54" s="395" t="s">
        <v>411</v>
      </c>
      <c r="O54" s="332" t="s">
        <v>284</v>
      </c>
      <c r="P54" s="385" t="s">
        <v>329</v>
      </c>
      <c r="Q54" s="340" t="s">
        <v>286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287</v>
      </c>
      <c r="AD54" s="332"/>
      <c r="AE54" s="335">
        <v>6</v>
      </c>
      <c r="AF54" s="335">
        <v>144</v>
      </c>
      <c r="AG54" s="352" t="s">
        <v>288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>
        <v>1</v>
      </c>
      <c r="BE54" s="350">
        <v>1</v>
      </c>
      <c r="BF54" s="350"/>
      <c r="BG54" s="350"/>
      <c r="BH54" s="350"/>
      <c r="BI54" s="388"/>
      <c r="BJ54" s="350">
        <v>9</v>
      </c>
      <c r="BK54" s="413">
        <f t="shared" si="29"/>
        <v>5</v>
      </c>
      <c r="BL54" s="412">
        <f t="shared" si="30"/>
        <v>0.55555555555555558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129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5.75">
      <c r="A55" s="332">
        <v>43</v>
      </c>
      <c r="B55" s="333">
        <v>46248</v>
      </c>
      <c r="C55" s="333" t="s">
        <v>277</v>
      </c>
      <c r="D55" s="333" t="s">
        <v>77</v>
      </c>
      <c r="E55" s="334">
        <v>7502327991274</v>
      </c>
      <c r="F55" s="332" t="s">
        <v>414</v>
      </c>
      <c r="G55" s="335" t="s">
        <v>415</v>
      </c>
      <c r="H55" s="336" t="s">
        <v>60</v>
      </c>
      <c r="I55" s="397" t="s">
        <v>410</v>
      </c>
      <c r="J55" s="335" t="s">
        <v>249</v>
      </c>
      <c r="K55" s="335" t="s">
        <v>281</v>
      </c>
      <c r="L55" s="332">
        <v>1</v>
      </c>
      <c r="M55" s="358" t="s">
        <v>282</v>
      </c>
      <c r="N55" s="395" t="s">
        <v>416</v>
      </c>
      <c r="O55" s="332" t="s">
        <v>284</v>
      </c>
      <c r="P55" s="385" t="s">
        <v>329</v>
      </c>
      <c r="Q55" s="340" t="s">
        <v>286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287</v>
      </c>
      <c r="AD55" s="332"/>
      <c r="AE55" s="335">
        <v>6</v>
      </c>
      <c r="AF55" s="335">
        <v>144</v>
      </c>
      <c r="AG55" s="352" t="s">
        <v>288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>
        <v>1</v>
      </c>
      <c r="BE55" s="350">
        <v>1</v>
      </c>
      <c r="BF55" s="350"/>
      <c r="BG55" s="350"/>
      <c r="BH55" s="350"/>
      <c r="BI55" s="388"/>
      <c r="BJ55" s="350">
        <v>9</v>
      </c>
      <c r="BK55" s="413">
        <f t="shared" si="29"/>
        <v>5</v>
      </c>
      <c r="BL55" s="412">
        <f t="shared" si="30"/>
        <v>0.55555555555555558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397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45.75">
      <c r="A56" s="332">
        <v>47</v>
      </c>
      <c r="B56" s="333">
        <v>46248</v>
      </c>
      <c r="C56" s="333" t="s">
        <v>277</v>
      </c>
      <c r="D56" s="333" t="s">
        <v>77</v>
      </c>
      <c r="E56" s="334">
        <v>7502327991311</v>
      </c>
      <c r="F56" s="332" t="s">
        <v>417</v>
      </c>
      <c r="G56" s="335" t="s">
        <v>418</v>
      </c>
      <c r="H56" s="336" t="s">
        <v>60</v>
      </c>
      <c r="I56" s="332" t="s">
        <v>419</v>
      </c>
      <c r="J56" s="335" t="s">
        <v>249</v>
      </c>
      <c r="K56" s="335" t="s">
        <v>281</v>
      </c>
      <c r="L56" s="332">
        <v>1</v>
      </c>
      <c r="M56" s="338" t="s">
        <v>282</v>
      </c>
      <c r="N56" s="393" t="s">
        <v>420</v>
      </c>
      <c r="O56" s="332" t="s">
        <v>284</v>
      </c>
      <c r="P56" s="385" t="s">
        <v>421</v>
      </c>
      <c r="Q56" s="340" t="s">
        <v>64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287</v>
      </c>
      <c r="AD56" s="332"/>
      <c r="AE56" s="335">
        <v>6</v>
      </c>
      <c r="AF56" s="335">
        <v>144</v>
      </c>
      <c r="AG56" s="352" t="s">
        <v>323</v>
      </c>
      <c r="AH56" s="391">
        <v>46315</v>
      </c>
      <c r="AI56" s="387"/>
      <c r="AJ56" s="387"/>
      <c r="AL56" s="348" t="s">
        <v>422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>
        <v>1</v>
      </c>
      <c r="BE56" s="350">
        <v>1</v>
      </c>
      <c r="BF56" s="350"/>
      <c r="BG56" s="350"/>
      <c r="BH56" s="350"/>
      <c r="BI56" s="388"/>
      <c r="BJ56" s="350">
        <v>9</v>
      </c>
      <c r="BK56" s="413">
        <f t="shared" si="29"/>
        <v>5</v>
      </c>
      <c r="BL56" s="412">
        <f t="shared" si="30"/>
        <v>0.55555555555555558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397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45.75">
      <c r="A57" s="332">
        <v>48</v>
      </c>
      <c r="B57" s="333">
        <v>46248</v>
      </c>
      <c r="C57" s="333" t="s">
        <v>277</v>
      </c>
      <c r="D57" s="333" t="s">
        <v>77</v>
      </c>
      <c r="E57" s="334">
        <v>7502327991328</v>
      </c>
      <c r="F57" s="332" t="s">
        <v>423</v>
      </c>
      <c r="G57" s="335" t="s">
        <v>424</v>
      </c>
      <c r="H57" s="336" t="s">
        <v>60</v>
      </c>
      <c r="I57" s="332" t="s">
        <v>419</v>
      </c>
      <c r="J57" s="335" t="s">
        <v>249</v>
      </c>
      <c r="K57" s="335" t="s">
        <v>281</v>
      </c>
      <c r="L57" s="332">
        <v>1</v>
      </c>
      <c r="M57" s="338" t="s">
        <v>282</v>
      </c>
      <c r="N57" s="393" t="s">
        <v>425</v>
      </c>
      <c r="O57" s="332" t="s">
        <v>284</v>
      </c>
      <c r="P57" s="385" t="s">
        <v>421</v>
      </c>
      <c r="Q57" s="340" t="s">
        <v>64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287</v>
      </c>
      <c r="AD57" s="332"/>
      <c r="AE57" s="335">
        <v>6</v>
      </c>
      <c r="AF57" s="335">
        <v>144</v>
      </c>
      <c r="AG57" s="352" t="s">
        <v>323</v>
      </c>
      <c r="AH57" s="391">
        <v>46315</v>
      </c>
      <c r="AI57" s="387"/>
      <c r="AJ57" s="387"/>
      <c r="AL57" s="348" t="s">
        <v>422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>
        <v>1</v>
      </c>
      <c r="BE57" s="350">
        <v>1</v>
      </c>
      <c r="BF57" s="350"/>
      <c r="BG57" s="350"/>
      <c r="BH57" s="350"/>
      <c r="BI57" s="388"/>
      <c r="BJ57" s="350">
        <v>9</v>
      </c>
      <c r="BK57" s="413">
        <f t="shared" si="29"/>
        <v>5</v>
      </c>
      <c r="BL57" s="412">
        <f t="shared" si="30"/>
        <v>0.55555555555555558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150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45.75">
      <c r="A58" s="332">
        <v>49</v>
      </c>
      <c r="B58" s="333">
        <v>46248</v>
      </c>
      <c r="C58" s="333" t="s">
        <v>277</v>
      </c>
      <c r="D58" s="333" t="s">
        <v>77</v>
      </c>
      <c r="E58" s="334">
        <v>7502327991335</v>
      </c>
      <c r="F58" s="332" t="s">
        <v>426</v>
      </c>
      <c r="G58" s="335" t="s">
        <v>427</v>
      </c>
      <c r="H58" s="336" t="s">
        <v>60</v>
      </c>
      <c r="I58" s="332" t="s">
        <v>419</v>
      </c>
      <c r="J58" s="335" t="s">
        <v>249</v>
      </c>
      <c r="K58" s="335" t="s">
        <v>281</v>
      </c>
      <c r="L58" s="332">
        <v>1</v>
      </c>
      <c r="M58" s="338" t="s">
        <v>282</v>
      </c>
      <c r="N58" s="393" t="s">
        <v>428</v>
      </c>
      <c r="O58" s="332" t="s">
        <v>284</v>
      </c>
      <c r="P58" s="385" t="s">
        <v>421</v>
      </c>
      <c r="Q58" s="340" t="s">
        <v>64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287</v>
      </c>
      <c r="AD58" s="332"/>
      <c r="AE58" s="335">
        <v>6</v>
      </c>
      <c r="AF58" s="335">
        <v>144</v>
      </c>
      <c r="AG58" s="352" t="s">
        <v>323</v>
      </c>
      <c r="AH58" s="332"/>
      <c r="AI58" s="387"/>
      <c r="AJ58" s="387"/>
      <c r="AL58" s="348" t="s">
        <v>422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>
        <v>1</v>
      </c>
      <c r="BE58" s="350">
        <v>1</v>
      </c>
      <c r="BF58" s="350"/>
      <c r="BG58" s="350"/>
      <c r="BH58" s="350"/>
      <c r="BI58" s="388"/>
      <c r="BJ58" s="350">
        <v>9</v>
      </c>
      <c r="BK58" s="413">
        <f t="shared" si="29"/>
        <v>5</v>
      </c>
      <c r="BL58" s="412">
        <f t="shared" si="30"/>
        <v>0.55555555555555558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150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46.5">
      <c r="A59" s="332">
        <v>50</v>
      </c>
      <c r="B59" s="333">
        <v>46248</v>
      </c>
      <c r="C59" s="333" t="s">
        <v>277</v>
      </c>
      <c r="D59" s="333" t="s">
        <v>77</v>
      </c>
      <c r="E59" s="334">
        <v>7502327991342</v>
      </c>
      <c r="F59" s="332" t="s">
        <v>429</v>
      </c>
      <c r="G59" s="335" t="s">
        <v>430</v>
      </c>
      <c r="H59" s="336" t="s">
        <v>60</v>
      </c>
      <c r="I59" s="332" t="s">
        <v>419</v>
      </c>
      <c r="J59" s="335" t="s">
        <v>249</v>
      </c>
      <c r="K59" s="335" t="s">
        <v>281</v>
      </c>
      <c r="L59" s="332">
        <v>1</v>
      </c>
      <c r="M59" s="338" t="s">
        <v>282</v>
      </c>
      <c r="N59" s="393" t="s">
        <v>431</v>
      </c>
      <c r="O59" s="332" t="s">
        <v>284</v>
      </c>
      <c r="P59" s="385" t="s">
        <v>421</v>
      </c>
      <c r="Q59" s="340" t="s">
        <v>64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287</v>
      </c>
      <c r="AD59" s="332"/>
      <c r="AE59" s="335">
        <v>6</v>
      </c>
      <c r="AF59" s="335">
        <v>144</v>
      </c>
      <c r="AG59" s="352" t="s">
        <v>323</v>
      </c>
      <c r="AH59" s="391">
        <v>46315</v>
      </c>
      <c r="AI59" s="387"/>
      <c r="AJ59" s="387"/>
      <c r="AL59" s="348" t="s">
        <v>422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>
        <v>1</v>
      </c>
      <c r="BE59" s="350">
        <v>1</v>
      </c>
      <c r="BF59" s="350"/>
      <c r="BG59" s="350"/>
      <c r="BH59" s="350"/>
      <c r="BI59" s="388"/>
      <c r="BJ59" s="350">
        <v>9</v>
      </c>
      <c r="BK59" s="413">
        <f t="shared" si="29"/>
        <v>5</v>
      </c>
      <c r="BL59" s="412">
        <f t="shared" si="30"/>
        <v>0.55555555555555558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150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45.75">
      <c r="A60" s="332">
        <v>51</v>
      </c>
      <c r="B60" s="333">
        <v>46248</v>
      </c>
      <c r="C60" s="333" t="s">
        <v>277</v>
      </c>
      <c r="D60" s="333" t="s">
        <v>77</v>
      </c>
      <c r="E60" s="334">
        <v>7502327991359</v>
      </c>
      <c r="F60" s="332" t="s">
        <v>432</v>
      </c>
      <c r="G60" s="335" t="s">
        <v>433</v>
      </c>
      <c r="H60" s="336"/>
      <c r="I60" s="332" t="s">
        <v>419</v>
      </c>
      <c r="J60" s="335" t="s">
        <v>249</v>
      </c>
      <c r="K60" s="335" t="s">
        <v>281</v>
      </c>
      <c r="L60" s="332">
        <v>1</v>
      </c>
      <c r="M60" s="338" t="s">
        <v>282</v>
      </c>
      <c r="N60" s="393" t="s">
        <v>434</v>
      </c>
      <c r="O60" s="332" t="s">
        <v>284</v>
      </c>
      <c r="P60" s="385" t="s">
        <v>421</v>
      </c>
      <c r="Q60" s="340" t="s">
        <v>64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287</v>
      </c>
      <c r="AD60" s="332"/>
      <c r="AE60" s="335">
        <v>6</v>
      </c>
      <c r="AF60" s="335">
        <v>144</v>
      </c>
      <c r="AG60" s="352" t="s">
        <v>323</v>
      </c>
      <c r="AH60" s="391">
        <v>46315</v>
      </c>
      <c r="AI60" s="387"/>
      <c r="AJ60" s="387"/>
      <c r="AL60" s="348" t="s">
        <v>422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>
        <v>1</v>
      </c>
      <c r="BE60" s="350">
        <v>1</v>
      </c>
      <c r="BF60" s="350"/>
      <c r="BG60" s="350"/>
      <c r="BH60" s="350"/>
      <c r="BI60" s="388"/>
      <c r="BJ60" s="350">
        <v>9</v>
      </c>
      <c r="BK60" s="413">
        <f t="shared" si="29"/>
        <v>5</v>
      </c>
      <c r="BL60" s="412">
        <f t="shared" si="30"/>
        <v>0.55555555555555558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150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61.5">
      <c r="A61" s="332">
        <v>52</v>
      </c>
      <c r="B61" s="333">
        <v>46248</v>
      </c>
      <c r="C61" s="333" t="s">
        <v>277</v>
      </c>
      <c r="D61" s="333" t="s">
        <v>77</v>
      </c>
      <c r="E61" s="334">
        <v>7502327991366</v>
      </c>
      <c r="F61" s="332" t="s">
        <v>435</v>
      </c>
      <c r="G61" s="335" t="s">
        <v>436</v>
      </c>
      <c r="H61" s="336" t="s">
        <v>60</v>
      </c>
      <c r="I61" s="332" t="s">
        <v>147</v>
      </c>
      <c r="J61" s="335" t="s">
        <v>249</v>
      </c>
      <c r="K61" s="335" t="s">
        <v>281</v>
      </c>
      <c r="L61" s="332">
        <v>1</v>
      </c>
      <c r="M61" s="358" t="s">
        <v>282</v>
      </c>
      <c r="N61" s="393" t="s">
        <v>437</v>
      </c>
      <c r="O61" s="332" t="s">
        <v>284</v>
      </c>
      <c r="P61" s="385" t="s">
        <v>421</v>
      </c>
      <c r="Q61" s="340" t="s">
        <v>286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287</v>
      </c>
      <c r="AD61" s="332"/>
      <c r="AE61" s="335">
        <v>6</v>
      </c>
      <c r="AF61" s="335">
        <v>144</v>
      </c>
      <c r="AG61" s="352" t="s">
        <v>330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>
        <v>1</v>
      </c>
      <c r="BE61" s="350"/>
      <c r="BF61" s="350"/>
      <c r="BG61" s="350"/>
      <c r="BH61" s="350"/>
      <c r="BI61" s="388"/>
      <c r="BJ61" s="350">
        <v>9</v>
      </c>
      <c r="BK61" s="413">
        <f t="shared" si="29"/>
        <v>4</v>
      </c>
      <c r="BL61" s="412">
        <f t="shared" si="30"/>
        <v>0.44444444444444442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150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61.5">
      <c r="A62" s="332">
        <v>53</v>
      </c>
      <c r="B62" s="333">
        <v>46248</v>
      </c>
      <c r="C62" s="333" t="s">
        <v>277</v>
      </c>
      <c r="D62" s="333" t="s">
        <v>77</v>
      </c>
      <c r="E62" s="334">
        <v>7502327991373</v>
      </c>
      <c r="F62" s="332" t="s">
        <v>438</v>
      </c>
      <c r="G62" s="335" t="s">
        <v>439</v>
      </c>
      <c r="H62" s="336" t="s">
        <v>60</v>
      </c>
      <c r="I62" s="332" t="s">
        <v>147</v>
      </c>
      <c r="J62" s="335" t="s">
        <v>249</v>
      </c>
      <c r="K62" s="335" t="s">
        <v>281</v>
      </c>
      <c r="L62" s="332">
        <v>1</v>
      </c>
      <c r="M62" s="358" t="s">
        <v>282</v>
      </c>
      <c r="N62" s="393" t="s">
        <v>440</v>
      </c>
      <c r="O62" s="332" t="s">
        <v>284</v>
      </c>
      <c r="P62" s="385" t="s">
        <v>421</v>
      </c>
      <c r="Q62" s="340" t="s">
        <v>286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287</v>
      </c>
      <c r="AD62" s="332"/>
      <c r="AE62" s="335">
        <v>6</v>
      </c>
      <c r="AF62" s="335">
        <v>144</v>
      </c>
      <c r="AG62" s="352" t="s">
        <v>330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>
        <v>1</v>
      </c>
      <c r="BE62" s="350"/>
      <c r="BF62" s="350"/>
      <c r="BG62" s="350"/>
      <c r="BH62" s="350"/>
      <c r="BI62" s="388"/>
      <c r="BJ62" s="350">
        <v>9</v>
      </c>
      <c r="BK62" s="413">
        <f t="shared" si="29"/>
        <v>4</v>
      </c>
      <c r="BL62" s="412">
        <f t="shared" si="30"/>
        <v>0.44444444444444442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150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61.5">
      <c r="A63" s="332">
        <v>54</v>
      </c>
      <c r="B63" s="333">
        <v>46248</v>
      </c>
      <c r="C63" s="333" t="s">
        <v>277</v>
      </c>
      <c r="D63" s="333" t="s">
        <v>77</v>
      </c>
      <c r="E63" s="334">
        <v>7502327991380</v>
      </c>
      <c r="F63" s="332" t="s">
        <v>441</v>
      </c>
      <c r="G63" s="335" t="s">
        <v>442</v>
      </c>
      <c r="H63" s="336" t="s">
        <v>60</v>
      </c>
      <c r="I63" s="332" t="s">
        <v>147</v>
      </c>
      <c r="J63" s="335" t="s">
        <v>249</v>
      </c>
      <c r="K63" s="335" t="s">
        <v>281</v>
      </c>
      <c r="L63" s="332">
        <v>1</v>
      </c>
      <c r="M63" s="358" t="s">
        <v>282</v>
      </c>
      <c r="N63" s="393" t="s">
        <v>443</v>
      </c>
      <c r="O63" s="332" t="s">
        <v>284</v>
      </c>
      <c r="P63" s="385" t="s">
        <v>421</v>
      </c>
      <c r="Q63" s="340" t="s">
        <v>286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287</v>
      </c>
      <c r="AD63" s="332"/>
      <c r="AE63" s="335">
        <v>6</v>
      </c>
      <c r="AF63" s="335">
        <v>144</v>
      </c>
      <c r="AG63" s="352" t="s">
        <v>330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>
        <v>1</v>
      </c>
      <c r="BE63" s="350"/>
      <c r="BF63" s="350"/>
      <c r="BG63" s="350"/>
      <c r="BH63" s="350"/>
      <c r="BI63" s="388"/>
      <c r="BJ63" s="350">
        <v>9</v>
      </c>
      <c r="BK63" s="413">
        <f t="shared" si="29"/>
        <v>4</v>
      </c>
      <c r="BL63" s="412">
        <f t="shared" si="30"/>
        <v>0.44444444444444442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150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61.5">
      <c r="A64" s="332">
        <v>55</v>
      </c>
      <c r="B64" s="333">
        <v>46248</v>
      </c>
      <c r="C64" s="333" t="s">
        <v>277</v>
      </c>
      <c r="D64" s="333" t="s">
        <v>77</v>
      </c>
      <c r="E64" s="334">
        <v>7502327991397</v>
      </c>
      <c r="F64" s="332" t="s">
        <v>444</v>
      </c>
      <c r="G64" s="335" t="s">
        <v>445</v>
      </c>
      <c r="H64" s="336" t="s">
        <v>60</v>
      </c>
      <c r="I64" s="332" t="s">
        <v>147</v>
      </c>
      <c r="J64" s="335" t="s">
        <v>249</v>
      </c>
      <c r="K64" s="335" t="s">
        <v>281</v>
      </c>
      <c r="L64" s="332">
        <v>1</v>
      </c>
      <c r="M64" s="358" t="s">
        <v>282</v>
      </c>
      <c r="N64" s="393" t="s">
        <v>446</v>
      </c>
      <c r="O64" s="332" t="s">
        <v>284</v>
      </c>
      <c r="P64" s="385" t="s">
        <v>421</v>
      </c>
      <c r="Q64" s="340" t="s">
        <v>286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287</v>
      </c>
      <c r="AD64" s="332"/>
      <c r="AE64" s="335">
        <v>6</v>
      </c>
      <c r="AF64" s="335">
        <v>144</v>
      </c>
      <c r="AG64" s="352" t="s">
        <v>330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>
        <v>1</v>
      </c>
      <c r="BE64" s="350"/>
      <c r="BF64" s="350"/>
      <c r="BG64" s="350"/>
      <c r="BH64" s="350"/>
      <c r="BI64" s="388"/>
      <c r="BJ64" s="350">
        <v>9</v>
      </c>
      <c r="BK64" s="413">
        <f t="shared" si="29"/>
        <v>4</v>
      </c>
      <c r="BL64" s="412">
        <f t="shared" si="30"/>
        <v>0.44444444444444442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150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45.75">
      <c r="A65" s="332">
        <v>56</v>
      </c>
      <c r="B65" s="333">
        <v>46248</v>
      </c>
      <c r="C65" s="333" t="s">
        <v>277</v>
      </c>
      <c r="D65" s="333" t="s">
        <v>77</v>
      </c>
      <c r="E65" s="334">
        <v>7502327991403</v>
      </c>
      <c r="F65" s="332" t="s">
        <v>447</v>
      </c>
      <c r="G65" s="335" t="s">
        <v>448</v>
      </c>
      <c r="H65" s="336" t="s">
        <v>60</v>
      </c>
      <c r="I65" s="397" t="s">
        <v>449</v>
      </c>
      <c r="J65" s="335" t="s">
        <v>249</v>
      </c>
      <c r="K65" s="335" t="s">
        <v>281</v>
      </c>
      <c r="L65" s="332">
        <v>1</v>
      </c>
      <c r="M65" s="338" t="s">
        <v>376</v>
      </c>
      <c r="N65" s="339" t="s">
        <v>450</v>
      </c>
      <c r="O65" s="332" t="s">
        <v>284</v>
      </c>
      <c r="P65" s="385">
        <v>3</v>
      </c>
      <c r="Q65" s="340" t="s">
        <v>286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287</v>
      </c>
      <c r="AD65" s="332"/>
      <c r="AE65" s="335">
        <v>6</v>
      </c>
      <c r="AF65" s="335">
        <v>144</v>
      </c>
      <c r="AG65" s="352" t="s">
        <v>288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>
        <v>1</v>
      </c>
      <c r="BE65" s="350"/>
      <c r="BF65" s="350"/>
      <c r="BG65" s="350"/>
      <c r="BH65" s="350"/>
      <c r="BI65" s="388"/>
      <c r="BJ65" s="350">
        <v>9</v>
      </c>
      <c r="BK65" s="413">
        <f t="shared" si="29"/>
        <v>4</v>
      </c>
      <c r="BL65" s="412">
        <f t="shared" si="30"/>
        <v>0.44444444444444442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129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45.75">
      <c r="A66" s="332">
        <v>57</v>
      </c>
      <c r="B66" s="333">
        <v>46248</v>
      </c>
      <c r="C66" s="333" t="s">
        <v>277</v>
      </c>
      <c r="D66" s="333" t="s">
        <v>77</v>
      </c>
      <c r="E66" s="334">
        <v>7502327991410</v>
      </c>
      <c r="F66" s="332" t="s">
        <v>451</v>
      </c>
      <c r="G66" s="335" t="s">
        <v>452</v>
      </c>
      <c r="H66" s="336" t="s">
        <v>60</v>
      </c>
      <c r="I66" s="397" t="s">
        <v>449</v>
      </c>
      <c r="J66" s="335" t="s">
        <v>249</v>
      </c>
      <c r="K66" s="335" t="s">
        <v>281</v>
      </c>
      <c r="L66" s="332">
        <v>1</v>
      </c>
      <c r="M66" s="338" t="s">
        <v>376</v>
      </c>
      <c r="N66" s="339" t="s">
        <v>450</v>
      </c>
      <c r="O66" s="332" t="s">
        <v>284</v>
      </c>
      <c r="P66" s="385">
        <v>3</v>
      </c>
      <c r="Q66" s="340" t="s">
        <v>286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287</v>
      </c>
      <c r="AD66" s="332"/>
      <c r="AE66" s="335">
        <v>6</v>
      </c>
      <c r="AF66" s="335">
        <v>144</v>
      </c>
      <c r="AG66" s="352" t="s">
        <v>288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>
        <v>1</v>
      </c>
      <c r="BE66" s="350"/>
      <c r="BF66" s="350"/>
      <c r="BG66" s="350"/>
      <c r="BH66" s="350"/>
      <c r="BI66" s="388"/>
      <c r="BJ66" s="350">
        <v>9</v>
      </c>
      <c r="BK66" s="413">
        <f t="shared" si="29"/>
        <v>4</v>
      </c>
      <c r="BL66" s="412">
        <f t="shared" si="30"/>
        <v>0.44444444444444442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129</v>
      </c>
    </row>
    <row r="67" spans="1:105" ht="45.75">
      <c r="A67" s="332">
        <v>58</v>
      </c>
      <c r="B67" s="333">
        <v>46248</v>
      </c>
      <c r="C67" s="333" t="s">
        <v>277</v>
      </c>
      <c r="D67" s="333" t="s">
        <v>77</v>
      </c>
      <c r="E67" s="334">
        <v>7502327991427</v>
      </c>
      <c r="F67" s="332" t="s">
        <v>453</v>
      </c>
      <c r="G67" s="335" t="s">
        <v>454</v>
      </c>
      <c r="H67" s="336" t="s">
        <v>60</v>
      </c>
      <c r="I67" s="397" t="s">
        <v>449</v>
      </c>
      <c r="J67" s="335" t="s">
        <v>249</v>
      </c>
      <c r="K67" s="335" t="s">
        <v>281</v>
      </c>
      <c r="L67" s="332">
        <v>1</v>
      </c>
      <c r="M67" s="338" t="s">
        <v>376</v>
      </c>
      <c r="N67" s="339" t="s">
        <v>450</v>
      </c>
      <c r="O67" s="332" t="s">
        <v>284</v>
      </c>
      <c r="P67" s="385">
        <v>3</v>
      </c>
      <c r="Q67" s="340" t="s">
        <v>286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287</v>
      </c>
      <c r="AD67" s="332"/>
      <c r="AE67" s="335">
        <v>6</v>
      </c>
      <c r="AF67" s="335">
        <v>144</v>
      </c>
      <c r="AG67" s="352" t="s">
        <v>288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>
        <v>1</v>
      </c>
      <c r="BE67" s="350"/>
      <c r="BF67" s="350"/>
      <c r="BG67" s="350"/>
      <c r="BH67" s="350"/>
      <c r="BI67" s="388"/>
      <c r="BJ67" s="350">
        <v>9</v>
      </c>
      <c r="BK67" s="413">
        <f t="shared" si="29"/>
        <v>4</v>
      </c>
      <c r="BL67" s="412">
        <f t="shared" si="30"/>
        <v>0.44444444444444442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129</v>
      </c>
    </row>
    <row r="68" spans="1:105" ht="45.75">
      <c r="A68" s="332">
        <v>59</v>
      </c>
      <c r="B68" s="333">
        <v>46248</v>
      </c>
      <c r="C68" s="333" t="s">
        <v>277</v>
      </c>
      <c r="D68" s="333" t="s">
        <v>77</v>
      </c>
      <c r="E68" s="334">
        <v>7502327991434</v>
      </c>
      <c r="F68" s="332" t="s">
        <v>455</v>
      </c>
      <c r="G68" s="335" t="s">
        <v>456</v>
      </c>
      <c r="H68" s="336" t="s">
        <v>60</v>
      </c>
      <c r="I68" s="397" t="s">
        <v>449</v>
      </c>
      <c r="J68" s="335" t="s">
        <v>249</v>
      </c>
      <c r="K68" s="335" t="s">
        <v>281</v>
      </c>
      <c r="L68" s="332">
        <v>1</v>
      </c>
      <c r="M68" s="338" t="s">
        <v>376</v>
      </c>
      <c r="N68" s="339" t="s">
        <v>450</v>
      </c>
      <c r="O68" s="332" t="s">
        <v>284</v>
      </c>
      <c r="P68" s="385">
        <v>3</v>
      </c>
      <c r="Q68" s="340" t="s">
        <v>286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287</v>
      </c>
      <c r="AD68" s="332"/>
      <c r="AE68" s="335">
        <v>6</v>
      </c>
      <c r="AF68" s="335">
        <v>144</v>
      </c>
      <c r="AG68" s="352" t="s">
        <v>288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>
        <v>1</v>
      </c>
      <c r="BE68" s="350"/>
      <c r="BF68" s="350"/>
      <c r="BG68" s="350"/>
      <c r="BH68" s="350"/>
      <c r="BI68" s="388"/>
      <c r="BJ68" s="350">
        <v>9</v>
      </c>
      <c r="BK68" s="413">
        <f t="shared" si="29"/>
        <v>4</v>
      </c>
      <c r="BL68" s="412">
        <f t="shared" si="30"/>
        <v>0.44444444444444442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129</v>
      </c>
    </row>
    <row r="69" spans="1:105" ht="61.5">
      <c r="A69" s="332">
        <v>60</v>
      </c>
      <c r="B69" s="333">
        <v>46248</v>
      </c>
      <c r="C69" s="333" t="s">
        <v>277</v>
      </c>
      <c r="D69" s="333" t="s">
        <v>77</v>
      </c>
      <c r="E69" s="334">
        <v>7502327991441</v>
      </c>
      <c r="F69" s="332" t="s">
        <v>457</v>
      </c>
      <c r="G69" s="335" t="s">
        <v>458</v>
      </c>
      <c r="H69" s="336" t="s">
        <v>60</v>
      </c>
      <c r="I69" s="332" t="s">
        <v>459</v>
      </c>
      <c r="J69" s="335" t="s">
        <v>249</v>
      </c>
      <c r="K69" s="335" t="s">
        <v>281</v>
      </c>
      <c r="L69" s="332">
        <v>1</v>
      </c>
      <c r="M69" s="338" t="s">
        <v>282</v>
      </c>
      <c r="N69" s="339" t="s">
        <v>460</v>
      </c>
      <c r="O69" s="332" t="s">
        <v>284</v>
      </c>
      <c r="P69" s="385" t="s">
        <v>461</v>
      </c>
      <c r="Q69" s="340" t="s">
        <v>286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287</v>
      </c>
      <c r="AD69" s="332"/>
      <c r="AE69" s="335">
        <v>6</v>
      </c>
      <c r="AF69" s="335">
        <v>144</v>
      </c>
      <c r="AG69" s="352" t="s">
        <v>330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>
        <v>1</v>
      </c>
      <c r="BE69" s="350"/>
      <c r="BF69" s="350"/>
      <c r="BG69" s="350"/>
      <c r="BH69" s="350"/>
      <c r="BI69" s="388"/>
      <c r="BJ69" s="350">
        <v>9</v>
      </c>
      <c r="BK69" s="413">
        <f t="shared" si="29"/>
        <v>4</v>
      </c>
      <c r="BL69" s="412">
        <f t="shared" si="30"/>
        <v>0.44444444444444442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150</v>
      </c>
    </row>
    <row r="70" spans="1:105" ht="61.5">
      <c r="A70" s="332">
        <v>61</v>
      </c>
      <c r="B70" s="333">
        <v>46248</v>
      </c>
      <c r="C70" s="333" t="s">
        <v>277</v>
      </c>
      <c r="D70" s="333" t="s">
        <v>77</v>
      </c>
      <c r="E70" s="334">
        <v>7502327991458</v>
      </c>
      <c r="F70" s="332" t="s">
        <v>462</v>
      </c>
      <c r="G70" s="335" t="s">
        <v>463</v>
      </c>
      <c r="H70" s="336" t="s">
        <v>60</v>
      </c>
      <c r="I70" s="332" t="s">
        <v>459</v>
      </c>
      <c r="J70" s="335" t="s">
        <v>249</v>
      </c>
      <c r="K70" s="335" t="s">
        <v>281</v>
      </c>
      <c r="L70" s="332">
        <v>1</v>
      </c>
      <c r="M70" s="338" t="s">
        <v>282</v>
      </c>
      <c r="N70" s="339" t="s">
        <v>460</v>
      </c>
      <c r="O70" s="332" t="s">
        <v>284</v>
      </c>
      <c r="P70" s="385" t="s">
        <v>461</v>
      </c>
      <c r="Q70" s="340" t="s">
        <v>286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287</v>
      </c>
      <c r="AD70" s="332"/>
      <c r="AE70" s="335">
        <v>6</v>
      </c>
      <c r="AF70" s="335">
        <v>144</v>
      </c>
      <c r="AG70" s="352" t="s">
        <v>330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>
        <v>1</v>
      </c>
      <c r="BE70" s="350"/>
      <c r="BF70" s="350"/>
      <c r="BG70" s="350"/>
      <c r="BH70" s="350"/>
      <c r="BI70" s="388"/>
      <c r="BJ70" s="350">
        <v>9</v>
      </c>
      <c r="BK70" s="413">
        <f t="shared" si="29"/>
        <v>4</v>
      </c>
      <c r="BL70" s="412">
        <f t="shared" si="30"/>
        <v>0.44444444444444442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150</v>
      </c>
    </row>
    <row r="71" spans="1:105" ht="61.5">
      <c r="A71" s="332">
        <v>62</v>
      </c>
      <c r="B71" s="333">
        <v>46248</v>
      </c>
      <c r="C71" s="333" t="s">
        <v>277</v>
      </c>
      <c r="D71" s="333" t="s">
        <v>77</v>
      </c>
      <c r="E71" s="334">
        <v>7502327991465</v>
      </c>
      <c r="F71" s="332" t="s">
        <v>464</v>
      </c>
      <c r="G71" s="335" t="s">
        <v>465</v>
      </c>
      <c r="H71" s="336" t="s">
        <v>60</v>
      </c>
      <c r="I71" s="332" t="s">
        <v>459</v>
      </c>
      <c r="J71" s="335" t="s">
        <v>249</v>
      </c>
      <c r="K71" s="335" t="s">
        <v>281</v>
      </c>
      <c r="L71" s="332">
        <v>1</v>
      </c>
      <c r="M71" s="338" t="s">
        <v>282</v>
      </c>
      <c r="N71" s="339" t="s">
        <v>460</v>
      </c>
      <c r="O71" s="332" t="s">
        <v>284</v>
      </c>
      <c r="P71" s="385" t="s">
        <v>461</v>
      </c>
      <c r="Q71" s="340" t="s">
        <v>286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287</v>
      </c>
      <c r="AD71" s="332"/>
      <c r="AE71" s="335">
        <v>6</v>
      </c>
      <c r="AF71" s="335">
        <v>144</v>
      </c>
      <c r="AG71" s="352" t="s">
        <v>330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>
        <v>1</v>
      </c>
      <c r="BE71" s="350"/>
      <c r="BF71" s="350"/>
      <c r="BG71" s="350"/>
      <c r="BH71" s="350"/>
      <c r="BI71" s="388"/>
      <c r="BJ71" s="350">
        <v>9</v>
      </c>
      <c r="BK71" s="413">
        <f t="shared" si="29"/>
        <v>4</v>
      </c>
      <c r="BL71" s="412">
        <f t="shared" si="30"/>
        <v>0.44444444444444442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150</v>
      </c>
    </row>
    <row r="72" spans="1:105" ht="61.5">
      <c r="A72" s="332">
        <v>63</v>
      </c>
      <c r="B72" s="333">
        <v>46248</v>
      </c>
      <c r="C72" s="333" t="s">
        <v>277</v>
      </c>
      <c r="D72" s="333" t="s">
        <v>77</v>
      </c>
      <c r="E72" s="334">
        <v>7502327991472</v>
      </c>
      <c r="F72" s="332" t="s">
        <v>466</v>
      </c>
      <c r="G72" s="335" t="s">
        <v>467</v>
      </c>
      <c r="H72" s="336" t="s">
        <v>60</v>
      </c>
      <c r="I72" s="332" t="s">
        <v>459</v>
      </c>
      <c r="J72" s="335" t="s">
        <v>249</v>
      </c>
      <c r="K72" s="335" t="s">
        <v>281</v>
      </c>
      <c r="L72" s="332">
        <v>1</v>
      </c>
      <c r="M72" s="338" t="s">
        <v>282</v>
      </c>
      <c r="N72" s="339" t="s">
        <v>460</v>
      </c>
      <c r="O72" s="332" t="s">
        <v>284</v>
      </c>
      <c r="P72" s="385" t="s">
        <v>461</v>
      </c>
      <c r="Q72" s="340" t="s">
        <v>286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287</v>
      </c>
      <c r="AD72" s="332"/>
      <c r="AE72" s="335">
        <v>6</v>
      </c>
      <c r="AF72" s="335">
        <v>144</v>
      </c>
      <c r="AG72" s="352" t="s">
        <v>330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>
        <v>1</v>
      </c>
      <c r="BE72" s="350"/>
      <c r="BF72" s="350"/>
      <c r="BG72" s="350"/>
      <c r="BH72" s="350"/>
      <c r="BI72" s="388"/>
      <c r="BJ72" s="350">
        <v>9</v>
      </c>
      <c r="BK72" s="413">
        <f t="shared" si="29"/>
        <v>4</v>
      </c>
      <c r="BL72" s="412">
        <f t="shared" si="30"/>
        <v>0.44444444444444442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150</v>
      </c>
    </row>
    <row r="73" spans="1:105" ht="61.5">
      <c r="A73" s="332">
        <v>64</v>
      </c>
      <c r="B73" s="333">
        <v>46248</v>
      </c>
      <c r="C73" s="333" t="s">
        <v>277</v>
      </c>
      <c r="D73" s="333" t="s">
        <v>77</v>
      </c>
      <c r="E73" s="334">
        <v>7502327991489</v>
      </c>
      <c r="F73" s="332" t="s">
        <v>468</v>
      </c>
      <c r="G73" s="335" t="s">
        <v>469</v>
      </c>
      <c r="H73" s="336" t="s">
        <v>60</v>
      </c>
      <c r="I73" s="332" t="s">
        <v>459</v>
      </c>
      <c r="J73" s="335" t="s">
        <v>249</v>
      </c>
      <c r="K73" s="335" t="s">
        <v>281</v>
      </c>
      <c r="L73" s="332">
        <v>1</v>
      </c>
      <c r="M73" s="338" t="s">
        <v>282</v>
      </c>
      <c r="N73" s="339" t="s">
        <v>460</v>
      </c>
      <c r="O73" s="332" t="s">
        <v>284</v>
      </c>
      <c r="P73" s="385" t="s">
        <v>461</v>
      </c>
      <c r="Q73" s="340" t="s">
        <v>286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287</v>
      </c>
      <c r="AD73" s="332"/>
      <c r="AE73" s="335">
        <v>6</v>
      </c>
      <c r="AF73" s="335">
        <v>144</v>
      </c>
      <c r="AG73" s="352" t="s">
        <v>330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>
        <v>1</v>
      </c>
      <c r="BE73" s="350"/>
      <c r="BF73" s="350"/>
      <c r="BG73" s="350"/>
      <c r="BH73" s="350"/>
      <c r="BI73" s="388"/>
      <c r="BJ73" s="350">
        <v>9</v>
      </c>
      <c r="BK73" s="413">
        <f t="shared" si="29"/>
        <v>4</v>
      </c>
      <c r="BL73" s="412">
        <f t="shared" si="30"/>
        <v>0.44444444444444442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150</v>
      </c>
    </row>
    <row r="74" spans="1:105" ht="45.75">
      <c r="A74" s="332">
        <v>65</v>
      </c>
      <c r="B74" s="333">
        <v>46248</v>
      </c>
      <c r="C74" s="333" t="s">
        <v>277</v>
      </c>
      <c r="D74" s="333" t="s">
        <v>77</v>
      </c>
      <c r="E74" s="334">
        <v>7502327991496</v>
      </c>
      <c r="F74" s="332" t="s">
        <v>470</v>
      </c>
      <c r="G74" s="335" t="s">
        <v>471</v>
      </c>
      <c r="H74" s="399" t="s">
        <v>60</v>
      </c>
      <c r="I74" s="332" t="s">
        <v>280</v>
      </c>
      <c r="J74" s="335" t="s">
        <v>249</v>
      </c>
      <c r="K74" s="335" t="s">
        <v>281</v>
      </c>
      <c r="L74" s="332">
        <v>1</v>
      </c>
      <c r="M74" s="338" t="s">
        <v>282</v>
      </c>
      <c r="N74" s="395" t="s">
        <v>472</v>
      </c>
      <c r="O74" s="332" t="s">
        <v>284</v>
      </c>
      <c r="P74" s="385">
        <v>7</v>
      </c>
      <c r="Q74" s="340" t="s">
        <v>286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287</v>
      </c>
      <c r="AD74" s="332"/>
      <c r="AE74" s="335">
        <v>4</v>
      </c>
      <c r="AF74" s="335">
        <v>48</v>
      </c>
      <c r="AG74" s="352" t="s">
        <v>288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>
        <v>1</v>
      </c>
      <c r="BE74" s="350">
        <v>1</v>
      </c>
      <c r="BF74" s="350"/>
      <c r="BG74" s="350"/>
      <c r="BH74" s="350"/>
      <c r="BI74" s="388"/>
      <c r="BJ74" s="350">
        <v>9</v>
      </c>
      <c r="BK74" s="413">
        <f t="shared" si="29"/>
        <v>5</v>
      </c>
      <c r="BL74" s="412">
        <f t="shared" si="30"/>
        <v>0.55555555555555558</v>
      </c>
      <c r="BM74" s="389"/>
      <c r="BN74" s="389"/>
      <c r="BO74" s="389"/>
      <c r="BP74" s="389"/>
      <c r="BQ74" s="389"/>
      <c r="BR74" s="390" t="s">
        <v>473</v>
      </c>
      <c r="BS74" s="410">
        <f t="shared" si="15"/>
        <v>46308</v>
      </c>
      <c r="BT74" s="353" t="s">
        <v>150</v>
      </c>
    </row>
    <row r="75" spans="1:105" ht="45.75">
      <c r="A75" s="332">
        <v>66</v>
      </c>
      <c r="B75" s="333">
        <v>46248</v>
      </c>
      <c r="C75" s="333" t="s">
        <v>277</v>
      </c>
      <c r="D75" s="333" t="s">
        <v>77</v>
      </c>
      <c r="E75" s="334">
        <v>7502327991502</v>
      </c>
      <c r="F75" s="332" t="s">
        <v>474</v>
      </c>
      <c r="G75" s="335" t="s">
        <v>475</v>
      </c>
      <c r="H75" s="399" t="s">
        <v>60</v>
      </c>
      <c r="I75" s="332" t="s">
        <v>476</v>
      </c>
      <c r="J75" s="335" t="s">
        <v>249</v>
      </c>
      <c r="K75" s="335" t="s">
        <v>281</v>
      </c>
      <c r="L75" s="332">
        <v>1</v>
      </c>
      <c r="M75" s="400" t="s">
        <v>282</v>
      </c>
      <c r="N75" s="395" t="s">
        <v>477</v>
      </c>
      <c r="O75" s="332" t="s">
        <v>478</v>
      </c>
      <c r="P75" s="385" t="s">
        <v>479</v>
      </c>
      <c r="Q75" s="340" t="s">
        <v>286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287</v>
      </c>
      <c r="AD75" s="332"/>
      <c r="AE75" s="335">
        <v>6</v>
      </c>
      <c r="AF75" s="335">
        <v>72</v>
      </c>
      <c r="AG75" s="352" t="s">
        <v>288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>
        <v>1</v>
      </c>
      <c r="BE75" s="350">
        <v>1</v>
      </c>
      <c r="BF75" s="350"/>
      <c r="BG75" s="350"/>
      <c r="BH75" s="350"/>
      <c r="BI75" s="388"/>
      <c r="BJ75" s="350">
        <v>9</v>
      </c>
      <c r="BK75" s="413">
        <f t="shared" si="29"/>
        <v>5</v>
      </c>
      <c r="BL75" s="412">
        <f t="shared" si="30"/>
        <v>0.55555555555555558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129</v>
      </c>
    </row>
    <row r="76" spans="1:105" ht="61.5">
      <c r="A76" s="332">
        <v>67</v>
      </c>
      <c r="B76" s="333">
        <v>46248</v>
      </c>
      <c r="C76" s="333" t="s">
        <v>277</v>
      </c>
      <c r="D76" s="333" t="s">
        <v>77</v>
      </c>
      <c r="E76" s="334">
        <v>7502327991519</v>
      </c>
      <c r="F76" s="332" t="s">
        <v>480</v>
      </c>
      <c r="G76" s="335" t="s">
        <v>481</v>
      </c>
      <c r="H76" s="336" t="s">
        <v>60</v>
      </c>
      <c r="I76" s="332" t="s">
        <v>482</v>
      </c>
      <c r="J76" s="335" t="s">
        <v>249</v>
      </c>
      <c r="K76" s="335" t="s">
        <v>281</v>
      </c>
      <c r="L76" s="332">
        <v>1</v>
      </c>
      <c r="M76" s="358" t="s">
        <v>483</v>
      </c>
      <c r="N76" s="395" t="s">
        <v>484</v>
      </c>
      <c r="O76" s="332" t="s">
        <v>478</v>
      </c>
      <c r="P76" s="385" t="s">
        <v>485</v>
      </c>
      <c r="Q76" s="340" t="s">
        <v>64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287</v>
      </c>
      <c r="AD76" s="332"/>
      <c r="AE76" s="335">
        <v>4</v>
      </c>
      <c r="AF76" s="335">
        <v>48</v>
      </c>
      <c r="AG76" s="352" t="s">
        <v>486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>
        <v>1</v>
      </c>
      <c r="BE76" s="350"/>
      <c r="BF76" s="350"/>
      <c r="BG76" s="350"/>
      <c r="BH76" s="350"/>
      <c r="BI76" s="388"/>
      <c r="BJ76" s="350">
        <v>9</v>
      </c>
      <c r="BK76" s="413">
        <f t="shared" si="29"/>
        <v>4</v>
      </c>
      <c r="BL76" s="412">
        <f t="shared" si="30"/>
        <v>0.44444444444444442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129</v>
      </c>
    </row>
    <row r="77" spans="1:105" ht="45.75">
      <c r="A77" s="332">
        <v>69</v>
      </c>
      <c r="B77" s="333">
        <v>46248</v>
      </c>
      <c r="C77" s="333" t="s">
        <v>277</v>
      </c>
      <c r="D77" s="333" t="s">
        <v>77</v>
      </c>
      <c r="E77" s="334">
        <v>7502327991533</v>
      </c>
      <c r="F77" s="332" t="s">
        <v>487</v>
      </c>
      <c r="G77" s="335" t="s">
        <v>488</v>
      </c>
      <c r="H77" s="399" t="s">
        <v>60</v>
      </c>
      <c r="I77" s="332" t="s">
        <v>489</v>
      </c>
      <c r="J77" s="335" t="s">
        <v>249</v>
      </c>
      <c r="K77" s="335" t="s">
        <v>281</v>
      </c>
      <c r="L77" s="332">
        <v>1</v>
      </c>
      <c r="M77" s="358" t="s">
        <v>282</v>
      </c>
      <c r="N77" s="332"/>
      <c r="O77" s="332" t="s">
        <v>478</v>
      </c>
      <c r="P77" s="385" t="s">
        <v>345</v>
      </c>
      <c r="Q77" s="340" t="s">
        <v>286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287</v>
      </c>
      <c r="AD77" s="332"/>
      <c r="AE77" s="335">
        <v>6</v>
      </c>
      <c r="AF77" s="335">
        <v>36</v>
      </c>
      <c r="AG77" s="352" t="s">
        <v>288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>
        <v>1</v>
      </c>
      <c r="BE77" s="350"/>
      <c r="BF77" s="350"/>
      <c r="BG77" s="350"/>
      <c r="BH77" s="350"/>
      <c r="BI77" s="388"/>
      <c r="BJ77" s="350">
        <v>9</v>
      </c>
      <c r="BK77" s="413">
        <f t="shared" si="29"/>
        <v>4</v>
      </c>
      <c r="BL77" s="412">
        <f t="shared" si="30"/>
        <v>0.44444444444444442</v>
      </c>
      <c r="BM77" s="389"/>
      <c r="BN77" s="389"/>
      <c r="BO77" s="389"/>
      <c r="BP77" s="389"/>
      <c r="BQ77" s="389"/>
      <c r="BR77" s="390" t="s">
        <v>473</v>
      </c>
      <c r="BS77" s="410">
        <f t="shared" si="15"/>
        <v>46308</v>
      </c>
      <c r="BT77" s="353" t="s">
        <v>150</v>
      </c>
    </row>
    <row r="78" spans="1:105" ht="45.75">
      <c r="A78" s="332">
        <v>70</v>
      </c>
      <c r="B78" s="333">
        <v>46248</v>
      </c>
      <c r="C78" s="333" t="s">
        <v>277</v>
      </c>
      <c r="D78" s="333" t="s">
        <v>77</v>
      </c>
      <c r="E78" s="334">
        <v>7502327991540</v>
      </c>
      <c r="F78" s="332" t="s">
        <v>490</v>
      </c>
      <c r="G78" s="335" t="s">
        <v>491</v>
      </c>
      <c r="H78" s="399" t="s">
        <v>60</v>
      </c>
      <c r="I78" s="332" t="s">
        <v>489</v>
      </c>
      <c r="J78" s="335" t="s">
        <v>249</v>
      </c>
      <c r="K78" s="335" t="s">
        <v>281</v>
      </c>
      <c r="L78" s="332">
        <v>1</v>
      </c>
      <c r="M78" s="358" t="s">
        <v>282</v>
      </c>
      <c r="N78" s="332"/>
      <c r="O78" s="332" t="s">
        <v>478</v>
      </c>
      <c r="P78" s="385" t="s">
        <v>345</v>
      </c>
      <c r="Q78" s="340" t="s">
        <v>286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287</v>
      </c>
      <c r="AD78" s="332"/>
      <c r="AE78" s="335">
        <v>6</v>
      </c>
      <c r="AF78" s="335">
        <v>36</v>
      </c>
      <c r="AG78" s="352" t="s">
        <v>288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>
        <v>1</v>
      </c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4</v>
      </c>
      <c r="BL78" s="412">
        <f t="shared" ref="BL78:BL103" si="47">+BK78/BJ78</f>
        <v>0.44444444444444442</v>
      </c>
      <c r="BM78" s="389"/>
      <c r="BN78" s="389"/>
      <c r="BO78" s="389"/>
      <c r="BP78" s="389"/>
      <c r="BQ78" s="389"/>
      <c r="BR78" s="390" t="s">
        <v>473</v>
      </c>
      <c r="BS78" s="410">
        <f t="shared" si="15"/>
        <v>46308</v>
      </c>
      <c r="BT78" s="353" t="s">
        <v>150</v>
      </c>
    </row>
    <row r="79" spans="1:105" ht="61.5">
      <c r="A79" s="332">
        <v>71</v>
      </c>
      <c r="B79" s="333">
        <v>46248</v>
      </c>
      <c r="C79" s="333" t="s">
        <v>277</v>
      </c>
      <c r="D79" s="333" t="s">
        <v>77</v>
      </c>
      <c r="E79" s="334">
        <v>7502327991557</v>
      </c>
      <c r="F79" s="332" t="s">
        <v>492</v>
      </c>
      <c r="G79" s="335" t="s">
        <v>493</v>
      </c>
      <c r="H79" s="336" t="s">
        <v>60</v>
      </c>
      <c r="I79" s="332" t="s">
        <v>494</v>
      </c>
      <c r="J79" s="335" t="s">
        <v>249</v>
      </c>
      <c r="K79" s="335" t="s">
        <v>281</v>
      </c>
      <c r="L79" s="332">
        <v>1</v>
      </c>
      <c r="M79" s="358" t="s">
        <v>376</v>
      </c>
      <c r="N79" s="332"/>
      <c r="O79" s="332" t="s">
        <v>478</v>
      </c>
      <c r="P79" s="385" t="s">
        <v>345</v>
      </c>
      <c r="Q79" s="340" t="s">
        <v>286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287</v>
      </c>
      <c r="AD79" s="332"/>
      <c r="AE79" s="335">
        <v>4</v>
      </c>
      <c r="AF79" s="335">
        <v>24</v>
      </c>
      <c r="AG79" s="352" t="s">
        <v>495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>
        <v>1</v>
      </c>
      <c r="BE79" s="350">
        <v>1</v>
      </c>
      <c r="BF79" s="350"/>
      <c r="BG79" s="350"/>
      <c r="BH79" s="350"/>
      <c r="BI79" s="388"/>
      <c r="BJ79" s="350">
        <v>9</v>
      </c>
      <c r="BK79" s="413">
        <f t="shared" si="46"/>
        <v>5</v>
      </c>
      <c r="BL79" s="412">
        <f t="shared" si="47"/>
        <v>0.55555555555555558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129</v>
      </c>
    </row>
    <row r="80" spans="1:105" ht="61.5">
      <c r="A80" s="332">
        <v>72</v>
      </c>
      <c r="B80" s="333">
        <v>46248</v>
      </c>
      <c r="C80" s="333" t="s">
        <v>277</v>
      </c>
      <c r="D80" s="333" t="s">
        <v>77</v>
      </c>
      <c r="E80" s="334">
        <v>7502327991564</v>
      </c>
      <c r="F80" s="332" t="s">
        <v>496</v>
      </c>
      <c r="G80" s="335" t="s">
        <v>497</v>
      </c>
      <c r="H80" s="336" t="s">
        <v>60</v>
      </c>
      <c r="I80" s="332" t="s">
        <v>498</v>
      </c>
      <c r="J80" s="335" t="s">
        <v>249</v>
      </c>
      <c r="K80" s="335" t="s">
        <v>281</v>
      </c>
      <c r="L80" s="332">
        <v>1</v>
      </c>
      <c r="M80" s="358" t="s">
        <v>483</v>
      </c>
      <c r="N80" s="332"/>
      <c r="O80" s="332" t="s">
        <v>478</v>
      </c>
      <c r="P80" s="385">
        <v>14</v>
      </c>
      <c r="Q80" s="340" t="s">
        <v>64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287</v>
      </c>
      <c r="AD80" s="332"/>
      <c r="AE80" s="335">
        <v>12</v>
      </c>
      <c r="AF80" s="335">
        <v>480</v>
      </c>
      <c r="AG80" s="352" t="s">
        <v>495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>
        <v>1</v>
      </c>
      <c r="BE80" s="350">
        <v>1</v>
      </c>
      <c r="BF80" s="350"/>
      <c r="BG80" s="350"/>
      <c r="BH80" s="350"/>
      <c r="BI80" s="388"/>
      <c r="BJ80" s="350">
        <v>9</v>
      </c>
      <c r="BK80" s="413">
        <f t="shared" si="46"/>
        <v>5</v>
      </c>
      <c r="BL80" s="412">
        <f t="shared" si="47"/>
        <v>0.55555555555555558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129</v>
      </c>
    </row>
    <row r="81" spans="1:72" ht="61.5">
      <c r="A81" s="332">
        <v>73</v>
      </c>
      <c r="B81" s="333">
        <v>46248</v>
      </c>
      <c r="C81" s="333" t="s">
        <v>277</v>
      </c>
      <c r="D81" s="333" t="s">
        <v>77</v>
      </c>
      <c r="E81" s="334">
        <v>7502327991571</v>
      </c>
      <c r="F81" s="332" t="s">
        <v>499</v>
      </c>
      <c r="G81" s="335" t="s">
        <v>500</v>
      </c>
      <c r="H81" s="336" t="s">
        <v>60</v>
      </c>
      <c r="I81" s="332" t="s">
        <v>498</v>
      </c>
      <c r="J81" s="335" t="s">
        <v>249</v>
      </c>
      <c r="K81" s="335" t="s">
        <v>281</v>
      </c>
      <c r="L81" s="332">
        <v>1</v>
      </c>
      <c r="M81" s="358" t="s">
        <v>483</v>
      </c>
      <c r="N81" s="332"/>
      <c r="O81" s="332" t="s">
        <v>478</v>
      </c>
      <c r="P81" s="385">
        <v>1</v>
      </c>
      <c r="Q81" s="340" t="s">
        <v>64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287</v>
      </c>
      <c r="AD81" s="332"/>
      <c r="AE81" s="335">
        <v>12</v>
      </c>
      <c r="AF81" s="335">
        <v>480</v>
      </c>
      <c r="AG81" s="352" t="s">
        <v>495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>
        <v>1</v>
      </c>
      <c r="BE81" s="350">
        <v>1</v>
      </c>
      <c r="BF81" s="350"/>
      <c r="BG81" s="350"/>
      <c r="BH81" s="350"/>
      <c r="BI81" s="388"/>
      <c r="BJ81" s="350">
        <v>9</v>
      </c>
      <c r="BK81" s="413">
        <f t="shared" si="46"/>
        <v>5</v>
      </c>
      <c r="BL81" s="412">
        <f t="shared" si="47"/>
        <v>0.55555555555555558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129</v>
      </c>
    </row>
    <row r="82" spans="1:72" ht="61.5">
      <c r="A82" s="332">
        <v>74</v>
      </c>
      <c r="B82" s="333">
        <v>46248</v>
      </c>
      <c r="C82" s="333" t="s">
        <v>277</v>
      </c>
      <c r="D82" s="333" t="s">
        <v>77</v>
      </c>
      <c r="E82" s="334">
        <v>7502327991588</v>
      </c>
      <c r="F82" s="332" t="s">
        <v>501</v>
      </c>
      <c r="G82" s="335" t="s">
        <v>502</v>
      </c>
      <c r="H82" s="336" t="s">
        <v>60</v>
      </c>
      <c r="I82" s="332" t="s">
        <v>498</v>
      </c>
      <c r="J82" s="335" t="s">
        <v>249</v>
      </c>
      <c r="K82" s="335" t="s">
        <v>281</v>
      </c>
      <c r="L82" s="332">
        <v>1</v>
      </c>
      <c r="M82" s="358" t="s">
        <v>483</v>
      </c>
      <c r="N82" s="332"/>
      <c r="O82" s="332" t="s">
        <v>478</v>
      </c>
      <c r="P82" s="385">
        <v>1</v>
      </c>
      <c r="Q82" s="340" t="s">
        <v>64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287</v>
      </c>
      <c r="AD82" s="332"/>
      <c r="AE82" s="335">
        <v>12</v>
      </c>
      <c r="AF82" s="335">
        <v>480</v>
      </c>
      <c r="AG82" s="352" t="s">
        <v>495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>
        <v>1</v>
      </c>
      <c r="BE82" s="350">
        <v>1</v>
      </c>
      <c r="BF82" s="350"/>
      <c r="BG82" s="350"/>
      <c r="BH82" s="350"/>
      <c r="BI82" s="388"/>
      <c r="BJ82" s="350">
        <v>9</v>
      </c>
      <c r="BK82" s="413">
        <f t="shared" si="46"/>
        <v>5</v>
      </c>
      <c r="BL82" s="412">
        <f t="shared" si="47"/>
        <v>0.55555555555555558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129</v>
      </c>
    </row>
    <row r="83" spans="1:72" ht="61.5">
      <c r="A83" s="332">
        <v>75</v>
      </c>
      <c r="B83" s="333">
        <v>46248</v>
      </c>
      <c r="C83" s="333" t="s">
        <v>277</v>
      </c>
      <c r="D83" s="333" t="s">
        <v>77</v>
      </c>
      <c r="E83" s="334">
        <v>7502327991595</v>
      </c>
      <c r="F83" s="332" t="s">
        <v>503</v>
      </c>
      <c r="G83" s="335" t="s">
        <v>504</v>
      </c>
      <c r="H83" s="336" t="s">
        <v>60</v>
      </c>
      <c r="I83" s="332" t="s">
        <v>498</v>
      </c>
      <c r="J83" s="335" t="s">
        <v>249</v>
      </c>
      <c r="K83" s="335" t="s">
        <v>281</v>
      </c>
      <c r="L83" s="332">
        <v>1</v>
      </c>
      <c r="M83" s="358" t="s">
        <v>483</v>
      </c>
      <c r="N83" s="332"/>
      <c r="O83" s="332" t="s">
        <v>478</v>
      </c>
      <c r="P83" s="385">
        <v>1</v>
      </c>
      <c r="Q83" s="340" t="s">
        <v>64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287</v>
      </c>
      <c r="AD83" s="332"/>
      <c r="AE83" s="335">
        <v>12</v>
      </c>
      <c r="AF83" s="335">
        <v>480</v>
      </c>
      <c r="AG83" s="352" t="s">
        <v>495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>
        <v>1</v>
      </c>
      <c r="BE83" s="350">
        <v>1</v>
      </c>
      <c r="BF83" s="350"/>
      <c r="BG83" s="350"/>
      <c r="BH83" s="350"/>
      <c r="BI83" s="388"/>
      <c r="BJ83" s="350">
        <v>9</v>
      </c>
      <c r="BK83" s="413">
        <f t="shared" si="46"/>
        <v>5</v>
      </c>
      <c r="BL83" s="412">
        <f t="shared" si="47"/>
        <v>0.55555555555555558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129</v>
      </c>
    </row>
    <row r="84" spans="1:72" ht="61.5">
      <c r="A84" s="332">
        <v>76</v>
      </c>
      <c r="B84" s="333">
        <v>46248</v>
      </c>
      <c r="C84" s="333" t="s">
        <v>277</v>
      </c>
      <c r="D84" s="333" t="s">
        <v>77</v>
      </c>
      <c r="E84" s="334">
        <v>7502327991601</v>
      </c>
      <c r="F84" s="332" t="s">
        <v>505</v>
      </c>
      <c r="G84" s="335" t="s">
        <v>506</v>
      </c>
      <c r="H84" s="336" t="s">
        <v>60</v>
      </c>
      <c r="I84" s="332" t="s">
        <v>498</v>
      </c>
      <c r="J84" s="335" t="s">
        <v>249</v>
      </c>
      <c r="K84" s="335" t="s">
        <v>281</v>
      </c>
      <c r="L84" s="332">
        <v>1</v>
      </c>
      <c r="M84" s="358" t="s">
        <v>483</v>
      </c>
      <c r="N84" s="332"/>
      <c r="O84" s="332" t="s">
        <v>478</v>
      </c>
      <c r="P84" s="385">
        <v>1</v>
      </c>
      <c r="Q84" s="340" t="s">
        <v>64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287</v>
      </c>
      <c r="AD84" s="332"/>
      <c r="AE84" s="335">
        <v>12</v>
      </c>
      <c r="AF84" s="335">
        <v>480</v>
      </c>
      <c r="AG84" s="352" t="s">
        <v>495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>
        <v>1</v>
      </c>
      <c r="BE84" s="350">
        <v>1</v>
      </c>
      <c r="BF84" s="350"/>
      <c r="BG84" s="350"/>
      <c r="BH84" s="350"/>
      <c r="BI84" s="388"/>
      <c r="BJ84" s="350">
        <v>9</v>
      </c>
      <c r="BK84" s="413">
        <f t="shared" si="46"/>
        <v>5</v>
      </c>
      <c r="BL84" s="412">
        <f t="shared" si="47"/>
        <v>0.55555555555555558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129</v>
      </c>
    </row>
    <row r="85" spans="1:72" ht="61.5">
      <c r="A85" s="332">
        <v>77</v>
      </c>
      <c r="B85" s="333">
        <v>46248</v>
      </c>
      <c r="C85" s="333" t="s">
        <v>277</v>
      </c>
      <c r="D85" s="333" t="s">
        <v>77</v>
      </c>
      <c r="E85" s="334">
        <v>7502327991618</v>
      </c>
      <c r="F85" s="332" t="s">
        <v>507</v>
      </c>
      <c r="G85" s="335" t="s">
        <v>508</v>
      </c>
      <c r="H85" s="336" t="s">
        <v>60</v>
      </c>
      <c r="I85" s="332" t="s">
        <v>498</v>
      </c>
      <c r="J85" s="335" t="s">
        <v>249</v>
      </c>
      <c r="K85" s="335" t="s">
        <v>281</v>
      </c>
      <c r="L85" s="332">
        <v>1</v>
      </c>
      <c r="M85" s="358" t="s">
        <v>483</v>
      </c>
      <c r="N85" s="332"/>
      <c r="O85" s="332" t="s">
        <v>478</v>
      </c>
      <c r="P85" s="385" t="s">
        <v>509</v>
      </c>
      <c r="Q85" s="340" t="s">
        <v>64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287</v>
      </c>
      <c r="AD85" s="332"/>
      <c r="AE85" s="335">
        <v>6</v>
      </c>
      <c r="AF85" s="335">
        <v>72</v>
      </c>
      <c r="AG85" s="352" t="s">
        <v>495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>
        <v>1</v>
      </c>
      <c r="BE85" s="350">
        <v>1</v>
      </c>
      <c r="BF85" s="350"/>
      <c r="BG85" s="350"/>
      <c r="BH85" s="350"/>
      <c r="BI85" s="388"/>
      <c r="BJ85" s="350">
        <v>9</v>
      </c>
      <c r="BK85" s="413">
        <f t="shared" si="46"/>
        <v>5</v>
      </c>
      <c r="BL85" s="412">
        <f t="shared" si="47"/>
        <v>0.55555555555555558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129</v>
      </c>
    </row>
    <row r="86" spans="1:72" ht="61.5">
      <c r="A86" s="332">
        <v>78</v>
      </c>
      <c r="B86" s="333">
        <v>46248</v>
      </c>
      <c r="C86" s="333" t="s">
        <v>277</v>
      </c>
      <c r="D86" s="333" t="s">
        <v>77</v>
      </c>
      <c r="E86" s="334">
        <v>7502327991625</v>
      </c>
      <c r="F86" s="332" t="s">
        <v>510</v>
      </c>
      <c r="G86" s="335" t="s">
        <v>511</v>
      </c>
      <c r="H86" s="336" t="s">
        <v>60</v>
      </c>
      <c r="I86" s="332" t="s">
        <v>512</v>
      </c>
      <c r="J86" s="335" t="s">
        <v>249</v>
      </c>
      <c r="K86" s="335" t="s">
        <v>281</v>
      </c>
      <c r="L86" s="332">
        <v>1</v>
      </c>
      <c r="M86" s="358" t="s">
        <v>282</v>
      </c>
      <c r="N86" s="395" t="s">
        <v>513</v>
      </c>
      <c r="O86" s="332" t="s">
        <v>514</v>
      </c>
      <c r="P86" s="385" t="s">
        <v>515</v>
      </c>
      <c r="Q86" s="340" t="s">
        <v>286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287</v>
      </c>
      <c r="AD86" s="332"/>
      <c r="AE86" s="335">
        <v>4</v>
      </c>
      <c r="AF86" s="335">
        <v>48</v>
      </c>
      <c r="AG86" s="352" t="s">
        <v>495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>
        <v>1</v>
      </c>
      <c r="BE86" s="350">
        <v>1</v>
      </c>
      <c r="BF86" s="350"/>
      <c r="BG86" s="350"/>
      <c r="BH86" s="350"/>
      <c r="BI86" s="388"/>
      <c r="BJ86" s="350">
        <v>9</v>
      </c>
      <c r="BK86" s="413">
        <f t="shared" si="46"/>
        <v>5</v>
      </c>
      <c r="BL86" s="412">
        <f t="shared" si="47"/>
        <v>0.55555555555555558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129</v>
      </c>
    </row>
    <row r="87" spans="1:72" ht="61.5">
      <c r="A87" s="332">
        <v>79</v>
      </c>
      <c r="B87" s="333">
        <v>46248</v>
      </c>
      <c r="C87" s="333" t="s">
        <v>277</v>
      </c>
      <c r="D87" s="333" t="s">
        <v>77</v>
      </c>
      <c r="E87" s="334">
        <v>7502327991632</v>
      </c>
      <c r="F87" s="332" t="s">
        <v>516</v>
      </c>
      <c r="G87" s="335" t="s">
        <v>517</v>
      </c>
      <c r="H87" s="336" t="s">
        <v>60</v>
      </c>
      <c r="I87" s="332" t="s">
        <v>512</v>
      </c>
      <c r="J87" s="335" t="s">
        <v>249</v>
      </c>
      <c r="K87" s="335" t="s">
        <v>281</v>
      </c>
      <c r="L87" s="332">
        <v>1</v>
      </c>
      <c r="M87" s="358" t="s">
        <v>282</v>
      </c>
      <c r="N87" s="395" t="s">
        <v>518</v>
      </c>
      <c r="O87" s="332" t="s">
        <v>514</v>
      </c>
      <c r="P87" s="385" t="s">
        <v>515</v>
      </c>
      <c r="Q87" s="340" t="s">
        <v>286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287</v>
      </c>
      <c r="AD87" s="332"/>
      <c r="AE87" s="335">
        <v>4</v>
      </c>
      <c r="AF87" s="335">
        <v>48</v>
      </c>
      <c r="AG87" s="352" t="s">
        <v>495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>
        <v>1</v>
      </c>
      <c r="BE87" s="350">
        <v>1</v>
      </c>
      <c r="BF87" s="350"/>
      <c r="BG87" s="350"/>
      <c r="BH87" s="350"/>
      <c r="BI87" s="388"/>
      <c r="BJ87" s="350">
        <v>9</v>
      </c>
      <c r="BK87" s="413">
        <f t="shared" si="46"/>
        <v>5</v>
      </c>
      <c r="BL87" s="412">
        <f t="shared" si="47"/>
        <v>0.55555555555555558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129</v>
      </c>
    </row>
    <row r="88" spans="1:72" ht="61.5">
      <c r="A88" s="332">
        <v>83</v>
      </c>
      <c r="B88" s="333">
        <v>46248</v>
      </c>
      <c r="C88" s="333" t="s">
        <v>277</v>
      </c>
      <c r="D88" s="333" t="s">
        <v>77</v>
      </c>
      <c r="E88" s="334">
        <v>7502327991670</v>
      </c>
      <c r="F88" s="332" t="s">
        <v>519</v>
      </c>
      <c r="G88" s="335" t="s">
        <v>520</v>
      </c>
      <c r="H88" s="336" t="s">
        <v>60</v>
      </c>
      <c r="I88" s="332">
        <v>1</v>
      </c>
      <c r="J88" s="335" t="s">
        <v>249</v>
      </c>
      <c r="K88" s="335" t="s">
        <v>281</v>
      </c>
      <c r="L88" s="332">
        <v>1</v>
      </c>
      <c r="M88" s="358" t="s">
        <v>282</v>
      </c>
      <c r="N88" s="332"/>
      <c r="O88" s="332" t="s">
        <v>521</v>
      </c>
      <c r="P88" s="385" t="s">
        <v>522</v>
      </c>
      <c r="Q88" s="340" t="s">
        <v>64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287</v>
      </c>
      <c r="AD88" s="332"/>
      <c r="AE88" s="335">
        <v>6</v>
      </c>
      <c r="AF88" s="335">
        <v>144</v>
      </c>
      <c r="AG88" s="352" t="s">
        <v>486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>
        <v>1</v>
      </c>
      <c r="BE88" s="350"/>
      <c r="BF88" s="350"/>
      <c r="BG88" s="350"/>
      <c r="BH88" s="350"/>
      <c r="BI88" s="388"/>
      <c r="BJ88" s="350">
        <v>9</v>
      </c>
      <c r="BK88" s="413">
        <f t="shared" si="46"/>
        <v>4</v>
      </c>
      <c r="BL88" s="412">
        <f t="shared" si="47"/>
        <v>0.44444444444444442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129</v>
      </c>
    </row>
    <row r="89" spans="1:72" ht="45.75">
      <c r="A89" s="332">
        <v>86</v>
      </c>
      <c r="B89" s="333">
        <v>46248</v>
      </c>
      <c r="C89" s="333" t="s">
        <v>277</v>
      </c>
      <c r="D89" s="333" t="s">
        <v>77</v>
      </c>
      <c r="E89" s="334">
        <v>7502327991700</v>
      </c>
      <c r="F89" s="332" t="s">
        <v>523</v>
      </c>
      <c r="G89" s="335" t="s">
        <v>524</v>
      </c>
      <c r="H89" s="336" t="s">
        <v>60</v>
      </c>
      <c r="I89" s="332" t="s">
        <v>525</v>
      </c>
      <c r="J89" s="335" t="s">
        <v>249</v>
      </c>
      <c r="K89" s="335" t="s">
        <v>281</v>
      </c>
      <c r="L89" s="332">
        <v>1</v>
      </c>
      <c r="M89" s="358" t="s">
        <v>526</v>
      </c>
      <c r="N89" s="395" t="s">
        <v>527</v>
      </c>
      <c r="O89" s="332" t="s">
        <v>528</v>
      </c>
      <c r="P89" s="385" t="s">
        <v>461</v>
      </c>
      <c r="Q89" s="340" t="s">
        <v>286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287</v>
      </c>
      <c r="AD89" s="332"/>
      <c r="AE89" s="335">
        <v>6</v>
      </c>
      <c r="AF89" s="335">
        <v>144</v>
      </c>
      <c r="AG89" s="352" t="s">
        <v>288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>
        <v>1</v>
      </c>
      <c r="BE89" s="350">
        <v>1</v>
      </c>
      <c r="BF89" s="350">
        <v>1</v>
      </c>
      <c r="BG89" s="350"/>
      <c r="BH89" s="350"/>
      <c r="BI89" s="388"/>
      <c r="BJ89" s="350">
        <v>9</v>
      </c>
      <c r="BK89" s="413">
        <f t="shared" si="46"/>
        <v>6</v>
      </c>
      <c r="BL89" s="412">
        <f t="shared" si="47"/>
        <v>0.66666666666666663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150</v>
      </c>
    </row>
    <row r="90" spans="1:72" ht="45.75">
      <c r="A90" s="332">
        <v>87</v>
      </c>
      <c r="B90" s="333">
        <v>46248</v>
      </c>
      <c r="C90" s="333" t="s">
        <v>277</v>
      </c>
      <c r="D90" s="333" t="s">
        <v>77</v>
      </c>
      <c r="E90" s="334">
        <v>7502327991717</v>
      </c>
      <c r="F90" s="332" t="s">
        <v>529</v>
      </c>
      <c r="G90" s="335" t="s">
        <v>530</v>
      </c>
      <c r="H90" s="336" t="s">
        <v>60</v>
      </c>
      <c r="I90" s="352" t="s">
        <v>531</v>
      </c>
      <c r="J90" s="335" t="s">
        <v>249</v>
      </c>
      <c r="K90" s="335" t="s">
        <v>281</v>
      </c>
      <c r="L90" s="332">
        <v>1</v>
      </c>
      <c r="M90" s="401" t="s">
        <v>532</v>
      </c>
      <c r="N90" s="339" t="s">
        <v>533</v>
      </c>
      <c r="O90" s="352" t="s">
        <v>284</v>
      </c>
      <c r="P90" s="402">
        <v>2.4500000000000002</v>
      </c>
      <c r="Q90" s="340" t="s">
        <v>64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287</v>
      </c>
      <c r="AD90" s="352"/>
      <c r="AE90" s="335">
        <v>6</v>
      </c>
      <c r="AF90" s="335">
        <v>72</v>
      </c>
      <c r="AG90" s="352" t="s">
        <v>288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>
        <v>1</v>
      </c>
      <c r="BE90" s="350"/>
      <c r="BF90" s="350"/>
      <c r="BG90" s="350"/>
      <c r="BH90" s="350"/>
      <c r="BI90" s="388"/>
      <c r="BJ90" s="350">
        <v>9</v>
      </c>
      <c r="BK90" s="413">
        <f t="shared" si="46"/>
        <v>4</v>
      </c>
      <c r="BL90" s="412">
        <f t="shared" si="47"/>
        <v>0.44444444444444442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129</v>
      </c>
    </row>
    <row r="91" spans="1:72" ht="45.75">
      <c r="A91" s="332">
        <v>88</v>
      </c>
      <c r="B91" s="333">
        <v>46248</v>
      </c>
      <c r="C91" s="333" t="s">
        <v>277</v>
      </c>
      <c r="D91" s="333" t="s">
        <v>77</v>
      </c>
      <c r="E91" s="334">
        <v>7502327991724</v>
      </c>
      <c r="F91" s="332" t="s">
        <v>534</v>
      </c>
      <c r="G91" s="335" t="s">
        <v>535</v>
      </c>
      <c r="H91" s="336" t="s">
        <v>60</v>
      </c>
      <c r="I91" s="352" t="s">
        <v>531</v>
      </c>
      <c r="J91" s="335" t="s">
        <v>249</v>
      </c>
      <c r="K91" s="335" t="s">
        <v>281</v>
      </c>
      <c r="L91" s="332">
        <v>1</v>
      </c>
      <c r="M91" s="401" t="s">
        <v>532</v>
      </c>
      <c r="N91" s="339" t="s">
        <v>536</v>
      </c>
      <c r="O91" s="352" t="s">
        <v>284</v>
      </c>
      <c r="P91" s="402">
        <v>2.4500000000000002</v>
      </c>
      <c r="Q91" s="340" t="s">
        <v>64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287</v>
      </c>
      <c r="AD91" s="352"/>
      <c r="AE91" s="335">
        <v>6</v>
      </c>
      <c r="AF91" s="335">
        <v>72</v>
      </c>
      <c r="AG91" s="352" t="s">
        <v>288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>
        <v>1</v>
      </c>
      <c r="BE91" s="350"/>
      <c r="BF91" s="350"/>
      <c r="BG91" s="350"/>
      <c r="BH91" s="350"/>
      <c r="BI91" s="388"/>
      <c r="BJ91" s="350">
        <v>9</v>
      </c>
      <c r="BK91" s="413">
        <f t="shared" si="46"/>
        <v>4</v>
      </c>
      <c r="BL91" s="412">
        <f t="shared" si="47"/>
        <v>0.44444444444444442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129</v>
      </c>
    </row>
    <row r="92" spans="1:72" ht="30.75">
      <c r="A92" s="332">
        <v>89</v>
      </c>
      <c r="B92" s="333">
        <v>46248</v>
      </c>
      <c r="C92" s="333" t="s">
        <v>277</v>
      </c>
      <c r="D92" s="333" t="s">
        <v>77</v>
      </c>
      <c r="E92" s="334">
        <v>7502327991731</v>
      </c>
      <c r="F92" s="332" t="s">
        <v>537</v>
      </c>
      <c r="G92" s="335" t="s">
        <v>538</v>
      </c>
      <c r="H92" s="336" t="s">
        <v>60</v>
      </c>
      <c r="I92" s="352" t="s">
        <v>531</v>
      </c>
      <c r="J92" s="335" t="s">
        <v>249</v>
      </c>
      <c r="K92" s="335" t="s">
        <v>281</v>
      </c>
      <c r="L92" s="332">
        <v>1</v>
      </c>
      <c r="M92" s="401" t="s">
        <v>532</v>
      </c>
      <c r="N92" s="339" t="s">
        <v>539</v>
      </c>
      <c r="O92" s="352" t="s">
        <v>284</v>
      </c>
      <c r="P92" s="402">
        <v>2.4500000000000002</v>
      </c>
      <c r="Q92" s="340" t="s">
        <v>64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287</v>
      </c>
      <c r="AD92" s="352"/>
      <c r="AE92" s="335">
        <v>6</v>
      </c>
      <c r="AF92" s="335">
        <v>72</v>
      </c>
      <c r="AG92" s="352" t="s">
        <v>540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>
        <v>1</v>
      </c>
      <c r="BE92" s="350"/>
      <c r="BF92" s="350"/>
      <c r="BG92" s="350"/>
      <c r="BH92" s="350"/>
      <c r="BI92" s="388"/>
      <c r="BJ92" s="350">
        <v>9</v>
      </c>
      <c r="BK92" s="413">
        <f t="shared" si="46"/>
        <v>4</v>
      </c>
      <c r="BL92" s="412">
        <f t="shared" si="47"/>
        <v>0.44444444444444442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45.75">
      <c r="A93" s="332">
        <v>91</v>
      </c>
      <c r="B93" s="333">
        <v>46248</v>
      </c>
      <c r="C93" s="333" t="s">
        <v>277</v>
      </c>
      <c r="D93" s="333" t="s">
        <v>77</v>
      </c>
      <c r="E93" s="334">
        <v>7502327991755</v>
      </c>
      <c r="F93" s="332" t="s">
        <v>541</v>
      </c>
      <c r="G93" s="352" t="s">
        <v>542</v>
      </c>
      <c r="H93" s="399" t="s">
        <v>60</v>
      </c>
      <c r="I93" s="352" t="s">
        <v>543</v>
      </c>
      <c r="J93" s="335" t="s">
        <v>249</v>
      </c>
      <c r="K93" s="335" t="s">
        <v>281</v>
      </c>
      <c r="L93" s="332">
        <v>1</v>
      </c>
      <c r="M93" s="401" t="s">
        <v>376</v>
      </c>
      <c r="N93" s="339" t="s">
        <v>539</v>
      </c>
      <c r="O93" s="352" t="s">
        <v>284</v>
      </c>
      <c r="P93" s="402">
        <v>3.2</v>
      </c>
      <c r="Q93" s="340" t="s">
        <v>286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287</v>
      </c>
      <c r="AD93" s="352"/>
      <c r="AE93" s="335">
        <v>6</v>
      </c>
      <c r="AF93" s="335">
        <v>144</v>
      </c>
      <c r="AG93" s="352" t="s">
        <v>288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>
        <v>1</v>
      </c>
      <c r="BE93" s="350">
        <v>1</v>
      </c>
      <c r="BF93" s="350"/>
      <c r="BG93" s="350"/>
      <c r="BH93" s="350"/>
      <c r="BI93" s="388"/>
      <c r="BJ93" s="350">
        <v>9</v>
      </c>
      <c r="BK93" s="413">
        <f t="shared" si="46"/>
        <v>5</v>
      </c>
      <c r="BL93" s="412">
        <f t="shared" si="47"/>
        <v>0.55555555555555558</v>
      </c>
      <c r="BM93" s="389"/>
      <c r="BN93" s="389"/>
      <c r="BO93" s="389"/>
      <c r="BP93" s="389"/>
      <c r="BQ93" s="389"/>
      <c r="BR93" s="390" t="s">
        <v>473</v>
      </c>
      <c r="BS93" s="410">
        <f t="shared" si="50"/>
        <v>46322</v>
      </c>
      <c r="BT93" s="353" t="s">
        <v>150</v>
      </c>
    </row>
    <row r="94" spans="1:72" ht="45.75">
      <c r="A94" s="332">
        <v>92</v>
      </c>
      <c r="B94" s="333">
        <v>46248</v>
      </c>
      <c r="C94" s="333" t="s">
        <v>277</v>
      </c>
      <c r="D94" s="333" t="s">
        <v>77</v>
      </c>
      <c r="E94" s="334">
        <v>7502327991762</v>
      </c>
      <c r="F94" s="332" t="s">
        <v>544</v>
      </c>
      <c r="G94" s="352" t="s">
        <v>545</v>
      </c>
      <c r="H94" s="399" t="s">
        <v>60</v>
      </c>
      <c r="I94" s="352" t="s">
        <v>546</v>
      </c>
      <c r="J94" s="335" t="s">
        <v>249</v>
      </c>
      <c r="K94" s="335" t="s">
        <v>281</v>
      </c>
      <c r="L94" s="332">
        <v>1</v>
      </c>
      <c r="M94" s="401" t="s">
        <v>376</v>
      </c>
      <c r="N94" s="339" t="s">
        <v>539</v>
      </c>
      <c r="O94" s="352" t="s">
        <v>284</v>
      </c>
      <c r="P94" s="402">
        <v>3.2</v>
      </c>
      <c r="Q94" s="340" t="s">
        <v>286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287</v>
      </c>
      <c r="AD94" s="352"/>
      <c r="AE94" s="335">
        <v>6</v>
      </c>
      <c r="AF94" s="335">
        <v>144</v>
      </c>
      <c r="AG94" s="352" t="s">
        <v>288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>
        <v>1</v>
      </c>
      <c r="BE94" s="350">
        <v>1</v>
      </c>
      <c r="BF94" s="350"/>
      <c r="BG94" s="350"/>
      <c r="BH94" s="350"/>
      <c r="BI94" s="388"/>
      <c r="BJ94" s="350">
        <v>9</v>
      </c>
      <c r="BK94" s="413">
        <f t="shared" si="46"/>
        <v>5</v>
      </c>
      <c r="BL94" s="412">
        <f t="shared" si="47"/>
        <v>0.55555555555555558</v>
      </c>
      <c r="BM94" s="389"/>
      <c r="BN94" s="389"/>
      <c r="BO94" s="389"/>
      <c r="BP94" s="389"/>
      <c r="BQ94" s="389"/>
      <c r="BR94" s="390" t="s">
        <v>473</v>
      </c>
      <c r="BS94" s="410">
        <f t="shared" si="50"/>
        <v>46322</v>
      </c>
      <c r="BT94" s="353" t="s">
        <v>150</v>
      </c>
    </row>
    <row r="95" spans="1:72" ht="45.75">
      <c r="A95" s="332">
        <v>93</v>
      </c>
      <c r="B95" s="333">
        <v>46248</v>
      </c>
      <c r="C95" s="333" t="s">
        <v>277</v>
      </c>
      <c r="D95" s="333" t="s">
        <v>77</v>
      </c>
      <c r="E95" s="334">
        <v>7502327991779</v>
      </c>
      <c r="F95" s="332" t="s">
        <v>547</v>
      </c>
      <c r="G95" s="352" t="s">
        <v>548</v>
      </c>
      <c r="H95" s="399" t="s">
        <v>60</v>
      </c>
      <c r="I95" s="352" t="s">
        <v>546</v>
      </c>
      <c r="J95" s="335" t="s">
        <v>249</v>
      </c>
      <c r="K95" s="335" t="s">
        <v>281</v>
      </c>
      <c r="L95" s="332">
        <v>1</v>
      </c>
      <c r="M95" s="401" t="s">
        <v>376</v>
      </c>
      <c r="N95" s="339" t="s">
        <v>539</v>
      </c>
      <c r="O95" s="352" t="s">
        <v>284</v>
      </c>
      <c r="P95" s="402">
        <v>3.2</v>
      </c>
      <c r="Q95" s="340" t="s">
        <v>286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287</v>
      </c>
      <c r="AD95" s="352"/>
      <c r="AE95" s="335">
        <v>6</v>
      </c>
      <c r="AF95" s="335">
        <v>144</v>
      </c>
      <c r="AG95" s="352" t="s">
        <v>288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>
        <v>1</v>
      </c>
      <c r="BF95" s="350"/>
      <c r="BG95" s="350"/>
      <c r="BH95" s="350"/>
      <c r="BI95" s="388"/>
      <c r="BJ95" s="350">
        <v>9</v>
      </c>
      <c r="BK95" s="413">
        <f t="shared" si="46"/>
        <v>5</v>
      </c>
      <c r="BL95" s="412">
        <f t="shared" si="47"/>
        <v>0.55555555555555558</v>
      </c>
      <c r="BM95" s="389"/>
      <c r="BN95" s="389"/>
      <c r="BO95" s="389"/>
      <c r="BP95" s="389"/>
      <c r="BQ95" s="389"/>
      <c r="BR95" s="390" t="s">
        <v>473</v>
      </c>
      <c r="BS95" s="410">
        <f t="shared" si="50"/>
        <v>46322</v>
      </c>
      <c r="BT95" s="353" t="s">
        <v>150</v>
      </c>
    </row>
    <row r="96" spans="1:72" ht="45.75">
      <c r="A96" s="332">
        <v>94</v>
      </c>
      <c r="B96" s="333">
        <v>46248</v>
      </c>
      <c r="C96" s="333" t="s">
        <v>277</v>
      </c>
      <c r="D96" s="333" t="s">
        <v>77</v>
      </c>
      <c r="E96" s="334">
        <v>7502327991786</v>
      </c>
      <c r="F96" s="332" t="s">
        <v>549</v>
      </c>
      <c r="G96" s="352" t="s">
        <v>550</v>
      </c>
      <c r="H96" s="399" t="s">
        <v>60</v>
      </c>
      <c r="I96" s="352" t="s">
        <v>551</v>
      </c>
      <c r="J96" s="335" t="s">
        <v>249</v>
      </c>
      <c r="K96" s="335" t="s">
        <v>281</v>
      </c>
      <c r="L96" s="332">
        <v>1</v>
      </c>
      <c r="M96" s="401" t="s">
        <v>376</v>
      </c>
      <c r="N96" s="339" t="s">
        <v>539</v>
      </c>
      <c r="O96" s="352" t="s">
        <v>284</v>
      </c>
      <c r="P96" s="402">
        <v>2.78</v>
      </c>
      <c r="Q96" s="340" t="s">
        <v>286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287</v>
      </c>
      <c r="AD96" s="352"/>
      <c r="AE96" s="335">
        <v>6</v>
      </c>
      <c r="AF96" s="335">
        <v>144</v>
      </c>
      <c r="AG96" s="352" t="s">
        <v>288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129</v>
      </c>
    </row>
    <row r="97" spans="1:72" ht="45.75">
      <c r="A97" s="332">
        <v>95</v>
      </c>
      <c r="B97" s="333">
        <v>46248</v>
      </c>
      <c r="C97" s="333" t="s">
        <v>277</v>
      </c>
      <c r="D97" s="333" t="s">
        <v>77</v>
      </c>
      <c r="E97" s="334">
        <v>7502327991793</v>
      </c>
      <c r="F97" s="332" t="s">
        <v>552</v>
      </c>
      <c r="G97" s="352" t="s">
        <v>553</v>
      </c>
      <c r="H97" s="399" t="s">
        <v>60</v>
      </c>
      <c r="I97" s="352" t="s">
        <v>551</v>
      </c>
      <c r="J97" s="335" t="s">
        <v>249</v>
      </c>
      <c r="K97" s="335" t="s">
        <v>281</v>
      </c>
      <c r="L97" s="332">
        <v>1</v>
      </c>
      <c r="M97" s="401" t="s">
        <v>376</v>
      </c>
      <c r="N97" s="339" t="s">
        <v>539</v>
      </c>
      <c r="O97" s="352" t="s">
        <v>284</v>
      </c>
      <c r="P97" s="402">
        <v>2.78</v>
      </c>
      <c r="Q97" s="340" t="s">
        <v>286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287</v>
      </c>
      <c r="AD97" s="352"/>
      <c r="AE97" s="335">
        <v>6</v>
      </c>
      <c r="AF97" s="335">
        <v>144</v>
      </c>
      <c r="AG97" s="352" t="s">
        <v>288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129</v>
      </c>
    </row>
    <row r="98" spans="1:72" ht="45.75">
      <c r="A98" s="332">
        <v>96</v>
      </c>
      <c r="B98" s="333">
        <v>46248</v>
      </c>
      <c r="C98" s="333" t="s">
        <v>277</v>
      </c>
      <c r="D98" s="333" t="s">
        <v>77</v>
      </c>
      <c r="E98" s="334">
        <v>7502327991809</v>
      </c>
      <c r="F98" s="332" t="s">
        <v>554</v>
      </c>
      <c r="G98" s="352" t="s">
        <v>555</v>
      </c>
      <c r="H98" s="399" t="s">
        <v>60</v>
      </c>
      <c r="I98" s="352" t="s">
        <v>551</v>
      </c>
      <c r="J98" s="335" t="s">
        <v>249</v>
      </c>
      <c r="K98" s="335" t="s">
        <v>281</v>
      </c>
      <c r="L98" s="332">
        <v>1</v>
      </c>
      <c r="M98" s="401" t="s">
        <v>376</v>
      </c>
      <c r="N98" s="339" t="s">
        <v>539</v>
      </c>
      <c r="O98" s="352" t="s">
        <v>284</v>
      </c>
      <c r="P98" s="402">
        <v>2.78</v>
      </c>
      <c r="Q98" s="340" t="s">
        <v>286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287</v>
      </c>
      <c r="AD98" s="352"/>
      <c r="AE98" s="335">
        <v>6</v>
      </c>
      <c r="AF98" s="335">
        <v>144</v>
      </c>
      <c r="AG98" s="352" t="s">
        <v>288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129</v>
      </c>
    </row>
    <row r="99" spans="1:72" ht="61.5">
      <c r="A99" s="332">
        <v>97</v>
      </c>
      <c r="B99" s="333">
        <v>46248</v>
      </c>
      <c r="C99" s="333" t="s">
        <v>277</v>
      </c>
      <c r="D99" s="333" t="s">
        <v>77</v>
      </c>
      <c r="E99" s="406">
        <v>7502327992608</v>
      </c>
      <c r="F99" s="332" t="s">
        <v>556</v>
      </c>
      <c r="G99" s="335" t="s">
        <v>557</v>
      </c>
      <c r="H99" s="399" t="s">
        <v>60</v>
      </c>
      <c r="I99" s="397" t="s">
        <v>400</v>
      </c>
      <c r="J99" s="335" t="s">
        <v>249</v>
      </c>
      <c r="K99" s="335" t="s">
        <v>281</v>
      </c>
      <c r="L99" s="332">
        <v>1</v>
      </c>
      <c r="M99" s="358" t="s">
        <v>376</v>
      </c>
      <c r="N99" s="398" t="s">
        <v>401</v>
      </c>
      <c r="O99" s="352" t="s">
        <v>284</v>
      </c>
      <c r="P99" s="385">
        <v>6.8</v>
      </c>
      <c r="Q99" s="340" t="s">
        <v>286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287</v>
      </c>
      <c r="AD99" s="332"/>
      <c r="AE99" s="335">
        <v>6</v>
      </c>
      <c r="AF99" s="335">
        <v>144</v>
      </c>
      <c r="AG99" s="352" t="s">
        <v>486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150</v>
      </c>
    </row>
    <row r="100" spans="1:72" ht="61.5">
      <c r="A100" s="332">
        <v>98</v>
      </c>
      <c r="B100" s="333">
        <v>46248</v>
      </c>
      <c r="C100" s="333" t="s">
        <v>277</v>
      </c>
      <c r="D100" s="333" t="s">
        <v>77</v>
      </c>
      <c r="E100" s="406">
        <v>7502327992615</v>
      </c>
      <c r="F100" s="332" t="s">
        <v>558</v>
      </c>
      <c r="G100" s="335" t="s">
        <v>559</v>
      </c>
      <c r="H100" s="399" t="s">
        <v>60</v>
      </c>
      <c r="I100" s="397" t="s">
        <v>400</v>
      </c>
      <c r="J100" s="335" t="s">
        <v>249</v>
      </c>
      <c r="K100" s="335" t="s">
        <v>281</v>
      </c>
      <c r="L100" s="332">
        <v>1</v>
      </c>
      <c r="M100" s="358" t="s">
        <v>376</v>
      </c>
      <c r="N100" s="398" t="s">
        <v>401</v>
      </c>
      <c r="O100" s="352" t="s">
        <v>284</v>
      </c>
      <c r="P100" s="385">
        <v>6.8</v>
      </c>
      <c r="Q100" s="340" t="s">
        <v>286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287</v>
      </c>
      <c r="AD100" s="332"/>
      <c r="AE100" s="335">
        <v>6</v>
      </c>
      <c r="AF100" s="335">
        <v>144</v>
      </c>
      <c r="AG100" s="352" t="s">
        <v>486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150</v>
      </c>
    </row>
    <row r="101" spans="1:72" ht="61.5">
      <c r="A101" s="332">
        <v>99</v>
      </c>
      <c r="B101" s="333">
        <v>46248</v>
      </c>
      <c r="C101" s="333" t="s">
        <v>277</v>
      </c>
      <c r="D101" s="333" t="s">
        <v>77</v>
      </c>
      <c r="E101" s="406">
        <v>7502327992622</v>
      </c>
      <c r="F101" s="332" t="s">
        <v>560</v>
      </c>
      <c r="G101" s="335" t="s">
        <v>561</v>
      </c>
      <c r="H101" s="399" t="s">
        <v>60</v>
      </c>
      <c r="I101" s="397" t="s">
        <v>400</v>
      </c>
      <c r="J101" s="335" t="s">
        <v>249</v>
      </c>
      <c r="K101" s="335" t="s">
        <v>281</v>
      </c>
      <c r="L101" s="332">
        <v>1</v>
      </c>
      <c r="M101" s="358" t="s">
        <v>376</v>
      </c>
      <c r="N101" s="398" t="s">
        <v>401</v>
      </c>
      <c r="O101" s="352" t="s">
        <v>284</v>
      </c>
      <c r="P101" s="385">
        <v>6.8</v>
      </c>
      <c r="Q101" s="340" t="s">
        <v>286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287</v>
      </c>
      <c r="AD101" s="332"/>
      <c r="AE101" s="335">
        <v>6</v>
      </c>
      <c r="AF101" s="335">
        <v>144</v>
      </c>
      <c r="AG101" s="352" t="s">
        <v>486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150</v>
      </c>
    </row>
    <row r="102" spans="1:72" ht="70.5">
      <c r="A102" s="332">
        <v>100</v>
      </c>
      <c r="B102" s="333">
        <v>46248</v>
      </c>
      <c r="C102" s="333" t="s">
        <v>277</v>
      </c>
      <c r="D102" s="333" t="s">
        <v>77</v>
      </c>
      <c r="E102" s="406">
        <v>7506110696650</v>
      </c>
      <c r="F102" s="332" t="s">
        <v>562</v>
      </c>
      <c r="G102" s="335" t="s">
        <v>563</v>
      </c>
      <c r="H102" s="399"/>
      <c r="I102" s="397" t="s">
        <v>564</v>
      </c>
      <c r="J102" s="335" t="s">
        <v>249</v>
      </c>
      <c r="K102" s="407" t="s">
        <v>565</v>
      </c>
      <c r="L102" s="332">
        <v>1</v>
      </c>
      <c r="M102" s="358" t="s">
        <v>566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287</v>
      </c>
      <c r="AD102" s="332"/>
      <c r="AE102" s="335">
        <v>6</v>
      </c>
      <c r="AF102" s="335">
        <v>144</v>
      </c>
      <c r="AG102" s="352" t="s">
        <v>567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86</v>
      </c>
    </row>
    <row r="103" spans="1:72" ht="70.5">
      <c r="A103" s="332">
        <v>101</v>
      </c>
      <c r="B103" s="333">
        <v>46248</v>
      </c>
      <c r="C103" s="333" t="s">
        <v>277</v>
      </c>
      <c r="D103" s="333" t="s">
        <v>77</v>
      </c>
      <c r="E103" s="406">
        <v>7502327992639</v>
      </c>
      <c r="F103" s="332" t="s">
        <v>568</v>
      </c>
      <c r="G103" s="335" t="s">
        <v>569</v>
      </c>
      <c r="H103" s="399"/>
      <c r="I103" s="397" t="s">
        <v>564</v>
      </c>
      <c r="J103" s="335" t="s">
        <v>249</v>
      </c>
      <c r="K103" s="407" t="s">
        <v>565</v>
      </c>
      <c r="L103" s="332">
        <v>1</v>
      </c>
      <c r="M103" s="358" t="s">
        <v>566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567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86</v>
      </c>
    </row>
    <row r="104" spans="1:72" ht="36">
      <c r="A104" s="332">
        <v>102</v>
      </c>
      <c r="B104" s="333">
        <v>46248</v>
      </c>
      <c r="C104" s="333" t="s">
        <v>277</v>
      </c>
      <c r="D104" s="333" t="s">
        <v>77</v>
      </c>
      <c r="E104" s="406">
        <v>7506110696667</v>
      </c>
      <c r="F104" s="332" t="s">
        <v>570</v>
      </c>
      <c r="G104" s="335" t="s">
        <v>571</v>
      </c>
      <c r="H104" s="399"/>
      <c r="I104" s="397" t="s">
        <v>572</v>
      </c>
      <c r="J104" s="335" t="s">
        <v>249</v>
      </c>
      <c r="K104" s="407" t="s">
        <v>281</v>
      </c>
      <c r="L104" s="332">
        <v>1</v>
      </c>
      <c r="M104" s="358" t="s">
        <v>483</v>
      </c>
      <c r="N104" s="398"/>
      <c r="O104" s="352" t="s">
        <v>478</v>
      </c>
      <c r="P104" s="385" t="s">
        <v>573</v>
      </c>
      <c r="Q104" s="340" t="s">
        <v>64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574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486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6">
      <c r="A105" s="332">
        <v>103</v>
      </c>
      <c r="B105" s="333">
        <v>46248</v>
      </c>
      <c r="C105" s="333" t="s">
        <v>277</v>
      </c>
      <c r="D105" s="333" t="s">
        <v>77</v>
      </c>
      <c r="E105" s="406">
        <v>7506110696674</v>
      </c>
      <c r="F105" s="332" t="s">
        <v>575</v>
      </c>
      <c r="G105" s="335" t="s">
        <v>576</v>
      </c>
      <c r="H105" s="399"/>
      <c r="I105" s="397" t="s">
        <v>482</v>
      </c>
      <c r="J105" s="335" t="s">
        <v>249</v>
      </c>
      <c r="K105" s="407" t="s">
        <v>281</v>
      </c>
      <c r="L105" s="332">
        <v>1</v>
      </c>
      <c r="M105" s="358" t="s">
        <v>483</v>
      </c>
      <c r="N105" s="398"/>
      <c r="O105" s="352" t="s">
        <v>478</v>
      </c>
      <c r="P105" s="385" t="s">
        <v>577</v>
      </c>
      <c r="Q105" s="340" t="s">
        <v>64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574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486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6">
      <c r="A106" s="332">
        <v>104</v>
      </c>
      <c r="B106" s="333">
        <v>46248</v>
      </c>
      <c r="C106" s="333" t="s">
        <v>277</v>
      </c>
      <c r="D106" s="333" t="s">
        <v>77</v>
      </c>
      <c r="E106" s="406">
        <v>7506110696681</v>
      </c>
      <c r="F106" s="332" t="s">
        <v>578</v>
      </c>
      <c r="G106" s="335" t="s">
        <v>579</v>
      </c>
      <c r="H106" s="399"/>
      <c r="I106" s="397" t="s">
        <v>482</v>
      </c>
      <c r="J106" s="335" t="s">
        <v>249</v>
      </c>
      <c r="K106" s="407" t="s">
        <v>281</v>
      </c>
      <c r="L106" s="332">
        <v>1</v>
      </c>
      <c r="M106" s="358" t="s">
        <v>483</v>
      </c>
      <c r="N106" s="398"/>
      <c r="O106" s="352" t="s">
        <v>478</v>
      </c>
      <c r="P106" s="385" t="s">
        <v>577</v>
      </c>
      <c r="Q106" s="340" t="s">
        <v>64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574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486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6">
      <c r="A107" s="332">
        <v>105</v>
      </c>
      <c r="B107" s="333">
        <v>46248</v>
      </c>
      <c r="C107" s="333" t="s">
        <v>277</v>
      </c>
      <c r="D107" s="333" t="s">
        <v>77</v>
      </c>
      <c r="E107" s="406">
        <v>7506110696698</v>
      </c>
      <c r="F107" s="332" t="s">
        <v>580</v>
      </c>
      <c r="G107" s="335" t="s">
        <v>581</v>
      </c>
      <c r="H107" s="399"/>
      <c r="I107" s="397" t="s">
        <v>482</v>
      </c>
      <c r="J107" s="335" t="s">
        <v>249</v>
      </c>
      <c r="K107" s="407" t="s">
        <v>281</v>
      </c>
      <c r="L107" s="332">
        <v>1</v>
      </c>
      <c r="M107" s="358" t="s">
        <v>483</v>
      </c>
      <c r="N107" s="398"/>
      <c r="O107" s="352" t="s">
        <v>478</v>
      </c>
      <c r="P107" s="385" t="s">
        <v>582</v>
      </c>
      <c r="Q107" s="340" t="s">
        <v>64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574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486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5.75">
      <c r="J108" s="335"/>
    </row>
  </sheetData>
  <mergeCells count="3">
    <mergeCell ref="A2:B2"/>
    <mergeCell ref="BA15:BL15"/>
    <mergeCell ref="CJ14:DA14"/>
  </mergeCells>
  <conditionalFormatting sqref="Z17:Z107">
    <cfRule type="cellIs" dxfId="24" priority="2" operator="greaterThan">
      <formula>0.2599</formula>
    </cfRule>
  </conditionalFormatting>
  <conditionalFormatting sqref="AP17:AP107">
    <cfRule type="cellIs" dxfId="23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defaultColWidth="11.5703125" defaultRowHeight="15"/>
  <cols>
    <col min="1" max="1" width="8.5703125" style="328" bestFit="1" customWidth="1"/>
    <col min="2" max="6" width="19" style="328" customWidth="1"/>
    <col min="7" max="7" width="28.42578125" style="328" customWidth="1"/>
    <col min="8" max="10" width="16.42578125" style="328" customWidth="1"/>
    <col min="11" max="11" width="37.42578125" style="328" bestFit="1" customWidth="1"/>
    <col min="12" max="12" width="14.28515625" style="328" bestFit="1" customWidth="1"/>
    <col min="13" max="13" width="34.140625" style="328" bestFit="1" customWidth="1"/>
    <col min="14" max="14" width="87.5703125" style="328" bestFit="1" customWidth="1"/>
    <col min="15" max="15" width="32.140625" style="328" bestFit="1" customWidth="1"/>
    <col min="16" max="16" width="34.140625" style="328" bestFit="1" customWidth="1"/>
    <col min="17" max="17" width="26.85546875" style="328" bestFit="1" customWidth="1"/>
    <col min="18" max="18" width="55.5703125" style="328" bestFit="1" customWidth="1"/>
    <col min="19" max="19" width="59.42578125" style="328" bestFit="1" customWidth="1"/>
    <col min="20" max="20" width="15.85546875" style="328" bestFit="1" customWidth="1"/>
    <col min="21" max="21" width="47.28515625" style="328" bestFit="1" customWidth="1"/>
    <col min="22" max="23" width="56.28515625" style="328" bestFit="1" customWidth="1"/>
    <col min="24" max="24" width="55.140625" style="328" bestFit="1" customWidth="1"/>
    <col min="25" max="25" width="63.5703125" style="328" bestFit="1" customWidth="1"/>
    <col min="26" max="26" width="34.7109375" style="328" bestFit="1" customWidth="1"/>
    <col min="27" max="27" width="57.140625" style="328" bestFit="1" customWidth="1"/>
    <col min="28" max="28" width="30" style="328" bestFit="1" customWidth="1"/>
    <col min="29" max="29" width="40.42578125" style="328" bestFit="1" customWidth="1"/>
    <col min="30" max="30" width="44.140625" style="328" bestFit="1" customWidth="1"/>
    <col min="31" max="31" width="15.85546875" style="328" bestFit="1" customWidth="1"/>
    <col min="32" max="32" width="18.5703125" style="328" bestFit="1" customWidth="1"/>
    <col min="33" max="33" width="35.28515625" style="328" bestFit="1" customWidth="1"/>
    <col min="34" max="34" width="65" style="328" customWidth="1"/>
    <col min="35" max="35" width="56.28515625" style="328" bestFit="1" customWidth="1"/>
    <col min="36" max="36" width="63.5703125" style="328" bestFit="1" customWidth="1"/>
    <col min="37" max="37" width="36.85546875" style="328" bestFit="1" customWidth="1"/>
    <col min="38" max="38" width="57.140625" style="328" bestFit="1" customWidth="1"/>
    <col min="39" max="39" width="31.140625" style="328" bestFit="1" customWidth="1"/>
    <col min="40" max="52" width="14.140625" style="328" customWidth="1"/>
    <col min="53" max="53" width="17.42578125" style="328" bestFit="1" customWidth="1"/>
    <col min="54" max="54" width="39" style="328" bestFit="1" customWidth="1"/>
    <col min="55" max="55" width="34.140625" style="328" bestFit="1" customWidth="1"/>
    <col min="56" max="56" width="42.5703125" style="328" bestFit="1" customWidth="1"/>
    <col min="57" max="57" width="36.85546875" style="328" bestFit="1" customWidth="1"/>
    <col min="58" max="58" width="21.140625" style="328" bestFit="1" customWidth="1"/>
    <col min="59" max="59" width="8" style="328" bestFit="1" customWidth="1"/>
    <col min="60" max="60" width="21.140625" style="328" customWidth="1"/>
    <col min="61" max="61" width="56.7109375" style="328" bestFit="1" customWidth="1"/>
    <col min="62" max="62" width="12.140625" style="328" bestFit="1" customWidth="1"/>
    <col min="63" max="63" width="16.85546875" style="328" bestFit="1" customWidth="1"/>
    <col min="64" max="64" width="28.42578125" style="328" bestFit="1" customWidth="1"/>
    <col min="65" max="69" width="11.5703125" style="328"/>
    <col min="70" max="72" width="37.140625" style="328" customWidth="1"/>
    <col min="73" max="87" width="11.5703125" style="328"/>
    <col min="88" max="93" width="35.42578125" style="360" customWidth="1"/>
    <col min="94" max="105" width="35.42578125" style="328" customWidth="1"/>
    <col min="106" max="16384" width="11.570312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36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262</v>
      </c>
      <c r="N16" s="327" t="s">
        <v>263</v>
      </c>
      <c r="O16" s="323" t="s">
        <v>264</v>
      </c>
      <c r="P16" s="327" t="s">
        <v>265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266</v>
      </c>
      <c r="Y16" s="322" t="s">
        <v>31</v>
      </c>
      <c r="Z16" s="322" t="s">
        <v>267</v>
      </c>
      <c r="AA16" s="322" t="s">
        <v>33</v>
      </c>
      <c r="AB16" s="322" t="s">
        <v>34</v>
      </c>
      <c r="AC16" s="322" t="s">
        <v>268</v>
      </c>
      <c r="AD16" s="322" t="s">
        <v>269</v>
      </c>
      <c r="AE16" s="322" t="s">
        <v>270</v>
      </c>
      <c r="AF16" s="322" t="s">
        <v>271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272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.25">
      <c r="A17" s="332">
        <v>7</v>
      </c>
      <c r="B17" s="333">
        <v>46248</v>
      </c>
      <c r="C17" s="333" t="s">
        <v>277</v>
      </c>
      <c r="D17" s="333" t="s">
        <v>77</v>
      </c>
      <c r="E17" s="334">
        <v>7502327990918</v>
      </c>
      <c r="F17" s="332" t="s">
        <v>583</v>
      </c>
      <c r="G17" s="335" t="s">
        <v>584</v>
      </c>
      <c r="H17" s="336" t="s">
        <v>60</v>
      </c>
      <c r="I17" s="332" t="s">
        <v>585</v>
      </c>
      <c r="J17" s="335" t="s">
        <v>249</v>
      </c>
      <c r="K17" s="335" t="s">
        <v>281</v>
      </c>
      <c r="L17" s="337">
        <v>2</v>
      </c>
      <c r="M17" s="338" t="s">
        <v>376</v>
      </c>
      <c r="N17" s="339" t="s">
        <v>586</v>
      </c>
      <c r="O17" s="332" t="s">
        <v>284</v>
      </c>
      <c r="P17" s="332">
        <v>3</v>
      </c>
      <c r="Q17" s="340" t="s">
        <v>286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287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486</v>
      </c>
      <c r="BS17" s="353"/>
      <c r="BT17" s="353" t="s">
        <v>397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.25">
      <c r="A18" s="332">
        <v>8</v>
      </c>
      <c r="B18" s="333">
        <v>46248</v>
      </c>
      <c r="C18" s="333" t="s">
        <v>277</v>
      </c>
      <c r="D18" s="333" t="s">
        <v>77</v>
      </c>
      <c r="E18" s="334">
        <v>7502327990925</v>
      </c>
      <c r="F18" s="332" t="s">
        <v>587</v>
      </c>
      <c r="G18" s="335" t="s">
        <v>588</v>
      </c>
      <c r="H18" s="336" t="s">
        <v>60</v>
      </c>
      <c r="I18" s="332" t="s">
        <v>585</v>
      </c>
      <c r="J18" s="335" t="s">
        <v>249</v>
      </c>
      <c r="K18" s="335" t="s">
        <v>281</v>
      </c>
      <c r="L18" s="337">
        <v>2</v>
      </c>
      <c r="M18" s="338" t="s">
        <v>376</v>
      </c>
      <c r="N18" s="339" t="s">
        <v>586</v>
      </c>
      <c r="O18" s="332" t="s">
        <v>284</v>
      </c>
      <c r="P18" s="332">
        <v>3</v>
      </c>
      <c r="Q18" s="340" t="s">
        <v>286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287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486</v>
      </c>
      <c r="BS18" s="357"/>
      <c r="BT18" s="353" t="s">
        <v>397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.25">
      <c r="A19" s="332">
        <v>9</v>
      </c>
      <c r="B19" s="333">
        <v>46248</v>
      </c>
      <c r="C19" s="333" t="s">
        <v>277</v>
      </c>
      <c r="D19" s="333" t="s">
        <v>77</v>
      </c>
      <c r="E19" s="334">
        <v>7502327990932</v>
      </c>
      <c r="F19" s="332" t="s">
        <v>589</v>
      </c>
      <c r="G19" s="335" t="s">
        <v>590</v>
      </c>
      <c r="H19" s="336" t="s">
        <v>60</v>
      </c>
      <c r="I19" s="332" t="s">
        <v>585</v>
      </c>
      <c r="J19" s="335" t="s">
        <v>249</v>
      </c>
      <c r="K19" s="335" t="s">
        <v>281</v>
      </c>
      <c r="L19" s="337">
        <v>2</v>
      </c>
      <c r="M19" s="338" t="s">
        <v>376</v>
      </c>
      <c r="N19" s="339" t="s">
        <v>586</v>
      </c>
      <c r="O19" s="332" t="s">
        <v>284</v>
      </c>
      <c r="P19" s="332">
        <v>3</v>
      </c>
      <c r="Q19" s="340" t="s">
        <v>286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287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486</v>
      </c>
      <c r="BS19" s="357"/>
      <c r="BT19" s="353" t="s">
        <v>397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.25">
      <c r="A20" s="332">
        <v>10</v>
      </c>
      <c r="B20" s="333">
        <v>46248</v>
      </c>
      <c r="C20" s="333" t="s">
        <v>277</v>
      </c>
      <c r="D20" s="333" t="s">
        <v>77</v>
      </c>
      <c r="E20" s="334">
        <v>7502327990949</v>
      </c>
      <c r="F20" s="332" t="s">
        <v>591</v>
      </c>
      <c r="G20" s="335" t="s">
        <v>592</v>
      </c>
      <c r="H20" s="336" t="s">
        <v>60</v>
      </c>
      <c r="I20" s="332" t="s">
        <v>585</v>
      </c>
      <c r="J20" s="335" t="s">
        <v>249</v>
      </c>
      <c r="K20" s="335" t="s">
        <v>281</v>
      </c>
      <c r="L20" s="337">
        <v>2</v>
      </c>
      <c r="M20" s="338" t="s">
        <v>376</v>
      </c>
      <c r="N20" s="339" t="s">
        <v>586</v>
      </c>
      <c r="O20" s="332" t="s">
        <v>284</v>
      </c>
      <c r="P20" s="332">
        <v>3</v>
      </c>
      <c r="Q20" s="340" t="s">
        <v>286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287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486</v>
      </c>
      <c r="BS20" s="357"/>
      <c r="BT20" s="353" t="s">
        <v>397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2.25">
      <c r="A21" s="332">
        <v>68</v>
      </c>
      <c r="B21" s="333">
        <v>46248</v>
      </c>
      <c r="C21" s="333" t="s">
        <v>277</v>
      </c>
      <c r="D21" s="333" t="s">
        <v>77</v>
      </c>
      <c r="E21" s="334">
        <v>7502327991526</v>
      </c>
      <c r="F21" s="332" t="s">
        <v>593</v>
      </c>
      <c r="G21" s="335" t="s">
        <v>594</v>
      </c>
      <c r="H21" s="336" t="s">
        <v>60</v>
      </c>
      <c r="I21" s="332" t="s">
        <v>228</v>
      </c>
      <c r="J21" s="335" t="s">
        <v>249</v>
      </c>
      <c r="K21" s="335" t="s">
        <v>281</v>
      </c>
      <c r="L21" s="337">
        <v>2</v>
      </c>
      <c r="M21" s="358" t="s">
        <v>282</v>
      </c>
      <c r="N21" s="332"/>
      <c r="O21" s="332" t="s">
        <v>478</v>
      </c>
      <c r="P21" s="332">
        <v>9</v>
      </c>
      <c r="Q21" s="340" t="s">
        <v>286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287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486</v>
      </c>
      <c r="BS21" s="357"/>
      <c r="BT21" s="353" t="s">
        <v>397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22" priority="2" operator="greaterThan">
      <formula>0.2599</formula>
    </cfRule>
  </conditionalFormatting>
  <conditionalFormatting sqref="AM17:AM21">
    <cfRule type="cellIs" dxfId="21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K21" activePane="bottomRight" state="frozen"/>
      <selection pane="bottomRight" activeCell="AE23" sqref="AE23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166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32" customWidth="1"/>
    <col min="70" max="72" width="42" style="168" customWidth="1"/>
    <col min="88" max="93" width="35.42578125" style="170" customWidth="1"/>
    <col min="94" max="105" width="35.42578125" style="161" customWidth="1"/>
  </cols>
  <sheetData>
    <row r="1" spans="1:105" ht="27.95">
      <c r="A1" s="8"/>
      <c r="B1" s="9" t="s">
        <v>13</v>
      </c>
      <c r="C1" s="146" t="s">
        <v>77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7.95">
      <c r="A2" s="512" t="s">
        <v>595</v>
      </c>
      <c r="B2" s="51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7.95">
      <c r="A3" s="7" t="s">
        <v>251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7.95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7.95">
      <c r="A5" s="7" t="s">
        <v>252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7.95">
      <c r="A6" s="7" t="s">
        <v>253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7.95">
      <c r="A7" s="7" t="s">
        <v>254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7.95">
      <c r="A8" s="7" t="s">
        <v>256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7.95">
      <c r="A9" s="7" t="s">
        <v>255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7.95">
      <c r="A10" s="7" t="s">
        <v>257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7.95">
      <c r="A11" s="143" t="s">
        <v>258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596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597</v>
      </c>
      <c r="N16" s="127" t="s">
        <v>23</v>
      </c>
      <c r="O16" s="127" t="s">
        <v>598</v>
      </c>
      <c r="P16" s="128" t="s">
        <v>599</v>
      </c>
      <c r="Q16" s="127" t="s">
        <v>26</v>
      </c>
      <c r="R16" s="127" t="s">
        <v>27</v>
      </c>
      <c r="S16" s="127" t="s">
        <v>600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601</v>
      </c>
      <c r="AA16" s="127" t="s">
        <v>35</v>
      </c>
      <c r="AB16" s="127" t="s">
        <v>602</v>
      </c>
      <c r="AC16" s="127" t="s">
        <v>270</v>
      </c>
      <c r="AD16" s="127" t="s">
        <v>603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272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354.75">
      <c r="A17" s="25">
        <v>1</v>
      </c>
      <c r="B17" s="26">
        <v>46234</v>
      </c>
      <c r="C17" s="27" t="s">
        <v>277</v>
      </c>
      <c r="D17" s="26" t="s">
        <v>77</v>
      </c>
      <c r="E17" s="28">
        <v>7503057496008</v>
      </c>
      <c r="F17" s="29" t="s">
        <v>604</v>
      </c>
      <c r="G17" s="224" t="s">
        <v>605</v>
      </c>
      <c r="H17" s="30"/>
      <c r="I17" s="26" t="s">
        <v>147</v>
      </c>
      <c r="J17" s="26" t="s">
        <v>595</v>
      </c>
      <c r="K17" s="29" t="s">
        <v>281</v>
      </c>
      <c r="L17" s="28">
        <v>1</v>
      </c>
      <c r="M17" s="31" t="e">
        <f>0.31+$N$18</f>
        <v>#VALUE!</v>
      </c>
      <c r="N17" s="26" t="s">
        <v>64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606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607</v>
      </c>
      <c r="AB17" s="26" t="s">
        <v>287</v>
      </c>
      <c r="AC17" s="37">
        <v>6</v>
      </c>
      <c r="AD17" s="37">
        <f>+AC17*12</f>
        <v>72</v>
      </c>
      <c r="AE17" s="21" t="s">
        <v>608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609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54.75">
      <c r="A18" s="25">
        <v>2</v>
      </c>
      <c r="B18" s="26">
        <v>46234</v>
      </c>
      <c r="C18" s="27" t="s">
        <v>277</v>
      </c>
      <c r="D18" s="26" t="s">
        <v>77</v>
      </c>
      <c r="E18" s="28">
        <v>7503057496015</v>
      </c>
      <c r="F18" s="29" t="s">
        <v>610</v>
      </c>
      <c r="G18" s="224" t="s">
        <v>611</v>
      </c>
      <c r="H18" s="30"/>
      <c r="I18" s="26" t="s">
        <v>147</v>
      </c>
      <c r="J18" s="26" t="s">
        <v>595</v>
      </c>
      <c r="K18" s="29" t="s">
        <v>281</v>
      </c>
      <c r="L18" s="28">
        <v>1</v>
      </c>
      <c r="M18" s="31" t="e">
        <f>0.31+$N$18</f>
        <v>#VALUE!</v>
      </c>
      <c r="N18" s="26" t="s">
        <v>64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606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607</v>
      </c>
      <c r="AB18" s="26" t="s">
        <v>287</v>
      </c>
      <c r="AC18" s="37">
        <v>6</v>
      </c>
      <c r="AD18" s="37">
        <f>+AC18*12</f>
        <v>72</v>
      </c>
      <c r="AE18" s="21" t="s">
        <v>608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609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5.5">
      <c r="A19" s="25">
        <v>3</v>
      </c>
      <c r="B19" s="26">
        <v>46234</v>
      </c>
      <c r="C19" s="27" t="s">
        <v>277</v>
      </c>
      <c r="D19" s="26" t="s">
        <v>77</v>
      </c>
      <c r="E19" s="28">
        <v>7503057496022</v>
      </c>
      <c r="F19" s="29" t="s">
        <v>612</v>
      </c>
      <c r="G19" s="224" t="s">
        <v>613</v>
      </c>
      <c r="H19" s="30"/>
      <c r="I19" s="26" t="s">
        <v>614</v>
      </c>
      <c r="J19" s="26" t="s">
        <v>595</v>
      </c>
      <c r="K19" s="29" t="s">
        <v>281</v>
      </c>
      <c r="L19" s="28">
        <v>1</v>
      </c>
      <c r="M19" s="31" t="e">
        <f>0.97+$N$18</f>
        <v>#VALUE!</v>
      </c>
      <c r="N19" s="26" t="s">
        <v>64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615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607</v>
      </c>
      <c r="AB19" s="26" t="s">
        <v>287</v>
      </c>
      <c r="AC19" s="37">
        <v>6</v>
      </c>
      <c r="AD19" s="37">
        <f>+AC19*12</f>
        <v>72</v>
      </c>
      <c r="AE19" s="21" t="s">
        <v>608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609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41.75">
      <c r="A20" s="25">
        <v>6</v>
      </c>
      <c r="B20" s="26">
        <v>46234</v>
      </c>
      <c r="C20" s="27" t="s">
        <v>174</v>
      </c>
      <c r="D20" s="26" t="s">
        <v>77</v>
      </c>
      <c r="E20" s="28">
        <v>7503057496053</v>
      </c>
      <c r="F20" s="29" t="s">
        <v>616</v>
      </c>
      <c r="G20" s="224" t="s">
        <v>617</v>
      </c>
      <c r="H20" s="30"/>
      <c r="I20" s="26" t="s">
        <v>618</v>
      </c>
      <c r="J20" s="26" t="s">
        <v>595</v>
      </c>
      <c r="K20" s="22" t="s">
        <v>565</v>
      </c>
      <c r="L20" s="28">
        <v>1</v>
      </c>
      <c r="M20" s="31" t="e">
        <f>0.43+$N$18</f>
        <v>#VALUE!</v>
      </c>
      <c r="N20" s="26" t="s">
        <v>64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619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620</v>
      </c>
      <c r="AB20" s="26" t="s">
        <v>287</v>
      </c>
      <c r="AC20" s="37">
        <v>6</v>
      </c>
      <c r="AD20" s="37">
        <f>+AC20*4</f>
        <v>24</v>
      </c>
      <c r="AE20" s="29" t="s">
        <v>621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622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41.75">
      <c r="A21" s="25">
        <v>7</v>
      </c>
      <c r="B21" s="26">
        <v>46234</v>
      </c>
      <c r="C21" s="27" t="s">
        <v>174</v>
      </c>
      <c r="D21" s="26" t="s">
        <v>77</v>
      </c>
      <c r="E21" s="28">
        <v>7503057496060</v>
      </c>
      <c r="F21" s="29" t="s">
        <v>623</v>
      </c>
      <c r="G21" s="224" t="s">
        <v>624</v>
      </c>
      <c r="H21" s="30"/>
      <c r="I21" s="26" t="s">
        <v>618</v>
      </c>
      <c r="J21" s="26" t="s">
        <v>595</v>
      </c>
      <c r="K21" s="22" t="s">
        <v>565</v>
      </c>
      <c r="L21" s="28">
        <v>1</v>
      </c>
      <c r="M21" s="31" t="e">
        <f>0.43+$N$18</f>
        <v>#VALUE!</v>
      </c>
      <c r="N21" s="26" t="s">
        <v>64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625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620</v>
      </c>
      <c r="AB21" s="26" t="s">
        <v>287</v>
      </c>
      <c r="AC21" s="37">
        <v>6</v>
      </c>
      <c r="AD21" s="37">
        <f>+AC21*4</f>
        <v>24</v>
      </c>
      <c r="AE21" s="29" t="s">
        <v>621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622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84.25">
      <c r="A22" s="25">
        <v>8</v>
      </c>
      <c r="B22" s="26">
        <v>46234</v>
      </c>
      <c r="C22" s="27" t="s">
        <v>174</v>
      </c>
      <c r="D22" s="26" t="s">
        <v>77</v>
      </c>
      <c r="E22" s="28">
        <v>7503057496077</v>
      </c>
      <c r="F22" s="29" t="s">
        <v>626</v>
      </c>
      <c r="G22" s="224" t="s">
        <v>627</v>
      </c>
      <c r="H22" s="39"/>
      <c r="I22" s="26" t="s">
        <v>618</v>
      </c>
      <c r="J22" s="26" t="s">
        <v>595</v>
      </c>
      <c r="K22" s="22" t="s">
        <v>565</v>
      </c>
      <c r="L22" s="28">
        <v>1</v>
      </c>
      <c r="M22" s="31" t="e">
        <f>0.793+$N$18</f>
        <v>#VALUE!</v>
      </c>
      <c r="N22" s="26" t="s">
        <v>64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628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620</v>
      </c>
      <c r="AB22" s="26" t="s">
        <v>287</v>
      </c>
      <c r="AC22" s="37">
        <v>6</v>
      </c>
      <c r="AD22" s="37">
        <f>+AC22*4</f>
        <v>24</v>
      </c>
      <c r="AE22" s="29" t="s">
        <v>629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622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84.25">
      <c r="A23" s="25">
        <v>9</v>
      </c>
      <c r="B23" s="26">
        <v>46234</v>
      </c>
      <c r="C23" s="27" t="s">
        <v>174</v>
      </c>
      <c r="D23" s="26" t="s">
        <v>77</v>
      </c>
      <c r="E23" s="28">
        <v>7503057496084</v>
      </c>
      <c r="F23" s="29" t="s">
        <v>630</v>
      </c>
      <c r="G23" s="224" t="s">
        <v>631</v>
      </c>
      <c r="H23" s="30"/>
      <c r="I23" s="26" t="s">
        <v>618</v>
      </c>
      <c r="J23" s="26" t="s">
        <v>595</v>
      </c>
      <c r="K23" s="22" t="s">
        <v>565</v>
      </c>
      <c r="L23" s="28">
        <v>1</v>
      </c>
      <c r="M23" s="31" t="e">
        <f>0.57+$N$18</f>
        <v>#VALUE!</v>
      </c>
      <c r="N23" s="26" t="s">
        <v>64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632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620</v>
      </c>
      <c r="AB23" s="26" t="s">
        <v>287</v>
      </c>
      <c r="AC23" s="37">
        <v>6</v>
      </c>
      <c r="AD23" s="37">
        <f>+AC23*4</f>
        <v>24</v>
      </c>
      <c r="AE23" s="29" t="s">
        <v>621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622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84.25">
      <c r="A24" s="25">
        <v>11</v>
      </c>
      <c r="B24" s="26">
        <v>46234</v>
      </c>
      <c r="C24" s="27" t="s">
        <v>174</v>
      </c>
      <c r="D24" s="26" t="s">
        <v>77</v>
      </c>
      <c r="E24" s="28">
        <v>7503057496107</v>
      </c>
      <c r="F24" s="29" t="s">
        <v>633</v>
      </c>
      <c r="G24" s="224" t="s">
        <v>634</v>
      </c>
      <c r="H24" s="30"/>
      <c r="I24" s="26" t="s">
        <v>635</v>
      </c>
      <c r="J24" s="26" t="s">
        <v>595</v>
      </c>
      <c r="K24" s="22" t="s">
        <v>565</v>
      </c>
      <c r="L24" s="28">
        <v>1</v>
      </c>
      <c r="M24" s="31"/>
      <c r="N24" s="26" t="s">
        <v>81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636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620</v>
      </c>
      <c r="AB24" s="26" t="s">
        <v>637</v>
      </c>
      <c r="AC24" s="37">
        <v>6</v>
      </c>
      <c r="AD24" s="37">
        <f>+AC24*12</f>
        <v>72</v>
      </c>
      <c r="AE24" s="29" t="s">
        <v>638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622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84.25">
      <c r="A25" s="25">
        <v>12</v>
      </c>
      <c r="B25" s="26">
        <v>46234</v>
      </c>
      <c r="C25" s="27" t="s">
        <v>174</v>
      </c>
      <c r="D25" s="26" t="s">
        <v>77</v>
      </c>
      <c r="E25" s="28">
        <v>7503057496091</v>
      </c>
      <c r="F25" s="29" t="s">
        <v>639</v>
      </c>
      <c r="G25" s="224" t="s">
        <v>640</v>
      </c>
      <c r="H25" s="30"/>
      <c r="I25" s="26" t="s">
        <v>635</v>
      </c>
      <c r="J25" s="26" t="s">
        <v>595</v>
      </c>
      <c r="K25" s="22" t="s">
        <v>565</v>
      </c>
      <c r="L25" s="28">
        <v>1</v>
      </c>
      <c r="M25" s="31"/>
      <c r="N25" s="26" t="s">
        <v>81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641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607</v>
      </c>
      <c r="AB25" s="26" t="s">
        <v>637</v>
      </c>
      <c r="AC25" s="37">
        <v>6</v>
      </c>
      <c r="AD25" s="37">
        <f>+AC25*12</f>
        <v>72</v>
      </c>
      <c r="AE25" s="29" t="s">
        <v>638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622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77.75">
      <c r="A26" s="25">
        <v>13</v>
      </c>
      <c r="B26" s="26">
        <v>46234</v>
      </c>
      <c r="C26" s="27" t="s">
        <v>174</v>
      </c>
      <c r="D26" s="26" t="s">
        <v>77</v>
      </c>
      <c r="E26" s="28">
        <v>7503057496114</v>
      </c>
      <c r="F26" s="29" t="s">
        <v>642</v>
      </c>
      <c r="G26" s="224" t="s">
        <v>643</v>
      </c>
      <c r="H26" s="40"/>
      <c r="I26" s="26" t="s">
        <v>644</v>
      </c>
      <c r="J26" s="26" t="s">
        <v>595</v>
      </c>
      <c r="K26" s="22" t="s">
        <v>565</v>
      </c>
      <c r="L26" s="28">
        <v>1</v>
      </c>
      <c r="M26" s="31" t="e">
        <f>0.85+$N$18</f>
        <v>#VALUE!</v>
      </c>
      <c r="N26" s="26" t="s">
        <v>64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645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607</v>
      </c>
      <c r="AB26" s="26" t="s">
        <v>287</v>
      </c>
      <c r="AC26" s="37">
        <v>6</v>
      </c>
      <c r="AD26" s="37">
        <f>+AC26*12</f>
        <v>72</v>
      </c>
      <c r="AE26" s="29" t="s">
        <v>646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150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77.75">
      <c r="A27" s="25">
        <v>14</v>
      </c>
      <c r="B27" s="26">
        <v>46234</v>
      </c>
      <c r="C27" s="27" t="s">
        <v>174</v>
      </c>
      <c r="D27" s="26" t="s">
        <v>77</v>
      </c>
      <c r="E27" s="28">
        <v>7503057496121</v>
      </c>
      <c r="F27" s="29" t="s">
        <v>647</v>
      </c>
      <c r="G27" s="224" t="s">
        <v>648</v>
      </c>
      <c r="H27" s="40"/>
      <c r="I27" s="26" t="s">
        <v>644</v>
      </c>
      <c r="J27" s="26" t="s">
        <v>595</v>
      </c>
      <c r="K27" s="22" t="s">
        <v>565</v>
      </c>
      <c r="L27" s="28">
        <v>1</v>
      </c>
      <c r="M27" s="31" t="e">
        <f>0.85+$N$18</f>
        <v>#VALUE!</v>
      </c>
      <c r="N27" s="26" t="s">
        <v>64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649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607</v>
      </c>
      <c r="AB27" s="26" t="s">
        <v>287</v>
      </c>
      <c r="AC27" s="37">
        <v>6</v>
      </c>
      <c r="AD27" s="37">
        <f>+AC27*12</f>
        <v>72</v>
      </c>
      <c r="AE27" s="29" t="s">
        <v>646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150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20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68.849999999999994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849999999999994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849999999999994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849999999999994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849999999999994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849999999999994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849999999999994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849999999999994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849999999999994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849999999999994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849999999999994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849999999999994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849999999999994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849999999999994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ht="68.849999999999994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265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650</v>
      </c>
      <c r="U16" s="12" t="s">
        <v>41</v>
      </c>
      <c r="V16" s="12" t="s">
        <v>23</v>
      </c>
      <c r="W16" s="12" t="s">
        <v>24</v>
      </c>
      <c r="X16" s="12" t="s">
        <v>651</v>
      </c>
      <c r="Y16" s="12" t="s">
        <v>26</v>
      </c>
      <c r="Z16" s="12" t="s">
        <v>27</v>
      </c>
      <c r="AA16" s="12" t="s">
        <v>600</v>
      </c>
      <c r="AB16" s="13" t="s">
        <v>28</v>
      </c>
      <c r="AC16" s="12" t="s">
        <v>652</v>
      </c>
      <c r="AD16" s="12" t="s">
        <v>29</v>
      </c>
      <c r="AE16" s="12" t="s">
        <v>653</v>
      </c>
      <c r="AF16" s="2" t="s">
        <v>30</v>
      </c>
      <c r="AG16" s="12" t="s">
        <v>654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264</v>
      </c>
      <c r="AM16" s="12" t="s">
        <v>36</v>
      </c>
      <c r="AN16" s="10" t="s">
        <v>655</v>
      </c>
      <c r="AO16" s="10" t="s">
        <v>271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" customHeight="1">
      <c r="A17" s="51">
        <v>1</v>
      </c>
      <c r="B17" s="51" t="s">
        <v>656</v>
      </c>
      <c r="C17" s="51" t="s">
        <v>656</v>
      </c>
      <c r="D17" s="6" t="s">
        <v>657</v>
      </c>
      <c r="E17" s="48">
        <v>7503057496145</v>
      </c>
      <c r="F17" s="48" t="s">
        <v>658</v>
      </c>
      <c r="G17" s="49" t="s">
        <v>659</v>
      </c>
      <c r="H17" s="70" t="s">
        <v>60</v>
      </c>
      <c r="I17" s="51" t="s">
        <v>660</v>
      </c>
      <c r="J17" s="51" t="s">
        <v>661</v>
      </c>
      <c r="K17" s="51" t="s">
        <v>176</v>
      </c>
      <c r="L17" s="84">
        <v>2</v>
      </c>
      <c r="M17" s="85" t="s">
        <v>662</v>
      </c>
      <c r="N17" s="86"/>
      <c r="O17" s="53" t="s">
        <v>663</v>
      </c>
      <c r="P17" s="51"/>
      <c r="Q17" s="49" t="s">
        <v>69</v>
      </c>
      <c r="R17" s="51" t="s">
        <v>69</v>
      </c>
      <c r="S17" s="51" t="s">
        <v>69</v>
      </c>
      <c r="T17" s="79" t="s">
        <v>664</v>
      </c>
      <c r="U17" s="55"/>
      <c r="V17" s="56" t="s">
        <v>81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665</v>
      </c>
      <c r="AD17" s="57">
        <v>70</v>
      </c>
      <c r="AE17" s="58" t="s">
        <v>666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514</v>
      </c>
      <c r="AM17" s="56" t="s">
        <v>99</v>
      </c>
      <c r="AN17" s="87" t="s">
        <v>176</v>
      </c>
      <c r="AO17" s="87" t="s">
        <v>176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" customHeight="1">
      <c r="A18" s="51">
        <v>2</v>
      </c>
      <c r="B18" s="51" t="s">
        <v>656</v>
      </c>
      <c r="C18" s="51" t="s">
        <v>656</v>
      </c>
      <c r="D18" s="6" t="s">
        <v>657</v>
      </c>
      <c r="E18" s="48">
        <v>7503057496152</v>
      </c>
      <c r="F18" s="48" t="s">
        <v>667</v>
      </c>
      <c r="G18" s="49" t="s">
        <v>668</v>
      </c>
      <c r="H18" s="70" t="s">
        <v>60</v>
      </c>
      <c r="I18" s="51" t="s">
        <v>660</v>
      </c>
      <c r="J18" s="51" t="s">
        <v>661</v>
      </c>
      <c r="K18" s="51" t="s">
        <v>176</v>
      </c>
      <c r="L18" s="84">
        <v>2</v>
      </c>
      <c r="M18" s="85" t="s">
        <v>662</v>
      </c>
      <c r="N18" s="86"/>
      <c r="O18" s="53" t="s">
        <v>669</v>
      </c>
      <c r="P18" s="51"/>
      <c r="Q18" s="49" t="s">
        <v>69</v>
      </c>
      <c r="R18" s="51" t="s">
        <v>69</v>
      </c>
      <c r="S18" s="51" t="s">
        <v>69</v>
      </c>
      <c r="T18" s="79" t="s">
        <v>670</v>
      </c>
      <c r="U18" s="55"/>
      <c r="V18" s="56" t="s">
        <v>81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665</v>
      </c>
      <c r="AD18" s="57">
        <v>70</v>
      </c>
      <c r="AE18" s="58" t="s">
        <v>671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514</v>
      </c>
      <c r="AM18" s="56" t="s">
        <v>99</v>
      </c>
      <c r="AN18" s="87" t="s">
        <v>176</v>
      </c>
      <c r="AO18" s="87" t="s">
        <v>176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" customHeight="1">
      <c r="A19" s="51">
        <v>3</v>
      </c>
      <c r="B19" s="51" t="s">
        <v>656</v>
      </c>
      <c r="C19" s="51" t="s">
        <v>656</v>
      </c>
      <c r="D19" s="6" t="s">
        <v>657</v>
      </c>
      <c r="E19" s="48">
        <v>7503057496169</v>
      </c>
      <c r="F19" s="48" t="s">
        <v>672</v>
      </c>
      <c r="G19" s="49" t="s">
        <v>673</v>
      </c>
      <c r="H19" s="70" t="s">
        <v>60</v>
      </c>
      <c r="I19" s="51" t="s">
        <v>618</v>
      </c>
      <c r="J19" s="51" t="s">
        <v>661</v>
      </c>
      <c r="K19" s="51" t="s">
        <v>176</v>
      </c>
      <c r="L19" s="84">
        <v>2</v>
      </c>
      <c r="M19" s="85" t="s">
        <v>674</v>
      </c>
      <c r="N19" s="86"/>
      <c r="O19" s="88" t="s">
        <v>675</v>
      </c>
      <c r="P19" s="51"/>
      <c r="Q19" s="49" t="s">
        <v>69</v>
      </c>
      <c r="R19" s="51" t="s">
        <v>69</v>
      </c>
      <c r="S19" s="51" t="s">
        <v>69</v>
      </c>
      <c r="T19" s="89" t="s">
        <v>676</v>
      </c>
      <c r="U19" s="55"/>
      <c r="V19" s="56" t="s">
        <v>81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677</v>
      </c>
      <c r="AD19" s="57">
        <v>89</v>
      </c>
      <c r="AE19" s="58" t="s">
        <v>678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514</v>
      </c>
      <c r="AM19" s="56" t="s">
        <v>99</v>
      </c>
      <c r="AN19" s="87" t="s">
        <v>176</v>
      </c>
      <c r="AO19" s="87" t="s">
        <v>176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" customHeight="1">
      <c r="A20" s="51">
        <v>4</v>
      </c>
      <c r="B20" s="51" t="s">
        <v>656</v>
      </c>
      <c r="C20" s="51" t="s">
        <v>656</v>
      </c>
      <c r="D20" s="6" t="s">
        <v>657</v>
      </c>
      <c r="E20" s="48">
        <v>7503057496176</v>
      </c>
      <c r="F20" s="48" t="s">
        <v>679</v>
      </c>
      <c r="G20" s="49" t="s">
        <v>680</v>
      </c>
      <c r="H20" s="70" t="s">
        <v>60</v>
      </c>
      <c r="I20" s="51" t="s">
        <v>681</v>
      </c>
      <c r="J20" s="51" t="s">
        <v>661</v>
      </c>
      <c r="K20" s="51" t="s">
        <v>176</v>
      </c>
      <c r="L20" s="84">
        <v>2</v>
      </c>
      <c r="M20" s="85" t="s">
        <v>682</v>
      </c>
      <c r="N20" s="90"/>
      <c r="O20" s="56" t="s">
        <v>683</v>
      </c>
      <c r="P20" s="51"/>
      <c r="Q20" s="49" t="s">
        <v>69</v>
      </c>
      <c r="R20" s="51" t="s">
        <v>69</v>
      </c>
      <c r="S20" s="51" t="s">
        <v>69</v>
      </c>
      <c r="T20" s="79" t="s">
        <v>684</v>
      </c>
      <c r="U20" s="55"/>
      <c r="V20" s="56" t="s">
        <v>81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665</v>
      </c>
      <c r="AD20" s="57">
        <v>59</v>
      </c>
      <c r="AE20" s="58" t="s">
        <v>685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514</v>
      </c>
      <c r="AM20" s="56" t="s">
        <v>99</v>
      </c>
      <c r="AN20" s="87" t="s">
        <v>176</v>
      </c>
      <c r="AO20" s="87" t="s">
        <v>176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" customHeight="1">
      <c r="A21" s="51">
        <v>5</v>
      </c>
      <c r="B21" s="51" t="s">
        <v>656</v>
      </c>
      <c r="C21" s="51" t="s">
        <v>656</v>
      </c>
      <c r="D21" s="6" t="s">
        <v>657</v>
      </c>
      <c r="E21" s="47">
        <v>7503057496190</v>
      </c>
      <c r="F21" s="48" t="s">
        <v>686</v>
      </c>
      <c r="G21" s="49" t="s">
        <v>687</v>
      </c>
      <c r="H21" s="70" t="s">
        <v>60</v>
      </c>
      <c r="I21" s="51" t="s">
        <v>688</v>
      </c>
      <c r="J21" s="51" t="s">
        <v>661</v>
      </c>
      <c r="K21" s="51" t="s">
        <v>176</v>
      </c>
      <c r="L21" s="84">
        <v>2</v>
      </c>
      <c r="M21" s="85" t="s">
        <v>689</v>
      </c>
      <c r="N21" s="51"/>
      <c r="O21" s="53" t="s">
        <v>690</v>
      </c>
      <c r="P21" s="51"/>
      <c r="Q21" s="49" t="s">
        <v>69</v>
      </c>
      <c r="R21" s="51" t="s">
        <v>69</v>
      </c>
      <c r="S21" s="51" t="s">
        <v>69</v>
      </c>
      <c r="T21" s="79" t="s">
        <v>691</v>
      </c>
      <c r="U21" s="55"/>
      <c r="V21" s="56" t="s">
        <v>81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692</v>
      </c>
      <c r="AD21" s="57">
        <v>149</v>
      </c>
      <c r="AE21" s="58" t="s">
        <v>693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514</v>
      </c>
      <c r="AM21" s="56" t="s">
        <v>99</v>
      </c>
      <c r="AN21" s="87" t="s">
        <v>176</v>
      </c>
      <c r="AO21" s="87" t="s">
        <v>176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" customHeight="1">
      <c r="A22" s="51">
        <v>11</v>
      </c>
      <c r="B22" s="51" t="s">
        <v>656</v>
      </c>
      <c r="C22" s="51" t="s">
        <v>656</v>
      </c>
      <c r="D22" s="6" t="s">
        <v>657</v>
      </c>
      <c r="E22" s="47">
        <v>7503057496268</v>
      </c>
      <c r="F22" s="48" t="s">
        <v>694</v>
      </c>
      <c r="G22" s="49" t="s">
        <v>695</v>
      </c>
      <c r="H22" s="50" t="s">
        <v>60</v>
      </c>
      <c r="I22" s="51" t="s">
        <v>498</v>
      </c>
      <c r="J22" s="51" t="s">
        <v>661</v>
      </c>
      <c r="K22" s="49" t="s">
        <v>281</v>
      </c>
      <c r="L22" s="52">
        <v>2</v>
      </c>
      <c r="M22" s="49" t="s">
        <v>69</v>
      </c>
      <c r="N22" s="51"/>
      <c r="O22" s="53" t="s">
        <v>696</v>
      </c>
      <c r="P22" s="51"/>
      <c r="Q22" s="49" t="s">
        <v>697</v>
      </c>
      <c r="R22" s="49" t="s">
        <v>698</v>
      </c>
      <c r="S22" s="51" t="s">
        <v>60</v>
      </c>
      <c r="T22" s="51" t="s">
        <v>69</v>
      </c>
      <c r="U22" s="55">
        <v>5.5800000000000002E-2</v>
      </c>
      <c r="V22" s="56" t="s">
        <v>64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699</v>
      </c>
      <c r="AD22" s="57">
        <v>39</v>
      </c>
      <c r="AE22" s="58" t="s">
        <v>700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478</v>
      </c>
      <c r="AM22" s="51" t="s">
        <v>67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9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zoomScale="40" zoomScaleNormal="40" workbookViewId="0">
      <pane xSplit="6" topLeftCell="G1" activePane="topRight" state="frozen"/>
      <selection pane="topRight" activeCell="G1" sqref="G1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32" customWidth="1"/>
    <col min="70" max="72" width="36.8554687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8"/>
      <c r="B1" s="9" t="s">
        <v>13</v>
      </c>
      <c r="C1" s="133" t="s">
        <v>248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512" t="s">
        <v>661</v>
      </c>
      <c r="B2" s="51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7" t="s">
        <v>254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42" t="s">
        <v>701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7" t="s">
        <v>256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7" t="s">
        <v>255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7" t="s">
        <v>257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43" t="s">
        <v>258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265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650</v>
      </c>
      <c r="T16" s="137" t="s">
        <v>41</v>
      </c>
      <c r="U16" s="137" t="s">
        <v>23</v>
      </c>
      <c r="V16" s="137" t="s">
        <v>24</v>
      </c>
      <c r="W16" s="137" t="s">
        <v>651</v>
      </c>
      <c r="X16" s="137" t="s">
        <v>26</v>
      </c>
      <c r="Y16" s="137" t="s">
        <v>27</v>
      </c>
      <c r="Z16" s="137" t="s">
        <v>600</v>
      </c>
      <c r="AA16" s="138" t="s">
        <v>28</v>
      </c>
      <c r="AB16" s="137" t="s">
        <v>652</v>
      </c>
      <c r="AC16" s="137" t="s">
        <v>29</v>
      </c>
      <c r="AD16" s="137" t="s">
        <v>653</v>
      </c>
      <c r="AE16" s="128" t="s">
        <v>30</v>
      </c>
      <c r="AF16" s="137" t="s">
        <v>654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264</v>
      </c>
      <c r="AL16" s="137" t="s">
        <v>36</v>
      </c>
      <c r="AM16" s="135" t="s">
        <v>655</v>
      </c>
      <c r="AN16" s="135" t="s">
        <v>271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272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53.75">
      <c r="A17" s="45">
        <v>46234</v>
      </c>
      <c r="B17" s="46" t="s">
        <v>277</v>
      </c>
      <c r="C17" s="5" t="s">
        <v>77</v>
      </c>
      <c r="D17" s="47">
        <v>7503057496206</v>
      </c>
      <c r="E17" s="48" t="s">
        <v>702</v>
      </c>
      <c r="F17" s="49" t="s">
        <v>703</v>
      </c>
      <c r="G17" s="50" t="s">
        <v>60</v>
      </c>
      <c r="H17" s="51" t="s">
        <v>498</v>
      </c>
      <c r="I17" s="51" t="s">
        <v>661</v>
      </c>
      <c r="J17" s="49" t="s">
        <v>281</v>
      </c>
      <c r="K17" s="52">
        <v>1</v>
      </c>
      <c r="L17" s="49" t="s">
        <v>69</v>
      </c>
      <c r="M17" s="51"/>
      <c r="N17" s="53" t="s">
        <v>704</v>
      </c>
      <c r="O17" s="51"/>
      <c r="P17" s="49" t="s">
        <v>69</v>
      </c>
      <c r="Q17" s="49" t="s">
        <v>69</v>
      </c>
      <c r="R17" s="51" t="s">
        <v>69</v>
      </c>
      <c r="S17" s="54" t="s">
        <v>69</v>
      </c>
      <c r="T17" s="55">
        <v>8.3333333333333301E-2</v>
      </c>
      <c r="U17" s="56" t="s">
        <v>64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699</v>
      </c>
      <c r="AC17" s="57">
        <v>39</v>
      </c>
      <c r="AD17" s="58" t="s">
        <v>705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478</v>
      </c>
      <c r="AL17" s="51" t="s">
        <v>67</v>
      </c>
      <c r="AM17" s="62">
        <v>12</v>
      </c>
      <c r="AN17" s="19">
        <v>48</v>
      </c>
      <c r="AO17" s="226" t="s">
        <v>706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86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45.75">
      <c r="A18" s="45">
        <v>46234</v>
      </c>
      <c r="B18" s="46" t="s">
        <v>277</v>
      </c>
      <c r="C18" s="5" t="s">
        <v>77</v>
      </c>
      <c r="D18" s="47">
        <v>7503057496213</v>
      </c>
      <c r="E18" s="48" t="s">
        <v>707</v>
      </c>
      <c r="F18" s="49" t="s">
        <v>708</v>
      </c>
      <c r="G18" s="50" t="s">
        <v>60</v>
      </c>
      <c r="H18" s="51" t="s">
        <v>498</v>
      </c>
      <c r="I18" s="51" t="s">
        <v>661</v>
      </c>
      <c r="J18" s="49" t="s">
        <v>281</v>
      </c>
      <c r="K18" s="52">
        <v>1</v>
      </c>
      <c r="L18" s="49" t="s">
        <v>69</v>
      </c>
      <c r="M18" s="51"/>
      <c r="N18" s="53" t="s">
        <v>709</v>
      </c>
      <c r="O18" s="51"/>
      <c r="P18" s="49" t="s">
        <v>69</v>
      </c>
      <c r="Q18" s="49" t="s">
        <v>69</v>
      </c>
      <c r="R18" s="51" t="s">
        <v>69</v>
      </c>
      <c r="S18" s="51" t="s">
        <v>69</v>
      </c>
      <c r="T18" s="55">
        <v>8.3000000000000004E-2</v>
      </c>
      <c r="U18" s="56" t="s">
        <v>64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699</v>
      </c>
      <c r="AC18" s="57">
        <v>39</v>
      </c>
      <c r="AD18" s="58" t="s">
        <v>710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478</v>
      </c>
      <c r="AL18" s="51" t="s">
        <v>67</v>
      </c>
      <c r="AM18" s="62">
        <v>12</v>
      </c>
      <c r="AN18" s="19">
        <v>48</v>
      </c>
      <c r="AO18" s="226" t="s">
        <v>706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>+AP18</f>
        <v>46280</v>
      </c>
      <c r="BT18" s="169" t="s">
        <v>86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4.95" customHeight="1">
      <c r="A19" s="45">
        <v>46234</v>
      </c>
      <c r="B19" s="46" t="s">
        <v>277</v>
      </c>
      <c r="C19" s="5" t="s">
        <v>77</v>
      </c>
      <c r="D19" s="47">
        <v>7503057496220</v>
      </c>
      <c r="E19" s="48" t="s">
        <v>711</v>
      </c>
      <c r="F19" s="49" t="s">
        <v>712</v>
      </c>
      <c r="G19" s="50" t="s">
        <v>60</v>
      </c>
      <c r="H19" s="51" t="s">
        <v>498</v>
      </c>
      <c r="I19" s="51" t="s">
        <v>661</v>
      </c>
      <c r="J19" s="49" t="s">
        <v>281</v>
      </c>
      <c r="K19" s="52">
        <v>1</v>
      </c>
      <c r="L19" s="49" t="s">
        <v>69</v>
      </c>
      <c r="M19" s="51"/>
      <c r="N19" s="53" t="s">
        <v>713</v>
      </c>
      <c r="O19" s="51"/>
      <c r="P19" s="49" t="s">
        <v>69</v>
      </c>
      <c r="Q19" s="49" t="s">
        <v>69</v>
      </c>
      <c r="R19" s="51" t="s">
        <v>69</v>
      </c>
      <c r="S19" s="51" t="s">
        <v>69</v>
      </c>
      <c r="T19" s="55">
        <v>8.3000000000000004E-2</v>
      </c>
      <c r="U19" s="56" t="s">
        <v>64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699</v>
      </c>
      <c r="AC19" s="57">
        <v>39</v>
      </c>
      <c r="AD19" s="58" t="s">
        <v>714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478</v>
      </c>
      <c r="AL19" s="51" t="s">
        <v>67</v>
      </c>
      <c r="AM19" s="62">
        <v>12</v>
      </c>
      <c r="AN19" s="19">
        <v>48</v>
      </c>
      <c r="AO19" s="226" t="s">
        <v>706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>+AP19</f>
        <v>46293</v>
      </c>
      <c r="BT19" s="169" t="s">
        <v>86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230.25">
      <c r="A20" s="45">
        <v>46234</v>
      </c>
      <c r="B20" s="46" t="s">
        <v>277</v>
      </c>
      <c r="C20" s="5" t="s">
        <v>77</v>
      </c>
      <c r="D20" s="47">
        <v>7503057496237</v>
      </c>
      <c r="E20" s="48" t="s">
        <v>715</v>
      </c>
      <c r="F20" s="49" t="s">
        <v>716</v>
      </c>
      <c r="G20" s="50" t="s">
        <v>60</v>
      </c>
      <c r="H20" s="51" t="s">
        <v>498</v>
      </c>
      <c r="I20" s="51" t="s">
        <v>661</v>
      </c>
      <c r="J20" s="49" t="s">
        <v>281</v>
      </c>
      <c r="K20" s="52">
        <v>1</v>
      </c>
      <c r="L20" s="49" t="s">
        <v>69</v>
      </c>
      <c r="M20" s="51"/>
      <c r="N20" s="53" t="s">
        <v>717</v>
      </c>
      <c r="O20" s="51"/>
      <c r="P20" s="49" t="s">
        <v>69</v>
      </c>
      <c r="Q20" s="49" t="s">
        <v>69</v>
      </c>
      <c r="R20" s="51" t="s">
        <v>69</v>
      </c>
      <c r="S20" s="51" t="s">
        <v>69</v>
      </c>
      <c r="T20" s="55">
        <v>8.3000000000000004E-2</v>
      </c>
      <c r="U20" s="56" t="s">
        <v>64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699</v>
      </c>
      <c r="AC20" s="57">
        <v>39</v>
      </c>
      <c r="AD20" s="58" t="s">
        <v>718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478</v>
      </c>
      <c r="AL20" s="51" t="s">
        <v>67</v>
      </c>
      <c r="AM20" s="62">
        <v>12</v>
      </c>
      <c r="AN20" s="19">
        <v>48</v>
      </c>
      <c r="AO20" s="226" t="s">
        <v>706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180">
        <f t="shared" si="12"/>
        <v>0.77777777777777779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>+AP20</f>
        <v>46284</v>
      </c>
      <c r="BT20" s="169" t="s">
        <v>86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306.75">
      <c r="A21" s="45">
        <v>46234</v>
      </c>
      <c r="B21" s="46" t="s">
        <v>277</v>
      </c>
      <c r="C21" s="5" t="s">
        <v>77</v>
      </c>
      <c r="D21" s="47">
        <v>7503057496244</v>
      </c>
      <c r="E21" s="48" t="s">
        <v>719</v>
      </c>
      <c r="F21" s="49" t="s">
        <v>720</v>
      </c>
      <c r="G21" s="50" t="s">
        <v>60</v>
      </c>
      <c r="H21" s="51" t="s">
        <v>498</v>
      </c>
      <c r="I21" s="51" t="s">
        <v>661</v>
      </c>
      <c r="J21" s="49" t="s">
        <v>281</v>
      </c>
      <c r="K21" s="52">
        <v>1</v>
      </c>
      <c r="L21" s="49" t="s">
        <v>69</v>
      </c>
      <c r="M21" s="51"/>
      <c r="N21" s="53" t="s">
        <v>721</v>
      </c>
      <c r="O21" s="51"/>
      <c r="P21" s="49" t="s">
        <v>69</v>
      </c>
      <c r="Q21" s="49" t="s">
        <v>69</v>
      </c>
      <c r="R21" s="51" t="s">
        <v>69</v>
      </c>
      <c r="S21" s="51" t="s">
        <v>69</v>
      </c>
      <c r="T21" s="55">
        <v>8.3000000000000004E-2</v>
      </c>
      <c r="U21" s="56" t="s">
        <v>64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699</v>
      </c>
      <c r="AC21" s="57">
        <v>39</v>
      </c>
      <c r="AD21" s="58" t="s">
        <v>722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478</v>
      </c>
      <c r="AL21" s="51" t="s">
        <v>67</v>
      </c>
      <c r="AM21" s="62">
        <v>12</v>
      </c>
      <c r="AN21" s="19">
        <v>48</v>
      </c>
      <c r="AO21" s="226" t="s">
        <v>706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180">
        <f t="shared" si="12"/>
        <v>0.77777777777777779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>+AP21</f>
        <v>46293</v>
      </c>
      <c r="BT21" s="169" t="s">
        <v>86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0.25">
      <c r="A22" s="45">
        <v>46234</v>
      </c>
      <c r="B22" s="46" t="s">
        <v>277</v>
      </c>
      <c r="C22" s="5" t="s">
        <v>77</v>
      </c>
      <c r="D22" s="47">
        <v>7503057496275</v>
      </c>
      <c r="E22" s="48" t="s">
        <v>723</v>
      </c>
      <c r="F22" s="49" t="s">
        <v>724</v>
      </c>
      <c r="G22" s="50" t="s">
        <v>60</v>
      </c>
      <c r="H22" s="51" t="s">
        <v>498</v>
      </c>
      <c r="I22" s="51" t="s">
        <v>661</v>
      </c>
      <c r="J22" s="49" t="s">
        <v>281</v>
      </c>
      <c r="K22" s="52">
        <v>1</v>
      </c>
      <c r="L22" s="49" t="s">
        <v>69</v>
      </c>
      <c r="M22" s="51"/>
      <c r="N22" s="53" t="s">
        <v>725</v>
      </c>
      <c r="O22" s="51"/>
      <c r="P22" s="49" t="s">
        <v>69</v>
      </c>
      <c r="Q22" s="49" t="s">
        <v>69</v>
      </c>
      <c r="R22" s="51" t="s">
        <v>69</v>
      </c>
      <c r="S22" s="51" t="s">
        <v>69</v>
      </c>
      <c r="T22" s="55">
        <v>8.3000000000000004E-2</v>
      </c>
      <c r="U22" s="56" t="s">
        <v>64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387</v>
      </c>
      <c r="AC22" s="57">
        <v>39</v>
      </c>
      <c r="AD22" s="58" t="s">
        <v>726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478</v>
      </c>
      <c r="AL22" s="51" t="s">
        <v>67</v>
      </c>
      <c r="AM22" s="62">
        <v>12</v>
      </c>
      <c r="AN22" s="19">
        <v>48</v>
      </c>
      <c r="AO22" s="226" t="s">
        <v>706</v>
      </c>
      <c r="AP22" s="228">
        <v>46284</v>
      </c>
      <c r="AR22" s="38">
        <f t="shared" ref="AR22:AR53" si="15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180">
        <f t="shared" si="12"/>
        <v>0.77777777777777779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>+AP22</f>
        <v>46284</v>
      </c>
      <c r="BT22" s="169" t="s">
        <v>86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306.75">
      <c r="A23" s="45">
        <v>46234</v>
      </c>
      <c r="B23" s="46" t="s">
        <v>277</v>
      </c>
      <c r="C23" s="5" t="s">
        <v>77</v>
      </c>
      <c r="D23" s="47">
        <v>7503057496282</v>
      </c>
      <c r="E23" s="48" t="s">
        <v>727</v>
      </c>
      <c r="F23" s="49" t="s">
        <v>728</v>
      </c>
      <c r="G23" s="50" t="s">
        <v>60</v>
      </c>
      <c r="H23" s="51" t="s">
        <v>498</v>
      </c>
      <c r="I23" s="51" t="s">
        <v>661</v>
      </c>
      <c r="J23" s="49" t="s">
        <v>281</v>
      </c>
      <c r="K23" s="52">
        <v>1</v>
      </c>
      <c r="L23" s="49" t="s">
        <v>69</v>
      </c>
      <c r="M23" s="51"/>
      <c r="N23" s="53" t="s">
        <v>729</v>
      </c>
      <c r="O23" s="51"/>
      <c r="P23" s="49" t="s">
        <v>69</v>
      </c>
      <c r="Q23" s="49" t="s">
        <v>69</v>
      </c>
      <c r="R23" s="51" t="s">
        <v>69</v>
      </c>
      <c r="S23" s="51" t="s">
        <v>69</v>
      </c>
      <c r="T23" s="55">
        <v>8.3000000000000004E-2</v>
      </c>
      <c r="U23" s="56" t="s">
        <v>64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730</v>
      </c>
      <c r="AC23" s="57">
        <v>39</v>
      </c>
      <c r="AD23" s="58" t="s">
        <v>731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478</v>
      </c>
      <c r="AL23" s="51" t="s">
        <v>67</v>
      </c>
      <c r="AM23" s="62">
        <v>12</v>
      </c>
      <c r="AN23" s="19">
        <v>48</v>
      </c>
      <c r="AO23" s="226" t="s">
        <v>706</v>
      </c>
      <c r="AP23" s="228">
        <v>46284</v>
      </c>
      <c r="AR23" s="38">
        <f t="shared" si="15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180">
        <f t="shared" si="12"/>
        <v>0.77777777777777779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>+AP23</f>
        <v>46284</v>
      </c>
      <c r="BT23" s="169" t="s">
        <v>86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92">
      <c r="A24" s="45">
        <v>46234</v>
      </c>
      <c r="B24" s="46" t="s">
        <v>277</v>
      </c>
      <c r="C24" s="5" t="s">
        <v>77</v>
      </c>
      <c r="D24" s="63">
        <v>7503057496299</v>
      </c>
      <c r="E24" s="64" t="s">
        <v>732</v>
      </c>
      <c r="F24" s="49" t="s">
        <v>733</v>
      </c>
      <c r="G24" s="50" t="s">
        <v>60</v>
      </c>
      <c r="H24" s="51" t="s">
        <v>498</v>
      </c>
      <c r="I24" s="65" t="s">
        <v>661</v>
      </c>
      <c r="J24" s="49" t="s">
        <v>281</v>
      </c>
      <c r="K24" s="66">
        <v>1</v>
      </c>
      <c r="L24" s="49" t="s">
        <v>69</v>
      </c>
      <c r="M24" s="51"/>
      <c r="N24" s="53" t="s">
        <v>734</v>
      </c>
      <c r="O24" s="51"/>
      <c r="P24" s="49" t="s">
        <v>69</v>
      </c>
      <c r="Q24" s="49" t="s">
        <v>69</v>
      </c>
      <c r="R24" s="51" t="s">
        <v>69</v>
      </c>
      <c r="S24" s="51" t="s">
        <v>69</v>
      </c>
      <c r="T24" s="55">
        <v>8.3000000000000004E-2</v>
      </c>
      <c r="U24" s="56" t="s">
        <v>64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735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478</v>
      </c>
      <c r="AL24" s="51" t="s">
        <v>67</v>
      </c>
      <c r="AM24" s="62">
        <v>12</v>
      </c>
      <c r="AN24" s="19">
        <v>48</v>
      </c>
      <c r="AO24" s="226" t="s">
        <v>706</v>
      </c>
      <c r="AP24" s="228">
        <v>46284</v>
      </c>
      <c r="AR24" s="38">
        <f t="shared" si="15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180">
        <f t="shared" si="12"/>
        <v>0.77777777777777779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>+AP24</f>
        <v>46284</v>
      </c>
      <c r="BT24" s="169" t="s">
        <v>86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0000000000002" customHeight="1">
      <c r="A25" s="45">
        <v>46234</v>
      </c>
      <c r="B25" s="46" t="s">
        <v>277</v>
      </c>
      <c r="C25" s="5" t="s">
        <v>77</v>
      </c>
      <c r="D25" s="47">
        <v>7503057496305</v>
      </c>
      <c r="E25" s="48" t="s">
        <v>736</v>
      </c>
      <c r="F25" s="49" t="s">
        <v>737</v>
      </c>
      <c r="G25" s="50" t="s">
        <v>60</v>
      </c>
      <c r="H25" s="51" t="s">
        <v>738</v>
      </c>
      <c r="I25" s="51" t="s">
        <v>661</v>
      </c>
      <c r="J25" s="49" t="s">
        <v>281</v>
      </c>
      <c r="K25" s="52">
        <v>1</v>
      </c>
      <c r="L25" s="415" t="s">
        <v>739</v>
      </c>
      <c r="M25" s="51"/>
      <c r="N25" s="53" t="s">
        <v>740</v>
      </c>
      <c r="O25" s="51"/>
      <c r="P25" s="49" t="s">
        <v>69</v>
      </c>
      <c r="Q25" s="49" t="s">
        <v>69</v>
      </c>
      <c r="R25" s="51" t="s">
        <v>69</v>
      </c>
      <c r="S25" s="51" t="s">
        <v>69</v>
      </c>
      <c r="T25" s="55">
        <v>0.111666666666667</v>
      </c>
      <c r="U25" s="56" t="s">
        <v>64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741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478</v>
      </c>
      <c r="AL25" s="51" t="s">
        <v>67</v>
      </c>
      <c r="AM25" s="62">
        <v>12</v>
      </c>
      <c r="AN25" s="19">
        <v>48</v>
      </c>
      <c r="AO25" s="226" t="s">
        <v>706</v>
      </c>
      <c r="AP25" s="228">
        <v>46284</v>
      </c>
      <c r="AR25" s="38">
        <f t="shared" si="15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180">
        <f t="shared" si="12"/>
        <v>0.77777777777777779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>+AP25</f>
        <v>46284</v>
      </c>
      <c r="BT25" s="169" t="s">
        <v>86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09.6">
      <c r="A26" s="45">
        <v>46234</v>
      </c>
      <c r="B26" s="46" t="s">
        <v>277</v>
      </c>
      <c r="C26" s="5" t="s">
        <v>77</v>
      </c>
      <c r="D26" s="47">
        <v>7503057496312</v>
      </c>
      <c r="E26" s="48" t="s">
        <v>742</v>
      </c>
      <c r="F26" s="49" t="s">
        <v>743</v>
      </c>
      <c r="G26" s="50" t="s">
        <v>60</v>
      </c>
      <c r="H26" s="51" t="s">
        <v>738</v>
      </c>
      <c r="I26" s="51" t="s">
        <v>661</v>
      </c>
      <c r="J26" s="49" t="s">
        <v>281</v>
      </c>
      <c r="K26" s="52">
        <v>1</v>
      </c>
      <c r="L26" s="415" t="s">
        <v>744</v>
      </c>
      <c r="M26" s="51"/>
      <c r="N26" s="53" t="s">
        <v>745</v>
      </c>
      <c r="O26" s="51"/>
      <c r="P26" s="49" t="s">
        <v>69</v>
      </c>
      <c r="Q26" s="49" t="s">
        <v>69</v>
      </c>
      <c r="R26" s="51" t="s">
        <v>69</v>
      </c>
      <c r="S26" s="51" t="s">
        <v>69</v>
      </c>
      <c r="T26" s="55">
        <v>0.32500000000000001</v>
      </c>
      <c r="U26" s="56" t="s">
        <v>64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746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478</v>
      </c>
      <c r="AL26" s="51" t="s">
        <v>67</v>
      </c>
      <c r="AM26" s="62">
        <v>12</v>
      </c>
      <c r="AN26" s="19">
        <v>48</v>
      </c>
      <c r="AO26" s="226" t="s">
        <v>706</v>
      </c>
      <c r="AP26" s="228">
        <v>46284</v>
      </c>
      <c r="AR26" s="38">
        <f t="shared" si="15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180">
        <f t="shared" si="12"/>
        <v>0.77777777777777779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>+AP26</f>
        <v>46284</v>
      </c>
      <c r="BT26" s="169" t="s">
        <v>86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345.75">
      <c r="A27" s="45">
        <v>46234</v>
      </c>
      <c r="B27" s="46" t="s">
        <v>277</v>
      </c>
      <c r="C27" s="5" t="s">
        <v>77</v>
      </c>
      <c r="D27" s="47">
        <v>7503057496329</v>
      </c>
      <c r="E27" s="48" t="s">
        <v>747</v>
      </c>
      <c r="F27" s="49" t="s">
        <v>748</v>
      </c>
      <c r="G27" s="50" t="s">
        <v>60</v>
      </c>
      <c r="H27" s="51" t="s">
        <v>498</v>
      </c>
      <c r="I27" s="51" t="s">
        <v>661</v>
      </c>
      <c r="J27" s="49" t="s">
        <v>281</v>
      </c>
      <c r="K27" s="52">
        <v>1</v>
      </c>
      <c r="L27" s="49" t="s">
        <v>69</v>
      </c>
      <c r="M27" s="51"/>
      <c r="N27" s="49" t="s">
        <v>749</v>
      </c>
      <c r="O27" s="51"/>
      <c r="P27" s="49" t="s">
        <v>69</v>
      </c>
      <c r="Q27" s="49" t="s">
        <v>69</v>
      </c>
      <c r="R27" s="51" t="s">
        <v>69</v>
      </c>
      <c r="S27" s="51" t="s">
        <v>69</v>
      </c>
      <c r="T27" s="55">
        <v>8.3000000000000004E-2</v>
      </c>
      <c r="U27" s="56" t="s">
        <v>64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750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478</v>
      </c>
      <c r="AL27" s="51" t="s">
        <v>67</v>
      </c>
      <c r="AM27" s="62">
        <v>12</v>
      </c>
      <c r="AN27" s="19">
        <v>48</v>
      </c>
      <c r="AO27" s="226" t="s">
        <v>706</v>
      </c>
      <c r="AP27" s="228">
        <v>46293</v>
      </c>
      <c r="AR27" s="38">
        <f t="shared" si="15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180">
        <f t="shared" si="12"/>
        <v>0.77777777777777779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>+AP27</f>
        <v>46293</v>
      </c>
      <c r="BT27" s="169" t="s">
        <v>86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345.75">
      <c r="A28" s="45">
        <v>46234</v>
      </c>
      <c r="B28" s="46" t="s">
        <v>277</v>
      </c>
      <c r="C28" s="5" t="s">
        <v>77</v>
      </c>
      <c r="D28" s="47">
        <v>7503057496336</v>
      </c>
      <c r="E28" s="48" t="s">
        <v>751</v>
      </c>
      <c r="F28" s="49" t="s">
        <v>752</v>
      </c>
      <c r="G28" s="50" t="s">
        <v>60</v>
      </c>
      <c r="H28" s="51" t="s">
        <v>498</v>
      </c>
      <c r="I28" s="51" t="s">
        <v>661</v>
      </c>
      <c r="J28" s="49" t="s">
        <v>281</v>
      </c>
      <c r="K28" s="52">
        <v>1</v>
      </c>
      <c r="L28" s="49" t="s">
        <v>69</v>
      </c>
      <c r="M28" s="51"/>
      <c r="N28" s="49" t="s">
        <v>753</v>
      </c>
      <c r="O28" s="51"/>
      <c r="P28" s="49" t="s">
        <v>69</v>
      </c>
      <c r="Q28" s="49" t="s">
        <v>69</v>
      </c>
      <c r="R28" s="51" t="s">
        <v>69</v>
      </c>
      <c r="S28" s="51" t="s">
        <v>69</v>
      </c>
      <c r="T28" s="55">
        <v>8.3000000000000004E-2</v>
      </c>
      <c r="U28" s="56" t="s">
        <v>64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754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478</v>
      </c>
      <c r="AL28" s="51" t="s">
        <v>67</v>
      </c>
      <c r="AM28" s="62">
        <v>12</v>
      </c>
      <c r="AN28" s="19">
        <v>48</v>
      </c>
      <c r="AO28" s="226" t="s">
        <v>755</v>
      </c>
      <c r="AP28" s="228">
        <v>46312</v>
      </c>
      <c r="AR28" s="38">
        <f t="shared" si="15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180">
        <f t="shared" si="12"/>
        <v>0.77777777777777779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>+AP28</f>
        <v>46312</v>
      </c>
      <c r="BT28" s="169" t="s">
        <v>150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53.75">
      <c r="A29" s="45">
        <v>46234</v>
      </c>
      <c r="B29" s="46" t="s">
        <v>277</v>
      </c>
      <c r="C29" s="5" t="s">
        <v>77</v>
      </c>
      <c r="D29" s="47">
        <v>7503057496343</v>
      </c>
      <c r="E29" s="48" t="s">
        <v>756</v>
      </c>
      <c r="F29" s="49" t="s">
        <v>757</v>
      </c>
      <c r="G29" s="50" t="s">
        <v>60</v>
      </c>
      <c r="H29" s="51" t="s">
        <v>498</v>
      </c>
      <c r="I29" s="51" t="s">
        <v>661</v>
      </c>
      <c r="J29" s="49" t="s">
        <v>281</v>
      </c>
      <c r="K29" s="52">
        <v>1</v>
      </c>
      <c r="L29" s="49" t="s">
        <v>69</v>
      </c>
      <c r="M29" s="51"/>
      <c r="N29" s="49" t="s">
        <v>758</v>
      </c>
      <c r="O29" s="51"/>
      <c r="P29" s="49" t="s">
        <v>69</v>
      </c>
      <c r="Q29" s="49" t="s">
        <v>69</v>
      </c>
      <c r="R29" s="51" t="s">
        <v>69</v>
      </c>
      <c r="S29" s="51" t="s">
        <v>69</v>
      </c>
      <c r="T29" s="55">
        <v>8.3000000000000004E-2</v>
      </c>
      <c r="U29" s="56" t="s">
        <v>64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759</v>
      </c>
      <c r="AC29" s="57">
        <v>39</v>
      </c>
      <c r="AD29" s="58" t="s">
        <v>760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478</v>
      </c>
      <c r="AL29" s="51" t="s">
        <v>67</v>
      </c>
      <c r="AM29" s="62">
        <v>12</v>
      </c>
      <c r="AN29" s="19">
        <v>48</v>
      </c>
      <c r="AO29" s="226" t="s">
        <v>755</v>
      </c>
      <c r="AP29" s="228">
        <v>46300</v>
      </c>
      <c r="AR29" s="38">
        <f t="shared" si="15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180">
        <f t="shared" si="12"/>
        <v>0.77777777777777779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>+AP29</f>
        <v>46300</v>
      </c>
      <c r="BT29" s="169" t="s">
        <v>150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92">
      <c r="A30" s="45">
        <v>46234</v>
      </c>
      <c r="B30" s="46" t="s">
        <v>277</v>
      </c>
      <c r="C30" s="5" t="s">
        <v>77</v>
      </c>
      <c r="D30" s="47">
        <v>7503057496350</v>
      </c>
      <c r="E30" s="48" t="s">
        <v>761</v>
      </c>
      <c r="F30" s="49" t="s">
        <v>762</v>
      </c>
      <c r="G30" s="50" t="s">
        <v>60</v>
      </c>
      <c r="H30" s="51" t="s">
        <v>498</v>
      </c>
      <c r="I30" s="51" t="s">
        <v>661</v>
      </c>
      <c r="J30" s="49" t="s">
        <v>281</v>
      </c>
      <c r="K30" s="52">
        <v>1</v>
      </c>
      <c r="L30" s="49" t="s">
        <v>69</v>
      </c>
      <c r="M30" s="51"/>
      <c r="N30" s="53" t="s">
        <v>763</v>
      </c>
      <c r="O30" s="51"/>
      <c r="P30" s="49" t="s">
        <v>69</v>
      </c>
      <c r="Q30" s="49" t="s">
        <v>69</v>
      </c>
      <c r="R30" s="51" t="s">
        <v>69</v>
      </c>
      <c r="S30" s="51" t="s">
        <v>69</v>
      </c>
      <c r="T30" s="55">
        <v>8.3000000000000004E-2</v>
      </c>
      <c r="U30" s="56" t="s">
        <v>64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699</v>
      </c>
      <c r="AC30" s="57">
        <v>39</v>
      </c>
      <c r="AD30" s="53" t="s">
        <v>764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478</v>
      </c>
      <c r="AL30" s="51" t="s">
        <v>67</v>
      </c>
      <c r="AM30" s="62">
        <v>12</v>
      </c>
      <c r="AN30" s="19">
        <v>48</v>
      </c>
      <c r="AO30" s="226" t="s">
        <v>706</v>
      </c>
      <c r="AP30" s="228">
        <v>46293</v>
      </c>
      <c r="AR30" s="38">
        <f t="shared" si="15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180">
        <f t="shared" si="12"/>
        <v>0.77777777777777779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>+AP30</f>
        <v>46293</v>
      </c>
      <c r="BT30" s="169" t="s">
        <v>86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92">
      <c r="A31" s="45">
        <v>46234</v>
      </c>
      <c r="B31" s="46" t="s">
        <v>277</v>
      </c>
      <c r="C31" s="5" t="s">
        <v>77</v>
      </c>
      <c r="D31" s="47">
        <v>7503057496367</v>
      </c>
      <c r="E31" s="48" t="s">
        <v>765</v>
      </c>
      <c r="F31" s="49" t="s">
        <v>766</v>
      </c>
      <c r="G31" s="50" t="s">
        <v>60</v>
      </c>
      <c r="H31" s="51" t="s">
        <v>498</v>
      </c>
      <c r="I31" s="51" t="s">
        <v>661</v>
      </c>
      <c r="J31" s="49" t="s">
        <v>281</v>
      </c>
      <c r="K31" s="52">
        <v>1</v>
      </c>
      <c r="L31" s="416" t="s">
        <v>69</v>
      </c>
      <c r="M31" s="51"/>
      <c r="N31" s="53" t="s">
        <v>767</v>
      </c>
      <c r="O31" s="51"/>
      <c r="P31" s="49" t="s">
        <v>69</v>
      </c>
      <c r="Q31" s="49" t="s">
        <v>69</v>
      </c>
      <c r="R31" s="51" t="s">
        <v>69</v>
      </c>
      <c r="S31" s="51" t="s">
        <v>69</v>
      </c>
      <c r="T31" s="55">
        <v>8.3000000000000004E-2</v>
      </c>
      <c r="U31" s="56" t="s">
        <v>64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768</v>
      </c>
      <c r="AC31" s="57">
        <v>39</v>
      </c>
      <c r="AD31" s="58" t="s">
        <v>769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478</v>
      </c>
      <c r="AL31" s="51" t="s">
        <v>67</v>
      </c>
      <c r="AM31" s="62">
        <v>12</v>
      </c>
      <c r="AN31" s="19">
        <v>48</v>
      </c>
      <c r="AO31" s="226" t="s">
        <v>706</v>
      </c>
      <c r="AP31" s="228">
        <v>46293</v>
      </c>
      <c r="AR31" s="38">
        <f t="shared" si="15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180">
        <f t="shared" si="12"/>
        <v>0.77777777777777779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>+AP31</f>
        <v>46293</v>
      </c>
      <c r="BT31" s="169" t="s">
        <v>86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09.6">
      <c r="A32" s="45">
        <v>46234</v>
      </c>
      <c r="B32" s="46" t="s">
        <v>277</v>
      </c>
      <c r="C32" s="5" t="s">
        <v>77</v>
      </c>
      <c r="D32" s="47">
        <v>7503057496374</v>
      </c>
      <c r="E32" s="48" t="s">
        <v>770</v>
      </c>
      <c r="F32" s="49" t="s">
        <v>771</v>
      </c>
      <c r="G32" s="50"/>
      <c r="H32" s="51" t="s">
        <v>482</v>
      </c>
      <c r="I32" s="51" t="s">
        <v>661</v>
      </c>
      <c r="J32" s="49" t="s">
        <v>281</v>
      </c>
      <c r="K32" s="52">
        <v>1</v>
      </c>
      <c r="L32" s="416" t="s">
        <v>772</v>
      </c>
      <c r="M32" s="51"/>
      <c r="N32" s="53" t="s">
        <v>773</v>
      </c>
      <c r="O32" s="51"/>
      <c r="P32" s="49" t="s">
        <v>69</v>
      </c>
      <c r="Q32" s="49" t="s">
        <v>69</v>
      </c>
      <c r="R32" s="51" t="s">
        <v>69</v>
      </c>
      <c r="S32" s="51" t="s">
        <v>69</v>
      </c>
      <c r="T32" s="69">
        <v>0.7</v>
      </c>
      <c r="U32" s="56" t="s">
        <v>64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730</v>
      </c>
      <c r="AC32" s="57">
        <v>119</v>
      </c>
      <c r="AD32" s="58" t="s">
        <v>774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478</v>
      </c>
      <c r="AL32" s="51" t="s">
        <v>67</v>
      </c>
      <c r="AM32" s="62">
        <v>6</v>
      </c>
      <c r="AN32" s="19">
        <f>+AM32*12</f>
        <v>72</v>
      </c>
      <c r="AO32" s="226" t="s">
        <v>775</v>
      </c>
      <c r="AP32" s="228"/>
      <c r="AR32" s="38">
        <f t="shared" si="15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180">
        <f t="shared" si="12"/>
        <v>0.77777777777777779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>+AP32</f>
        <v>0</v>
      </c>
      <c r="BT32" s="169" t="s">
        <v>661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345.75">
      <c r="A33" s="45">
        <v>46234</v>
      </c>
      <c r="B33" s="46" t="s">
        <v>277</v>
      </c>
      <c r="C33" s="5" t="s">
        <v>77</v>
      </c>
      <c r="D33" s="47">
        <v>7503057496381</v>
      </c>
      <c r="E33" s="48" t="s">
        <v>776</v>
      </c>
      <c r="F33" s="49" t="s">
        <v>777</v>
      </c>
      <c r="G33" s="70"/>
      <c r="H33" s="51" t="s">
        <v>482</v>
      </c>
      <c r="I33" s="51" t="s">
        <v>661</v>
      </c>
      <c r="J33" s="49" t="s">
        <v>281</v>
      </c>
      <c r="K33" s="52">
        <v>1</v>
      </c>
      <c r="L33" s="416" t="s">
        <v>772</v>
      </c>
      <c r="M33" s="51"/>
      <c r="N33" s="53" t="s">
        <v>778</v>
      </c>
      <c r="O33" s="51"/>
      <c r="P33" s="49" t="s">
        <v>69</v>
      </c>
      <c r="Q33" s="49" t="s">
        <v>69</v>
      </c>
      <c r="R33" s="51" t="s">
        <v>69</v>
      </c>
      <c r="S33" s="51" t="s">
        <v>69</v>
      </c>
      <c r="T33" s="69">
        <v>0.7</v>
      </c>
      <c r="U33" s="56" t="s">
        <v>64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779</v>
      </c>
      <c r="AC33" s="57">
        <v>135</v>
      </c>
      <c r="AD33" s="58" t="s">
        <v>780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478</v>
      </c>
      <c r="AL33" s="51" t="s">
        <v>67</v>
      </c>
      <c r="AM33" s="62">
        <v>6</v>
      </c>
      <c r="AN33" s="19">
        <f>+AM33*12</f>
        <v>72</v>
      </c>
      <c r="AO33" s="226" t="s">
        <v>775</v>
      </c>
      <c r="AP33" s="225"/>
      <c r="AR33" s="38">
        <f t="shared" si="15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180">
        <f t="shared" si="12"/>
        <v>0.77777777777777779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>+AP33</f>
        <v>0</v>
      </c>
      <c r="BT33" s="169" t="s">
        <v>661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277</v>
      </c>
      <c r="C34" s="5" t="s">
        <v>77</v>
      </c>
      <c r="D34" s="47">
        <v>7503057496398</v>
      </c>
      <c r="E34" s="48" t="s">
        <v>781</v>
      </c>
      <c r="F34" s="49" t="s">
        <v>782</v>
      </c>
      <c r="G34" s="50" t="s">
        <v>60</v>
      </c>
      <c r="H34" s="71" t="s">
        <v>783</v>
      </c>
      <c r="I34" s="56" t="s">
        <v>661</v>
      </c>
      <c r="J34" s="49" t="s">
        <v>281</v>
      </c>
      <c r="K34" s="52">
        <v>1</v>
      </c>
      <c r="L34" s="515" t="s">
        <v>784</v>
      </c>
      <c r="M34" s="51"/>
      <c r="N34" s="49" t="s">
        <v>785</v>
      </c>
      <c r="O34" s="51"/>
      <c r="P34" s="72" t="s">
        <v>786</v>
      </c>
      <c r="Q34" s="49" t="s">
        <v>787</v>
      </c>
      <c r="R34" s="73" t="s">
        <v>60</v>
      </c>
      <c r="S34" s="49" t="s">
        <v>788</v>
      </c>
      <c r="T34" s="55">
        <v>0.55000000000000004</v>
      </c>
      <c r="U34" s="56" t="s">
        <v>64</v>
      </c>
      <c r="V34" s="56">
        <v>10000</v>
      </c>
      <c r="W34" s="57" t="e">
        <f t="shared" si="13"/>
        <v>#VALUE!</v>
      </c>
      <c r="X34" s="57" t="e">
        <f t="shared" ref="X34:X43" si="16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768</v>
      </c>
      <c r="AC34" s="57">
        <v>199</v>
      </c>
      <c r="AD34" s="58" t="s">
        <v>789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790</v>
      </c>
      <c r="AL34" s="51" t="s">
        <v>67</v>
      </c>
      <c r="AM34" s="62">
        <v>6</v>
      </c>
      <c r="AN34" s="19">
        <f t="shared" ref="AN34:AN43" si="17">+AM34*24</f>
        <v>144</v>
      </c>
      <c r="AO34" s="226" t="s">
        <v>791</v>
      </c>
      <c r="AP34" s="228">
        <v>46296</v>
      </c>
      <c r="AR34" s="38">
        <f t="shared" si="15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180">
        <f t="shared" si="12"/>
        <v>0.77777777777777779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>+AP34</f>
        <v>46296</v>
      </c>
      <c r="BT34" s="169" t="s">
        <v>86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384.75">
      <c r="A35" s="45">
        <v>46234</v>
      </c>
      <c r="B35" s="46" t="s">
        <v>277</v>
      </c>
      <c r="C35" s="5" t="s">
        <v>77</v>
      </c>
      <c r="D35" s="47">
        <v>7503057496404</v>
      </c>
      <c r="E35" s="48" t="s">
        <v>792</v>
      </c>
      <c r="F35" s="49" t="s">
        <v>793</v>
      </c>
      <c r="G35" s="50" t="s">
        <v>60</v>
      </c>
      <c r="H35" s="71" t="s">
        <v>783</v>
      </c>
      <c r="I35" s="56" t="s">
        <v>661</v>
      </c>
      <c r="J35" s="49" t="s">
        <v>281</v>
      </c>
      <c r="K35" s="52">
        <v>1</v>
      </c>
      <c r="L35" s="515"/>
      <c r="M35" s="51"/>
      <c r="N35" s="49" t="s">
        <v>794</v>
      </c>
      <c r="O35" s="51"/>
      <c r="P35" s="416" t="s">
        <v>795</v>
      </c>
      <c r="Q35" s="49" t="s">
        <v>796</v>
      </c>
      <c r="R35" s="49" t="s">
        <v>60</v>
      </c>
      <c r="S35" s="49" t="s">
        <v>788</v>
      </c>
      <c r="T35" s="55">
        <v>0.55000000000000004</v>
      </c>
      <c r="U35" s="56" t="s">
        <v>64</v>
      </c>
      <c r="V35" s="56">
        <v>10000</v>
      </c>
      <c r="W35" s="57" t="e">
        <f t="shared" si="13"/>
        <v>#VALUE!</v>
      </c>
      <c r="X35" s="57" t="e">
        <f t="shared" si="16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768</v>
      </c>
      <c r="AC35" s="57">
        <v>199</v>
      </c>
      <c r="AD35" s="58" t="s">
        <v>789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790</v>
      </c>
      <c r="AL35" s="51" t="s">
        <v>67</v>
      </c>
      <c r="AM35" s="62">
        <v>6</v>
      </c>
      <c r="AN35" s="19">
        <f t="shared" si="17"/>
        <v>144</v>
      </c>
      <c r="AO35" s="226" t="s">
        <v>791</v>
      </c>
      <c r="AP35" s="228">
        <v>46296</v>
      </c>
      <c r="AR35" s="38">
        <f t="shared" si="15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180">
        <f t="shared" si="12"/>
        <v>0.77777777777777779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>+AP35</f>
        <v>46296</v>
      </c>
      <c r="BT35" s="169" t="s">
        <v>86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345.75">
      <c r="A36" s="45">
        <v>46234</v>
      </c>
      <c r="B36" s="46" t="s">
        <v>277</v>
      </c>
      <c r="C36" s="5" t="s">
        <v>77</v>
      </c>
      <c r="D36" s="47">
        <v>7503057496411</v>
      </c>
      <c r="E36" s="48" t="s">
        <v>797</v>
      </c>
      <c r="F36" s="49" t="s">
        <v>798</v>
      </c>
      <c r="G36" s="50" t="s">
        <v>60</v>
      </c>
      <c r="H36" s="71" t="s">
        <v>783</v>
      </c>
      <c r="I36" s="56" t="s">
        <v>661</v>
      </c>
      <c r="J36" s="49" t="s">
        <v>281</v>
      </c>
      <c r="K36" s="52">
        <v>1</v>
      </c>
      <c r="L36" s="515"/>
      <c r="M36" s="51"/>
      <c r="N36" s="49" t="s">
        <v>799</v>
      </c>
      <c r="O36" s="51"/>
      <c r="P36" s="416" t="s">
        <v>800</v>
      </c>
      <c r="Q36" s="49" t="s">
        <v>801</v>
      </c>
      <c r="R36" s="49" t="s">
        <v>60</v>
      </c>
      <c r="S36" s="49" t="s">
        <v>788</v>
      </c>
      <c r="T36" s="55">
        <v>0.55000000000000004</v>
      </c>
      <c r="U36" s="56" t="s">
        <v>64</v>
      </c>
      <c r="V36" s="56">
        <v>10000</v>
      </c>
      <c r="W36" s="57" t="e">
        <f t="shared" si="13"/>
        <v>#VALUE!</v>
      </c>
      <c r="X36" s="57" t="e">
        <f t="shared" si="16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768</v>
      </c>
      <c r="AC36" s="57">
        <v>199</v>
      </c>
      <c r="AD36" s="58" t="s">
        <v>789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790</v>
      </c>
      <c r="AL36" s="51" t="s">
        <v>67</v>
      </c>
      <c r="AM36" s="62">
        <v>6</v>
      </c>
      <c r="AN36" s="19">
        <f t="shared" si="17"/>
        <v>144</v>
      </c>
      <c r="AO36" s="226" t="s">
        <v>791</v>
      </c>
      <c r="AP36" s="228">
        <v>46296</v>
      </c>
      <c r="AR36" s="38">
        <f t="shared" si="15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180">
        <f t="shared" si="12"/>
        <v>0.77777777777777779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>+AP36</f>
        <v>46296</v>
      </c>
      <c r="BT36" s="169" t="s">
        <v>86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384.75">
      <c r="A37" s="45">
        <v>46234</v>
      </c>
      <c r="B37" s="46" t="s">
        <v>277</v>
      </c>
      <c r="C37" s="5" t="s">
        <v>77</v>
      </c>
      <c r="D37" s="47">
        <v>7503057496428</v>
      </c>
      <c r="E37" s="48" t="s">
        <v>802</v>
      </c>
      <c r="F37" s="49" t="s">
        <v>803</v>
      </c>
      <c r="G37" s="50" t="s">
        <v>60</v>
      </c>
      <c r="H37" s="71" t="s">
        <v>783</v>
      </c>
      <c r="I37" s="56" t="s">
        <v>661</v>
      </c>
      <c r="J37" s="49" t="s">
        <v>281</v>
      </c>
      <c r="K37" s="52">
        <v>1</v>
      </c>
      <c r="L37" s="515"/>
      <c r="M37" s="51"/>
      <c r="N37" s="49" t="s">
        <v>804</v>
      </c>
      <c r="O37" s="51"/>
      <c r="P37" s="416" t="s">
        <v>805</v>
      </c>
      <c r="Q37" s="49" t="s">
        <v>806</v>
      </c>
      <c r="R37" s="49" t="s">
        <v>60</v>
      </c>
      <c r="S37" s="49" t="s">
        <v>788</v>
      </c>
      <c r="T37" s="55">
        <v>0.55000000000000004</v>
      </c>
      <c r="U37" s="56" t="s">
        <v>64</v>
      </c>
      <c r="V37" s="56">
        <v>10000</v>
      </c>
      <c r="W37" s="57" t="e">
        <f t="shared" si="13"/>
        <v>#VALUE!</v>
      </c>
      <c r="X37" s="57" t="e">
        <f t="shared" si="16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768</v>
      </c>
      <c r="AC37" s="57">
        <v>199</v>
      </c>
      <c r="AD37" s="58" t="s">
        <v>789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790</v>
      </c>
      <c r="AL37" s="51" t="s">
        <v>67</v>
      </c>
      <c r="AM37" s="62">
        <v>6</v>
      </c>
      <c r="AN37" s="19">
        <f t="shared" si="17"/>
        <v>144</v>
      </c>
      <c r="AO37" s="226" t="s">
        <v>791</v>
      </c>
      <c r="AP37" s="228">
        <v>46296</v>
      </c>
      <c r="AR37" s="38">
        <f t="shared" si="15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180">
        <f t="shared" si="12"/>
        <v>0.77777777777777779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>+AP37</f>
        <v>46296</v>
      </c>
      <c r="BT37" s="169" t="s">
        <v>86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384.75">
      <c r="A38" s="45">
        <v>46234</v>
      </c>
      <c r="B38" s="46" t="s">
        <v>277</v>
      </c>
      <c r="C38" s="5" t="s">
        <v>77</v>
      </c>
      <c r="D38" s="47">
        <v>7503057496435</v>
      </c>
      <c r="E38" s="48" t="s">
        <v>807</v>
      </c>
      <c r="F38" s="49" t="s">
        <v>808</v>
      </c>
      <c r="G38" s="50" t="s">
        <v>60</v>
      </c>
      <c r="H38" s="71" t="s">
        <v>783</v>
      </c>
      <c r="I38" s="56" t="s">
        <v>661</v>
      </c>
      <c r="J38" s="49" t="s">
        <v>281</v>
      </c>
      <c r="K38" s="52">
        <v>1</v>
      </c>
      <c r="L38" s="515"/>
      <c r="M38" s="51"/>
      <c r="N38" s="49" t="s">
        <v>809</v>
      </c>
      <c r="O38" s="51"/>
      <c r="P38" s="416" t="s">
        <v>810</v>
      </c>
      <c r="Q38" s="49" t="s">
        <v>811</v>
      </c>
      <c r="R38" s="49" t="s">
        <v>60</v>
      </c>
      <c r="S38" s="49" t="s">
        <v>788</v>
      </c>
      <c r="T38" s="55">
        <v>0.55000000000000004</v>
      </c>
      <c r="U38" s="56" t="s">
        <v>64</v>
      </c>
      <c r="V38" s="56">
        <v>10000</v>
      </c>
      <c r="W38" s="57" t="e">
        <f t="shared" si="13"/>
        <v>#VALUE!</v>
      </c>
      <c r="X38" s="57" t="e">
        <f t="shared" si="16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768</v>
      </c>
      <c r="AC38" s="57">
        <v>199</v>
      </c>
      <c r="AD38" s="58" t="s">
        <v>789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790</v>
      </c>
      <c r="AL38" s="51" t="s">
        <v>67</v>
      </c>
      <c r="AM38" s="62">
        <v>6</v>
      </c>
      <c r="AN38" s="19">
        <f t="shared" si="17"/>
        <v>144</v>
      </c>
      <c r="AO38" s="226" t="s">
        <v>791</v>
      </c>
      <c r="AP38" s="228">
        <v>46296</v>
      </c>
      <c r="AR38" s="38">
        <f t="shared" si="15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180">
        <f t="shared" si="12"/>
        <v>0.77777777777777779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>+AP38</f>
        <v>46296</v>
      </c>
      <c r="BT38" s="169" t="s">
        <v>86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384.75">
      <c r="A39" s="45">
        <v>46234</v>
      </c>
      <c r="B39" s="46" t="s">
        <v>277</v>
      </c>
      <c r="C39" s="5" t="s">
        <v>77</v>
      </c>
      <c r="D39" s="47">
        <v>7503057496442</v>
      </c>
      <c r="E39" s="48" t="s">
        <v>812</v>
      </c>
      <c r="F39" s="49" t="s">
        <v>813</v>
      </c>
      <c r="G39" s="50" t="s">
        <v>60</v>
      </c>
      <c r="H39" s="71" t="s">
        <v>783</v>
      </c>
      <c r="I39" s="56" t="s">
        <v>661</v>
      </c>
      <c r="J39" s="49" t="s">
        <v>281</v>
      </c>
      <c r="K39" s="52">
        <v>1</v>
      </c>
      <c r="L39" s="515"/>
      <c r="M39" s="51"/>
      <c r="N39" s="49" t="s">
        <v>814</v>
      </c>
      <c r="O39" s="51"/>
      <c r="P39" s="416" t="s">
        <v>815</v>
      </c>
      <c r="Q39" s="49" t="s">
        <v>816</v>
      </c>
      <c r="R39" s="49" t="s">
        <v>60</v>
      </c>
      <c r="S39" s="49" t="s">
        <v>788</v>
      </c>
      <c r="T39" s="55">
        <v>0.55000000000000004</v>
      </c>
      <c r="U39" s="56" t="s">
        <v>64</v>
      </c>
      <c r="V39" s="56">
        <v>10000</v>
      </c>
      <c r="W39" s="57" t="e">
        <f t="shared" si="13"/>
        <v>#VALUE!</v>
      </c>
      <c r="X39" s="57" t="e">
        <f t="shared" si="16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768</v>
      </c>
      <c r="AC39" s="57">
        <v>199</v>
      </c>
      <c r="AD39" s="58" t="s">
        <v>789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790</v>
      </c>
      <c r="AL39" s="51" t="s">
        <v>67</v>
      </c>
      <c r="AM39" s="62">
        <v>6</v>
      </c>
      <c r="AN39" s="19">
        <f t="shared" si="17"/>
        <v>144</v>
      </c>
      <c r="AO39" s="226" t="s">
        <v>791</v>
      </c>
      <c r="AP39" s="228">
        <v>46296</v>
      </c>
      <c r="AR39" s="38">
        <f t="shared" si="15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180">
        <f t="shared" si="12"/>
        <v>0.77777777777777779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>+AP39</f>
        <v>46296</v>
      </c>
      <c r="BT39" s="169" t="s">
        <v>86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277</v>
      </c>
      <c r="C40" s="5" t="s">
        <v>77</v>
      </c>
      <c r="D40" s="47">
        <v>7503057496459</v>
      </c>
      <c r="E40" s="48" t="s">
        <v>817</v>
      </c>
      <c r="F40" s="49" t="s">
        <v>818</v>
      </c>
      <c r="G40" s="50" t="s">
        <v>60</v>
      </c>
      <c r="H40" s="71" t="s">
        <v>783</v>
      </c>
      <c r="I40" s="56" t="s">
        <v>661</v>
      </c>
      <c r="J40" s="49" t="s">
        <v>281</v>
      </c>
      <c r="K40" s="52">
        <v>1</v>
      </c>
      <c r="L40" s="515" t="s">
        <v>784</v>
      </c>
      <c r="M40" s="51"/>
      <c r="N40" s="74"/>
      <c r="O40" s="51"/>
      <c r="P40" s="415" t="s">
        <v>819</v>
      </c>
      <c r="Q40" s="49" t="s">
        <v>820</v>
      </c>
      <c r="R40" s="51" t="s">
        <v>60</v>
      </c>
      <c r="S40" s="49" t="s">
        <v>821</v>
      </c>
      <c r="T40" s="55">
        <v>0.55000000000000004</v>
      </c>
      <c r="U40" s="56" t="s">
        <v>64</v>
      </c>
      <c r="V40" s="56">
        <v>10000</v>
      </c>
      <c r="W40" s="57" t="e">
        <f t="shared" si="13"/>
        <v>#VALUE!</v>
      </c>
      <c r="X40" s="57" t="e">
        <f t="shared" si="16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768</v>
      </c>
      <c r="AC40" s="57">
        <v>199</v>
      </c>
      <c r="AD40" s="58" t="s">
        <v>822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790</v>
      </c>
      <c r="AL40" s="51" t="s">
        <v>67</v>
      </c>
      <c r="AM40" s="62">
        <v>6</v>
      </c>
      <c r="AN40" s="19">
        <f t="shared" si="17"/>
        <v>144</v>
      </c>
      <c r="AO40" s="226" t="s">
        <v>791</v>
      </c>
      <c r="AP40" s="228">
        <v>46296</v>
      </c>
      <c r="AR40" s="38">
        <f t="shared" si="15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180">
        <f t="shared" si="12"/>
        <v>0.77777777777777779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>+AP40</f>
        <v>46296</v>
      </c>
      <c r="BT40" s="169" t="s">
        <v>86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6">
      <c r="A41" s="45">
        <v>46234</v>
      </c>
      <c r="B41" s="46" t="s">
        <v>277</v>
      </c>
      <c r="C41" s="5" t="s">
        <v>77</v>
      </c>
      <c r="D41" s="47">
        <v>7503057496466</v>
      </c>
      <c r="E41" s="48" t="s">
        <v>823</v>
      </c>
      <c r="F41" s="49" t="s">
        <v>824</v>
      </c>
      <c r="G41" s="50" t="s">
        <v>60</v>
      </c>
      <c r="H41" s="71" t="s">
        <v>783</v>
      </c>
      <c r="I41" s="56" t="s">
        <v>661</v>
      </c>
      <c r="J41" s="49" t="s">
        <v>281</v>
      </c>
      <c r="K41" s="52">
        <v>1</v>
      </c>
      <c r="L41" s="515"/>
      <c r="M41" s="51"/>
      <c r="N41" s="49" t="s">
        <v>825</v>
      </c>
      <c r="O41" s="51"/>
      <c r="P41" s="415" t="s">
        <v>826</v>
      </c>
      <c r="Q41" s="49" t="s">
        <v>827</v>
      </c>
      <c r="R41" s="51" t="s">
        <v>60</v>
      </c>
      <c r="S41" s="49" t="s">
        <v>821</v>
      </c>
      <c r="T41" s="55">
        <v>0.55000000000000004</v>
      </c>
      <c r="U41" s="56" t="s">
        <v>64</v>
      </c>
      <c r="V41" s="56">
        <v>10000</v>
      </c>
      <c r="W41" s="57" t="e">
        <f t="shared" si="13"/>
        <v>#VALUE!</v>
      </c>
      <c r="X41" s="57" t="e">
        <f t="shared" si="16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768</v>
      </c>
      <c r="AC41" s="57">
        <v>199</v>
      </c>
      <c r="AD41" s="58" t="s">
        <v>822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790</v>
      </c>
      <c r="AL41" s="51" t="s">
        <v>67</v>
      </c>
      <c r="AM41" s="62">
        <v>6</v>
      </c>
      <c r="AN41" s="19">
        <f t="shared" si="17"/>
        <v>144</v>
      </c>
      <c r="AO41" s="226" t="s">
        <v>791</v>
      </c>
      <c r="AP41" s="228">
        <v>46296</v>
      </c>
      <c r="AR41" s="38">
        <f t="shared" si="15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180">
        <f t="shared" si="12"/>
        <v>0.77777777777777779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>+AP41</f>
        <v>46296</v>
      </c>
      <c r="BT41" s="169" t="s">
        <v>86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6">
      <c r="A42" s="45">
        <v>46234</v>
      </c>
      <c r="B42" s="46" t="s">
        <v>277</v>
      </c>
      <c r="C42" s="5" t="s">
        <v>77</v>
      </c>
      <c r="D42" s="47">
        <v>7503057496473</v>
      </c>
      <c r="E42" s="48" t="s">
        <v>828</v>
      </c>
      <c r="F42" s="49" t="s">
        <v>829</v>
      </c>
      <c r="G42" s="50" t="s">
        <v>60</v>
      </c>
      <c r="H42" s="71" t="s">
        <v>783</v>
      </c>
      <c r="I42" s="56" t="s">
        <v>661</v>
      </c>
      <c r="J42" s="49" t="s">
        <v>281</v>
      </c>
      <c r="K42" s="52">
        <v>1</v>
      </c>
      <c r="L42" s="515"/>
      <c r="M42" s="51"/>
      <c r="N42" s="49" t="s">
        <v>830</v>
      </c>
      <c r="O42" s="51"/>
      <c r="P42" s="415" t="s">
        <v>831</v>
      </c>
      <c r="Q42" s="49" t="s">
        <v>832</v>
      </c>
      <c r="R42" s="51" t="s">
        <v>60</v>
      </c>
      <c r="S42" s="49" t="s">
        <v>821</v>
      </c>
      <c r="T42" s="55">
        <v>0.55000000000000004</v>
      </c>
      <c r="U42" s="56" t="s">
        <v>64</v>
      </c>
      <c r="V42" s="56">
        <v>10000</v>
      </c>
      <c r="W42" s="57" t="e">
        <f t="shared" si="13"/>
        <v>#VALUE!</v>
      </c>
      <c r="X42" s="57" t="e">
        <f t="shared" si="16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768</v>
      </c>
      <c r="AC42" s="57">
        <v>199</v>
      </c>
      <c r="AD42" s="58" t="s">
        <v>822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790</v>
      </c>
      <c r="AL42" s="51" t="s">
        <v>67</v>
      </c>
      <c r="AM42" s="62">
        <v>6</v>
      </c>
      <c r="AN42" s="19">
        <f t="shared" si="17"/>
        <v>144</v>
      </c>
      <c r="AO42" s="226" t="s">
        <v>791</v>
      </c>
      <c r="AP42" s="228">
        <v>46296</v>
      </c>
      <c r="AR42" s="38">
        <f t="shared" si="15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180">
        <f t="shared" si="12"/>
        <v>0.77777777777777779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>+AP42</f>
        <v>46296</v>
      </c>
      <c r="BT42" s="169" t="s">
        <v>86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6">
      <c r="A43" s="45">
        <v>46234</v>
      </c>
      <c r="B43" s="46" t="s">
        <v>277</v>
      </c>
      <c r="C43" s="5" t="s">
        <v>77</v>
      </c>
      <c r="D43" s="47">
        <v>7503057496480</v>
      </c>
      <c r="E43" s="48" t="s">
        <v>833</v>
      </c>
      <c r="F43" s="49" t="s">
        <v>834</v>
      </c>
      <c r="G43" s="50" t="s">
        <v>60</v>
      </c>
      <c r="H43" s="71" t="s">
        <v>783</v>
      </c>
      <c r="I43" s="56" t="s">
        <v>661</v>
      </c>
      <c r="J43" s="49" t="s">
        <v>281</v>
      </c>
      <c r="K43" s="52">
        <v>1</v>
      </c>
      <c r="L43" s="515"/>
      <c r="M43" s="51"/>
      <c r="N43" s="49" t="s">
        <v>835</v>
      </c>
      <c r="O43" s="51"/>
      <c r="P43" s="415" t="s">
        <v>836</v>
      </c>
      <c r="Q43" s="49" t="s">
        <v>837</v>
      </c>
      <c r="R43" s="51" t="s">
        <v>60</v>
      </c>
      <c r="S43" s="49" t="s">
        <v>821</v>
      </c>
      <c r="T43" s="55">
        <v>0.55000000000000004</v>
      </c>
      <c r="U43" s="56" t="s">
        <v>64</v>
      </c>
      <c r="V43" s="56">
        <v>10000</v>
      </c>
      <c r="W43" s="57" t="e">
        <f t="shared" si="13"/>
        <v>#VALUE!</v>
      </c>
      <c r="X43" s="57" t="e">
        <f t="shared" si="16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768</v>
      </c>
      <c r="AC43" s="57">
        <v>199</v>
      </c>
      <c r="AD43" s="58" t="s">
        <v>822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790</v>
      </c>
      <c r="AL43" s="51" t="s">
        <v>67</v>
      </c>
      <c r="AM43" s="62">
        <v>6</v>
      </c>
      <c r="AN43" s="19">
        <f t="shared" si="17"/>
        <v>144</v>
      </c>
      <c r="AO43" s="226" t="s">
        <v>791</v>
      </c>
      <c r="AP43" s="228">
        <v>46296</v>
      </c>
      <c r="AR43" s="38">
        <f t="shared" si="15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180">
        <f t="shared" si="12"/>
        <v>0.77777777777777779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>+AP43</f>
        <v>46296</v>
      </c>
      <c r="BT43" s="169" t="s">
        <v>86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174</v>
      </c>
      <c r="C44" s="5" t="s">
        <v>248</v>
      </c>
      <c r="D44" s="47">
        <v>7503057496497</v>
      </c>
      <c r="E44" s="48" t="s">
        <v>838</v>
      </c>
      <c r="F44" s="49" t="s">
        <v>839</v>
      </c>
      <c r="G44" s="50" t="s">
        <v>60</v>
      </c>
      <c r="H44" s="71" t="s">
        <v>840</v>
      </c>
      <c r="I44" s="56" t="s">
        <v>661</v>
      </c>
      <c r="J44" s="49" t="s">
        <v>281</v>
      </c>
      <c r="K44" s="52">
        <v>1</v>
      </c>
      <c r="L44" s="516" t="s">
        <v>841</v>
      </c>
      <c r="M44" s="51"/>
      <c r="N44" s="49" t="s">
        <v>842</v>
      </c>
      <c r="O44" s="51"/>
      <c r="P44" s="58" t="s">
        <v>843</v>
      </c>
      <c r="Q44" s="49" t="s">
        <v>844</v>
      </c>
      <c r="R44" s="49" t="s">
        <v>60</v>
      </c>
      <c r="S44" s="49" t="s">
        <v>845</v>
      </c>
      <c r="T44" s="55">
        <v>0.43</v>
      </c>
      <c r="U44" s="56" t="s">
        <v>64</v>
      </c>
      <c r="V44" s="56">
        <v>10000</v>
      </c>
      <c r="W44" s="57" t="e">
        <f t="shared" si="13"/>
        <v>#VALUE!</v>
      </c>
      <c r="X44" s="57" t="e">
        <f t="shared" ref="X44:X62" si="18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759</v>
      </c>
      <c r="AC44" s="57">
        <v>95</v>
      </c>
      <c r="AD44" s="58" t="s">
        <v>846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847</v>
      </c>
      <c r="AL44" s="51" t="s">
        <v>67</v>
      </c>
      <c r="AM44" s="62">
        <v>6</v>
      </c>
      <c r="AN44" s="19">
        <f t="shared" ref="AN44:AN49" si="19">+AM44*12</f>
        <v>72</v>
      </c>
      <c r="AO44" s="226" t="s">
        <v>848</v>
      </c>
      <c r="AP44" s="228">
        <v>46325</v>
      </c>
      <c r="AR44" s="38">
        <f t="shared" si="15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180">
        <f t="shared" si="12"/>
        <v>0.77777777777777779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>+AP44</f>
        <v>46325</v>
      </c>
      <c r="BT44" s="169" t="s">
        <v>661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4.95" customHeight="1">
      <c r="A45" s="45">
        <v>46234</v>
      </c>
      <c r="B45" s="46" t="s">
        <v>174</v>
      </c>
      <c r="C45" s="5" t="s">
        <v>248</v>
      </c>
      <c r="D45" s="47">
        <v>7503057496503</v>
      </c>
      <c r="E45" s="48" t="s">
        <v>849</v>
      </c>
      <c r="F45" s="49" t="s">
        <v>850</v>
      </c>
      <c r="G45" s="50" t="s">
        <v>60</v>
      </c>
      <c r="H45" s="71" t="s">
        <v>840</v>
      </c>
      <c r="I45" s="56" t="s">
        <v>661</v>
      </c>
      <c r="J45" s="49" t="s">
        <v>281</v>
      </c>
      <c r="K45" s="52">
        <v>1</v>
      </c>
      <c r="L45" s="516"/>
      <c r="M45" s="51"/>
      <c r="N45" s="49" t="s">
        <v>851</v>
      </c>
      <c r="O45" s="75"/>
      <c r="P45" s="58" t="s">
        <v>852</v>
      </c>
      <c r="Q45" s="49" t="s">
        <v>853</v>
      </c>
      <c r="R45" s="49" t="s">
        <v>60</v>
      </c>
      <c r="S45" s="49" t="s">
        <v>845</v>
      </c>
      <c r="T45" s="55">
        <v>0.43</v>
      </c>
      <c r="U45" s="56" t="s">
        <v>64</v>
      </c>
      <c r="V45" s="56">
        <v>10000</v>
      </c>
      <c r="W45" s="57" t="e">
        <f t="shared" si="13"/>
        <v>#VALUE!</v>
      </c>
      <c r="X45" s="57" t="e">
        <f t="shared" si="18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759</v>
      </c>
      <c r="AC45" s="57">
        <v>95</v>
      </c>
      <c r="AD45" s="58" t="s">
        <v>846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847</v>
      </c>
      <c r="AL45" s="51" t="s">
        <v>67</v>
      </c>
      <c r="AM45" s="62">
        <v>6</v>
      </c>
      <c r="AN45" s="19">
        <f t="shared" si="19"/>
        <v>72</v>
      </c>
      <c r="AO45" s="226" t="s">
        <v>848</v>
      </c>
      <c r="AP45" s="228">
        <v>46325</v>
      </c>
      <c r="AR45" s="38">
        <f t="shared" si="15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180">
        <f t="shared" si="12"/>
        <v>0.77777777777777779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>+AP45</f>
        <v>46325</v>
      </c>
      <c r="BT45" s="169" t="s">
        <v>661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4.95" customHeight="1">
      <c r="A46" s="45">
        <v>46234</v>
      </c>
      <c r="B46" s="46" t="s">
        <v>174</v>
      </c>
      <c r="C46" s="5" t="s">
        <v>248</v>
      </c>
      <c r="D46" s="47">
        <v>7503057496510</v>
      </c>
      <c r="E46" s="48" t="s">
        <v>854</v>
      </c>
      <c r="F46" s="49" t="s">
        <v>855</v>
      </c>
      <c r="G46" s="50" t="s">
        <v>60</v>
      </c>
      <c r="H46" s="71" t="s">
        <v>840</v>
      </c>
      <c r="I46" s="56" t="s">
        <v>661</v>
      </c>
      <c r="J46" s="49" t="s">
        <v>281</v>
      </c>
      <c r="K46" s="52">
        <v>1</v>
      </c>
      <c r="L46" s="516"/>
      <c r="M46" s="51"/>
      <c r="N46" s="49" t="s">
        <v>856</v>
      </c>
      <c r="O46" s="75"/>
      <c r="P46" s="58" t="s">
        <v>857</v>
      </c>
      <c r="Q46" s="49" t="s">
        <v>858</v>
      </c>
      <c r="R46" s="76" t="s">
        <v>60</v>
      </c>
      <c r="S46" s="49" t="s">
        <v>845</v>
      </c>
      <c r="T46" s="55">
        <v>0.43</v>
      </c>
      <c r="U46" s="56" t="s">
        <v>64</v>
      </c>
      <c r="V46" s="56">
        <v>10000</v>
      </c>
      <c r="W46" s="57" t="e">
        <f t="shared" si="13"/>
        <v>#VALUE!</v>
      </c>
      <c r="X46" s="57" t="e">
        <f t="shared" si="18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759</v>
      </c>
      <c r="AC46" s="57">
        <v>95</v>
      </c>
      <c r="AD46" s="58" t="s">
        <v>846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847</v>
      </c>
      <c r="AL46" s="51" t="s">
        <v>67</v>
      </c>
      <c r="AM46" s="62">
        <v>6</v>
      </c>
      <c r="AN46" s="19">
        <f t="shared" si="19"/>
        <v>72</v>
      </c>
      <c r="AO46" s="226" t="s">
        <v>848</v>
      </c>
      <c r="AP46" s="228">
        <v>46325</v>
      </c>
      <c r="AR46" s="38">
        <f t="shared" si="15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180">
        <f t="shared" si="12"/>
        <v>0.77777777777777779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>+AP46</f>
        <v>46325</v>
      </c>
      <c r="BT46" s="169" t="s">
        <v>661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4.95" customHeight="1">
      <c r="A47" s="45">
        <v>46234</v>
      </c>
      <c r="B47" s="46" t="s">
        <v>174</v>
      </c>
      <c r="C47" s="5" t="s">
        <v>248</v>
      </c>
      <c r="D47" s="47">
        <v>7503057496527</v>
      </c>
      <c r="E47" s="48" t="s">
        <v>859</v>
      </c>
      <c r="F47" s="49" t="s">
        <v>860</v>
      </c>
      <c r="G47" s="50" t="s">
        <v>60</v>
      </c>
      <c r="H47" s="71" t="s">
        <v>840</v>
      </c>
      <c r="I47" s="56" t="s">
        <v>661</v>
      </c>
      <c r="J47" s="49" t="s">
        <v>281</v>
      </c>
      <c r="K47" s="52">
        <v>1</v>
      </c>
      <c r="L47" s="516"/>
      <c r="M47" s="51"/>
      <c r="N47" s="49" t="s">
        <v>861</v>
      </c>
      <c r="O47" s="51"/>
      <c r="P47" s="58" t="s">
        <v>862</v>
      </c>
      <c r="Q47" s="49" t="s">
        <v>863</v>
      </c>
      <c r="R47" s="76" t="s">
        <v>60</v>
      </c>
      <c r="S47" s="49" t="s">
        <v>845</v>
      </c>
      <c r="T47" s="55">
        <v>0.43</v>
      </c>
      <c r="U47" s="56" t="s">
        <v>64</v>
      </c>
      <c r="V47" s="56">
        <v>10000</v>
      </c>
      <c r="W47" s="57" t="e">
        <f t="shared" si="13"/>
        <v>#VALUE!</v>
      </c>
      <c r="X47" s="57" t="e">
        <f t="shared" si="18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759</v>
      </c>
      <c r="AC47" s="57">
        <v>95</v>
      </c>
      <c r="AD47" s="58" t="s">
        <v>846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847</v>
      </c>
      <c r="AL47" s="51" t="s">
        <v>67</v>
      </c>
      <c r="AM47" s="62">
        <v>6</v>
      </c>
      <c r="AN47" s="19">
        <f t="shared" si="19"/>
        <v>72</v>
      </c>
      <c r="AO47" s="226" t="s">
        <v>848</v>
      </c>
      <c r="AP47" s="228">
        <v>46325</v>
      </c>
      <c r="AR47" s="38">
        <f t="shared" si="15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180">
        <f t="shared" si="12"/>
        <v>0.77777777777777779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>+AP47</f>
        <v>46325</v>
      </c>
      <c r="BT47" s="169" t="s">
        <v>661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4.95" customHeight="1">
      <c r="A48" s="45">
        <v>46234</v>
      </c>
      <c r="B48" s="46" t="s">
        <v>174</v>
      </c>
      <c r="C48" s="5" t="s">
        <v>248</v>
      </c>
      <c r="D48" s="47">
        <v>7503057496534</v>
      </c>
      <c r="E48" s="48" t="s">
        <v>864</v>
      </c>
      <c r="F48" s="49" t="s">
        <v>865</v>
      </c>
      <c r="G48" s="50" t="s">
        <v>60</v>
      </c>
      <c r="H48" s="71" t="s">
        <v>840</v>
      </c>
      <c r="I48" s="56" t="s">
        <v>661</v>
      </c>
      <c r="J48" s="49" t="s">
        <v>281</v>
      </c>
      <c r="K48" s="52">
        <v>1</v>
      </c>
      <c r="L48" s="516"/>
      <c r="M48" s="51"/>
      <c r="N48" s="49" t="s">
        <v>866</v>
      </c>
      <c r="O48" s="51"/>
      <c r="P48" s="58" t="s">
        <v>867</v>
      </c>
      <c r="Q48" s="49" t="s">
        <v>868</v>
      </c>
      <c r="R48" s="76" t="s">
        <v>60</v>
      </c>
      <c r="S48" s="49" t="s">
        <v>845</v>
      </c>
      <c r="T48" s="55">
        <v>0.43</v>
      </c>
      <c r="U48" s="56" t="s">
        <v>64</v>
      </c>
      <c r="V48" s="56">
        <v>10000</v>
      </c>
      <c r="W48" s="57" t="e">
        <f t="shared" si="13"/>
        <v>#VALUE!</v>
      </c>
      <c r="X48" s="57" t="e">
        <f t="shared" si="18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759</v>
      </c>
      <c r="AC48" s="57">
        <v>95</v>
      </c>
      <c r="AD48" s="58" t="s">
        <v>846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847</v>
      </c>
      <c r="AL48" s="51" t="s">
        <v>67</v>
      </c>
      <c r="AM48" s="62">
        <v>6</v>
      </c>
      <c r="AN48" s="19">
        <f t="shared" si="19"/>
        <v>72</v>
      </c>
      <c r="AO48" s="226" t="s">
        <v>848</v>
      </c>
      <c r="AP48" s="228">
        <v>46325</v>
      </c>
      <c r="AR48" s="38">
        <f t="shared" si="15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180">
        <f t="shared" si="12"/>
        <v>0.77777777777777779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>+AP48</f>
        <v>46325</v>
      </c>
      <c r="BT48" s="169" t="s">
        <v>661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4.95" customHeight="1">
      <c r="A49" s="45">
        <v>46234</v>
      </c>
      <c r="B49" s="46" t="s">
        <v>174</v>
      </c>
      <c r="C49" s="5" t="s">
        <v>248</v>
      </c>
      <c r="D49" s="47">
        <v>7503057496541</v>
      </c>
      <c r="E49" s="48" t="s">
        <v>869</v>
      </c>
      <c r="F49" s="49" t="s">
        <v>870</v>
      </c>
      <c r="G49" s="50" t="s">
        <v>60</v>
      </c>
      <c r="H49" s="71" t="s">
        <v>840</v>
      </c>
      <c r="I49" s="56" t="s">
        <v>661</v>
      </c>
      <c r="J49" s="49" t="s">
        <v>281</v>
      </c>
      <c r="K49" s="52">
        <v>1</v>
      </c>
      <c r="L49" s="516"/>
      <c r="M49" s="51"/>
      <c r="N49" s="49" t="s">
        <v>871</v>
      </c>
      <c r="O49" s="51"/>
      <c r="P49" s="58" t="s">
        <v>872</v>
      </c>
      <c r="Q49" s="49" t="s">
        <v>873</v>
      </c>
      <c r="R49" s="76" t="s">
        <v>60</v>
      </c>
      <c r="S49" s="49" t="s">
        <v>845</v>
      </c>
      <c r="T49" s="55">
        <v>0.43</v>
      </c>
      <c r="U49" s="56" t="s">
        <v>64</v>
      </c>
      <c r="V49" s="56">
        <v>10000</v>
      </c>
      <c r="W49" s="57" t="e">
        <f t="shared" si="13"/>
        <v>#VALUE!</v>
      </c>
      <c r="X49" s="57" t="e">
        <f t="shared" si="18"/>
        <v>#VALUE!</v>
      </c>
      <c r="Y49" s="57" t="e">
        <v>#VALUE!</v>
      </c>
      <c r="Z49" s="57" t="e">
        <f t="shared" ref="Z49:Z72" si="20">+AG49*$AB$18</f>
        <v>#VALUE!</v>
      </c>
      <c r="AA49" s="57">
        <v>0.52</v>
      </c>
      <c r="AB49" s="57" t="s">
        <v>759</v>
      </c>
      <c r="AC49" s="57">
        <v>95</v>
      </c>
      <c r="AD49" s="58" t="s">
        <v>846</v>
      </c>
      <c r="AE49" s="59">
        <v>59</v>
      </c>
      <c r="AF49" s="57">
        <f t="shared" ref="AF49:AF72" si="21">AE49/1.16</f>
        <v>50.862068965517246</v>
      </c>
      <c r="AG49" s="57">
        <f t="shared" ref="AG49:AG72" si="22">(AF49)*0.6</f>
        <v>30.517241379310345</v>
      </c>
      <c r="AH49" s="60">
        <f t="shared" ref="AH49:AH72" si="23">AA49/AG49</f>
        <v>1.7039548022598869E-2</v>
      </c>
      <c r="AI49" s="60">
        <f t="shared" ref="AI49:AI72" si="24">1-(AA49/AG49)</f>
        <v>0.98296045197740112</v>
      </c>
      <c r="AJ49" s="61">
        <f t="shared" ref="AJ49:AJ72" si="25">1-(AG49/(AE49/1.16))</f>
        <v>0.4</v>
      </c>
      <c r="AK49" s="51" t="s">
        <v>847</v>
      </c>
      <c r="AL49" s="51" t="s">
        <v>67</v>
      </c>
      <c r="AM49" s="62">
        <v>6</v>
      </c>
      <c r="AN49" s="19">
        <f t="shared" si="19"/>
        <v>72</v>
      </c>
      <c r="AO49" s="226" t="s">
        <v>874</v>
      </c>
      <c r="AP49" s="228">
        <v>46325</v>
      </c>
      <c r="AR49" s="38">
        <f t="shared" si="15"/>
        <v>38.35</v>
      </c>
      <c r="AS49" s="34">
        <f t="shared" ref="AS49:AS72" si="26">(AR49/1.16)</f>
        <v>33.060344827586214</v>
      </c>
      <c r="AT49" s="35">
        <f t="shared" ref="AT49:AT72" si="27">+AA49/AS49</f>
        <v>1.5728813559322031E-2</v>
      </c>
      <c r="AU49" s="36">
        <f t="shared" ref="AU49:AU72" si="28">1-(AA49/AS49)</f>
        <v>0.98427118644067801</v>
      </c>
      <c r="AV49" s="20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180">
        <f t="shared" ref="BL49:BL72" si="31">+BK49/BJ49</f>
        <v>0.77777777777777779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>+AP49</f>
        <v>46325</v>
      </c>
      <c r="BT49" s="169" t="s">
        <v>661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174</v>
      </c>
      <c r="C50" s="5" t="s">
        <v>248</v>
      </c>
      <c r="D50" s="47">
        <v>7503057496558</v>
      </c>
      <c r="E50" s="48" t="s">
        <v>875</v>
      </c>
      <c r="F50" s="49" t="s">
        <v>876</v>
      </c>
      <c r="G50" s="50" t="s">
        <v>60</v>
      </c>
      <c r="H50" s="46" t="s">
        <v>551</v>
      </c>
      <c r="I50" s="56" t="s">
        <v>661</v>
      </c>
      <c r="J50" s="49" t="s">
        <v>281</v>
      </c>
      <c r="K50" s="52">
        <v>1</v>
      </c>
      <c r="L50" s="516" t="s">
        <v>877</v>
      </c>
      <c r="M50" s="51"/>
      <c r="N50" s="49" t="s">
        <v>878</v>
      </c>
      <c r="O50" s="51"/>
      <c r="P50" s="416" t="s">
        <v>879</v>
      </c>
      <c r="Q50" s="49" t="s">
        <v>880</v>
      </c>
      <c r="R50" s="51" t="s">
        <v>60</v>
      </c>
      <c r="S50" s="49" t="s">
        <v>881</v>
      </c>
      <c r="T50" s="77">
        <v>0.56999999999999995</v>
      </c>
      <c r="U50" s="56" t="s">
        <v>64</v>
      </c>
      <c r="V50" s="56">
        <v>10000</v>
      </c>
      <c r="W50" s="57" t="e">
        <f t="shared" ref="W50:W72" si="32">+T50*$Y$17</f>
        <v>#VALUE!</v>
      </c>
      <c r="X50" s="57" t="e">
        <f t="shared" si="18"/>
        <v>#VALUE!</v>
      </c>
      <c r="Y50" s="57" t="e">
        <v>#VALUE!</v>
      </c>
      <c r="Z50" s="57" t="e">
        <f t="shared" si="20"/>
        <v>#VALUE!</v>
      </c>
      <c r="AA50" s="57">
        <v>0.45</v>
      </c>
      <c r="AB50" s="57" t="s">
        <v>882</v>
      </c>
      <c r="AC50" s="57">
        <v>199</v>
      </c>
      <c r="AD50" s="58" t="s">
        <v>883</v>
      </c>
      <c r="AE50" s="59">
        <v>129</v>
      </c>
      <c r="AF50" s="57">
        <f t="shared" si="21"/>
        <v>111.20689655172414</v>
      </c>
      <c r="AG50" s="57">
        <f t="shared" si="22"/>
        <v>66.724137931034477</v>
      </c>
      <c r="AH50" s="60">
        <f t="shared" si="23"/>
        <v>6.7441860465116289E-3</v>
      </c>
      <c r="AI50" s="60">
        <f t="shared" si="24"/>
        <v>0.99325581395348839</v>
      </c>
      <c r="AJ50" s="61">
        <f t="shared" si="25"/>
        <v>0.4</v>
      </c>
      <c r="AK50" s="51" t="s">
        <v>790</v>
      </c>
      <c r="AL50" s="51" t="s">
        <v>67</v>
      </c>
      <c r="AM50" s="62">
        <v>6</v>
      </c>
      <c r="AN50" s="19">
        <f t="shared" ref="AN50:AN61" si="33">+AM50*24</f>
        <v>144</v>
      </c>
      <c r="AO50" s="226" t="s">
        <v>791</v>
      </c>
      <c r="AP50" s="228">
        <v>46296</v>
      </c>
      <c r="AR50" s="38">
        <f t="shared" si="15"/>
        <v>83.850000000000009</v>
      </c>
      <c r="AS50" s="34">
        <f t="shared" si="26"/>
        <v>72.284482758620697</v>
      </c>
      <c r="AT50" s="35">
        <f t="shared" si="27"/>
        <v>6.2254025044722718E-3</v>
      </c>
      <c r="AU50" s="36">
        <f t="shared" si="28"/>
        <v>0.99377459749552777</v>
      </c>
      <c r="AV50" s="20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180">
        <f t="shared" si="31"/>
        <v>0.77777777777777779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>+AP50</f>
        <v>46296</v>
      </c>
      <c r="BT50" s="169" t="s">
        <v>86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6">
      <c r="A51" s="45">
        <v>46234</v>
      </c>
      <c r="B51" s="46" t="s">
        <v>174</v>
      </c>
      <c r="C51" s="5" t="s">
        <v>248</v>
      </c>
      <c r="D51" s="47">
        <v>7503057496565</v>
      </c>
      <c r="E51" s="48" t="s">
        <v>884</v>
      </c>
      <c r="F51" s="49" t="s">
        <v>885</v>
      </c>
      <c r="G51" s="50" t="s">
        <v>60</v>
      </c>
      <c r="H51" s="46" t="s">
        <v>551</v>
      </c>
      <c r="I51" s="56" t="s">
        <v>661</v>
      </c>
      <c r="J51" s="49" t="s">
        <v>281</v>
      </c>
      <c r="K51" s="52">
        <v>1</v>
      </c>
      <c r="L51" s="516"/>
      <c r="M51" s="51"/>
      <c r="N51" s="49" t="s">
        <v>886</v>
      </c>
      <c r="O51" s="51"/>
      <c r="P51" s="416" t="s">
        <v>887</v>
      </c>
      <c r="Q51" s="49" t="s">
        <v>888</v>
      </c>
      <c r="R51" s="51" t="s">
        <v>60</v>
      </c>
      <c r="S51" s="49" t="s">
        <v>881</v>
      </c>
      <c r="T51" s="77">
        <v>0.56999999999999995</v>
      </c>
      <c r="U51" s="56" t="s">
        <v>64</v>
      </c>
      <c r="V51" s="56">
        <v>10000</v>
      </c>
      <c r="W51" s="57" t="e">
        <f t="shared" si="32"/>
        <v>#VALUE!</v>
      </c>
      <c r="X51" s="57" t="e">
        <f t="shared" si="18"/>
        <v>#VALUE!</v>
      </c>
      <c r="Y51" s="57" t="e">
        <v>#VALUE!</v>
      </c>
      <c r="Z51" s="57" t="e">
        <f t="shared" si="20"/>
        <v>#VALUE!</v>
      </c>
      <c r="AA51" s="57">
        <v>0.45</v>
      </c>
      <c r="AB51" s="57" t="s">
        <v>882</v>
      </c>
      <c r="AC51" s="57">
        <v>199</v>
      </c>
      <c r="AD51" s="58" t="s">
        <v>883</v>
      </c>
      <c r="AE51" s="59">
        <v>129</v>
      </c>
      <c r="AF51" s="57">
        <f t="shared" si="21"/>
        <v>111.20689655172414</v>
      </c>
      <c r="AG51" s="57">
        <f t="shared" si="22"/>
        <v>66.724137931034477</v>
      </c>
      <c r="AH51" s="60">
        <f t="shared" si="23"/>
        <v>6.7441860465116289E-3</v>
      </c>
      <c r="AI51" s="60">
        <f t="shared" si="24"/>
        <v>0.99325581395348839</v>
      </c>
      <c r="AJ51" s="61">
        <f t="shared" si="25"/>
        <v>0.4</v>
      </c>
      <c r="AK51" s="51" t="s">
        <v>790</v>
      </c>
      <c r="AL51" s="51" t="s">
        <v>67</v>
      </c>
      <c r="AM51" s="62">
        <v>6</v>
      </c>
      <c r="AN51" s="19">
        <f t="shared" si="33"/>
        <v>144</v>
      </c>
      <c r="AO51" s="226" t="s">
        <v>791</v>
      </c>
      <c r="AP51" s="228">
        <v>46296</v>
      </c>
      <c r="AR51" s="38">
        <f t="shared" si="15"/>
        <v>83.850000000000009</v>
      </c>
      <c r="AS51" s="34">
        <f t="shared" si="26"/>
        <v>72.284482758620697</v>
      </c>
      <c r="AT51" s="35">
        <f t="shared" si="27"/>
        <v>6.2254025044722718E-3</v>
      </c>
      <c r="AU51" s="36">
        <f t="shared" si="28"/>
        <v>0.99377459749552777</v>
      </c>
      <c r="AV51" s="20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180">
        <f t="shared" si="31"/>
        <v>0.77777777777777779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>+AP51</f>
        <v>46296</v>
      </c>
      <c r="BT51" s="169" t="s">
        <v>86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0000000000002" customHeight="1">
      <c r="A52" s="45">
        <v>46234</v>
      </c>
      <c r="B52" s="46" t="s">
        <v>277</v>
      </c>
      <c r="C52" s="5" t="s">
        <v>77</v>
      </c>
      <c r="D52" s="47">
        <v>7503057496572</v>
      </c>
      <c r="E52" s="48" t="s">
        <v>889</v>
      </c>
      <c r="F52" s="49" t="s">
        <v>890</v>
      </c>
      <c r="G52" s="50" t="s">
        <v>60</v>
      </c>
      <c r="H52" s="46" t="s">
        <v>891</v>
      </c>
      <c r="I52" s="56" t="s">
        <v>661</v>
      </c>
      <c r="J52" s="49" t="s">
        <v>281</v>
      </c>
      <c r="K52" s="52">
        <v>1</v>
      </c>
      <c r="L52" s="515"/>
      <c r="M52" s="51"/>
      <c r="N52" s="49" t="s">
        <v>892</v>
      </c>
      <c r="O52" s="51"/>
      <c r="P52" s="415" t="s">
        <v>893</v>
      </c>
      <c r="Q52" s="49" t="s">
        <v>894</v>
      </c>
      <c r="R52" s="51"/>
      <c r="S52" s="49" t="s">
        <v>895</v>
      </c>
      <c r="T52" s="77">
        <v>0.56999999999999995</v>
      </c>
      <c r="U52" s="56" t="s">
        <v>64</v>
      </c>
      <c r="V52" s="53" t="s">
        <v>896</v>
      </c>
      <c r="W52" s="57" t="e">
        <f t="shared" si="32"/>
        <v>#VALUE!</v>
      </c>
      <c r="X52" s="57" t="e">
        <f t="shared" si="18"/>
        <v>#VALUE!</v>
      </c>
      <c r="Y52" s="57" t="e">
        <v>#VALUE!</v>
      </c>
      <c r="Z52" s="57" t="e">
        <f t="shared" si="20"/>
        <v>#VALUE!</v>
      </c>
      <c r="AA52" s="57">
        <v>0.54</v>
      </c>
      <c r="AB52" s="57" t="s">
        <v>897</v>
      </c>
      <c r="AC52" s="57">
        <v>199</v>
      </c>
      <c r="AD52" s="58" t="s">
        <v>898</v>
      </c>
      <c r="AE52" s="59">
        <v>129</v>
      </c>
      <c r="AF52" s="57">
        <f t="shared" si="21"/>
        <v>111.20689655172414</v>
      </c>
      <c r="AG52" s="57">
        <f t="shared" si="22"/>
        <v>66.724137931034477</v>
      </c>
      <c r="AH52" s="60">
        <f t="shared" si="23"/>
        <v>8.0930232558139546E-3</v>
      </c>
      <c r="AI52" s="60">
        <f t="shared" si="24"/>
        <v>0.99190697674418604</v>
      </c>
      <c r="AJ52" s="61">
        <f t="shared" si="25"/>
        <v>0.4</v>
      </c>
      <c r="AK52" s="51" t="s">
        <v>790</v>
      </c>
      <c r="AL52" s="51" t="s">
        <v>67</v>
      </c>
      <c r="AM52" s="62">
        <v>6</v>
      </c>
      <c r="AN52" s="19">
        <f t="shared" si="33"/>
        <v>144</v>
      </c>
      <c r="AO52" s="226" t="s">
        <v>791</v>
      </c>
      <c r="AP52" s="228">
        <v>46296</v>
      </c>
      <c r="AR52" s="38">
        <f t="shared" si="15"/>
        <v>83.850000000000009</v>
      </c>
      <c r="AS52" s="34">
        <f t="shared" si="26"/>
        <v>72.284482758620697</v>
      </c>
      <c r="AT52" s="35">
        <f t="shared" si="27"/>
        <v>7.4704830053667261E-3</v>
      </c>
      <c r="AU52" s="36">
        <f t="shared" si="28"/>
        <v>0.99252951699463332</v>
      </c>
      <c r="AV52" s="20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180">
        <f t="shared" si="31"/>
        <v>0.77777777777777779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>+AP52</f>
        <v>46296</v>
      </c>
      <c r="BT52" s="169" t="s">
        <v>86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0000000000002" customHeight="1">
      <c r="A53" s="45">
        <v>46234</v>
      </c>
      <c r="B53" s="46" t="s">
        <v>277</v>
      </c>
      <c r="C53" s="5" t="s">
        <v>77</v>
      </c>
      <c r="D53" s="47">
        <v>7503057496589</v>
      </c>
      <c r="E53" s="48" t="s">
        <v>899</v>
      </c>
      <c r="F53" s="49" t="s">
        <v>900</v>
      </c>
      <c r="G53" s="50" t="s">
        <v>60</v>
      </c>
      <c r="H53" s="46" t="s">
        <v>891</v>
      </c>
      <c r="I53" s="56" t="s">
        <v>661</v>
      </c>
      <c r="J53" s="49" t="s">
        <v>281</v>
      </c>
      <c r="K53" s="52">
        <v>1</v>
      </c>
      <c r="L53" s="515"/>
      <c r="M53" s="51"/>
      <c r="N53" s="49" t="s">
        <v>901</v>
      </c>
      <c r="O53" s="51"/>
      <c r="P53" s="416" t="s">
        <v>893</v>
      </c>
      <c r="Q53" s="49" t="s">
        <v>902</v>
      </c>
      <c r="R53" s="51"/>
      <c r="S53" s="49" t="s">
        <v>895</v>
      </c>
      <c r="T53" s="77">
        <v>0.56999999999999995</v>
      </c>
      <c r="U53" s="56" t="s">
        <v>64</v>
      </c>
      <c r="V53" s="53" t="s">
        <v>896</v>
      </c>
      <c r="W53" s="57" t="e">
        <f t="shared" si="32"/>
        <v>#VALUE!</v>
      </c>
      <c r="X53" s="57" t="e">
        <f t="shared" si="18"/>
        <v>#VALUE!</v>
      </c>
      <c r="Y53" s="57" t="e">
        <v>#VALUE!</v>
      </c>
      <c r="Z53" s="57" t="e">
        <f t="shared" si="20"/>
        <v>#VALUE!</v>
      </c>
      <c r="AA53" s="57">
        <v>0.54</v>
      </c>
      <c r="AB53" s="57" t="s">
        <v>897</v>
      </c>
      <c r="AC53" s="57">
        <v>199</v>
      </c>
      <c r="AD53" s="58" t="s">
        <v>898</v>
      </c>
      <c r="AE53" s="59">
        <v>129</v>
      </c>
      <c r="AF53" s="57">
        <f t="shared" si="21"/>
        <v>111.20689655172414</v>
      </c>
      <c r="AG53" s="57">
        <f t="shared" si="22"/>
        <v>66.724137931034477</v>
      </c>
      <c r="AH53" s="60">
        <f t="shared" si="23"/>
        <v>8.0930232558139546E-3</v>
      </c>
      <c r="AI53" s="60">
        <f t="shared" si="24"/>
        <v>0.99190697674418604</v>
      </c>
      <c r="AJ53" s="61">
        <f t="shared" si="25"/>
        <v>0.4</v>
      </c>
      <c r="AK53" s="51" t="s">
        <v>790</v>
      </c>
      <c r="AL53" s="51" t="s">
        <v>67</v>
      </c>
      <c r="AM53" s="62">
        <v>6</v>
      </c>
      <c r="AN53" s="19">
        <f t="shared" si="33"/>
        <v>144</v>
      </c>
      <c r="AO53" s="226" t="s">
        <v>791</v>
      </c>
      <c r="AP53" s="228">
        <v>46296</v>
      </c>
      <c r="AR53" s="38">
        <f t="shared" si="15"/>
        <v>83.850000000000009</v>
      </c>
      <c r="AS53" s="34">
        <f t="shared" si="26"/>
        <v>72.284482758620697</v>
      </c>
      <c r="AT53" s="35">
        <f t="shared" si="27"/>
        <v>7.4704830053667261E-3</v>
      </c>
      <c r="AU53" s="36">
        <f t="shared" si="28"/>
        <v>0.99252951699463332</v>
      </c>
      <c r="AV53" s="20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180">
        <f t="shared" si="31"/>
        <v>0.77777777777777779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>+AP53</f>
        <v>46296</v>
      </c>
      <c r="BT53" s="169" t="s">
        <v>86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277</v>
      </c>
      <c r="C54" s="5" t="s">
        <v>77</v>
      </c>
      <c r="D54" s="47">
        <v>7503057496596</v>
      </c>
      <c r="E54" s="48" t="s">
        <v>903</v>
      </c>
      <c r="F54" s="49" t="s">
        <v>904</v>
      </c>
      <c r="G54" s="78" t="s">
        <v>60</v>
      </c>
      <c r="H54" s="51" t="s">
        <v>367</v>
      </c>
      <c r="I54" s="56" t="s">
        <v>661</v>
      </c>
      <c r="J54" s="49" t="s">
        <v>281</v>
      </c>
      <c r="K54" s="52">
        <v>1</v>
      </c>
      <c r="L54" s="415" t="s">
        <v>905</v>
      </c>
      <c r="M54" s="51"/>
      <c r="N54" s="49" t="s">
        <v>906</v>
      </c>
      <c r="O54" s="51"/>
      <c r="P54" s="416" t="s">
        <v>907</v>
      </c>
      <c r="Q54" s="49" t="s">
        <v>908</v>
      </c>
      <c r="R54" s="65" t="s">
        <v>60</v>
      </c>
      <c r="S54" s="79" t="s">
        <v>909</v>
      </c>
      <c r="T54" s="55">
        <v>0.77</v>
      </c>
      <c r="U54" s="56" t="s">
        <v>64</v>
      </c>
      <c r="V54" s="56">
        <v>10000</v>
      </c>
      <c r="W54" s="57" t="e">
        <f t="shared" si="32"/>
        <v>#VALUE!</v>
      </c>
      <c r="X54" s="57" t="e">
        <f t="shared" si="18"/>
        <v>#VALUE!</v>
      </c>
      <c r="Y54" s="57" t="e">
        <v>#VALUE!</v>
      </c>
      <c r="Z54" s="57" t="e">
        <f t="shared" si="20"/>
        <v>#VALUE!</v>
      </c>
      <c r="AA54" s="57">
        <v>0.73</v>
      </c>
      <c r="AB54" s="57" t="s">
        <v>62</v>
      </c>
      <c r="AC54" s="57">
        <v>125</v>
      </c>
      <c r="AD54" s="58" t="s">
        <v>910</v>
      </c>
      <c r="AE54" s="59">
        <v>139</v>
      </c>
      <c r="AF54" s="57">
        <f t="shared" si="21"/>
        <v>119.82758620689656</v>
      </c>
      <c r="AG54" s="57">
        <f t="shared" si="22"/>
        <v>71.896551724137936</v>
      </c>
      <c r="AH54" s="60">
        <f t="shared" si="23"/>
        <v>1.0153477218225418E-2</v>
      </c>
      <c r="AI54" s="60">
        <f t="shared" si="24"/>
        <v>0.98984652278177454</v>
      </c>
      <c r="AJ54" s="61">
        <f t="shared" si="25"/>
        <v>0.4</v>
      </c>
      <c r="AK54" s="51" t="s">
        <v>790</v>
      </c>
      <c r="AL54" s="51" t="s">
        <v>67</v>
      </c>
      <c r="AM54" s="62">
        <v>6</v>
      </c>
      <c r="AN54" s="19">
        <f t="shared" si="33"/>
        <v>144</v>
      </c>
      <c r="AO54" s="226" t="s">
        <v>791</v>
      </c>
      <c r="AP54" s="228">
        <v>46296</v>
      </c>
      <c r="AR54" s="38">
        <f t="shared" ref="AR54:AR72" si="34">+AE54*0.65</f>
        <v>90.350000000000009</v>
      </c>
      <c r="AS54" s="34">
        <f t="shared" si="26"/>
        <v>77.887931034482776</v>
      </c>
      <c r="AT54" s="35">
        <f t="shared" si="27"/>
        <v>9.3724405091311549E-3</v>
      </c>
      <c r="AU54" s="36">
        <f t="shared" si="28"/>
        <v>0.99062755949086889</v>
      </c>
      <c r="AV54" s="20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180">
        <f t="shared" si="31"/>
        <v>0.77777777777777779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>+AP54</f>
        <v>46296</v>
      </c>
      <c r="BT54" s="169" t="s">
        <v>86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277</v>
      </c>
      <c r="C55" s="5" t="s">
        <v>77</v>
      </c>
      <c r="D55" s="47">
        <v>7503057496602</v>
      </c>
      <c r="E55" s="48" t="s">
        <v>911</v>
      </c>
      <c r="F55" s="49" t="s">
        <v>912</v>
      </c>
      <c r="G55" s="80" t="s">
        <v>60</v>
      </c>
      <c r="H55" s="51" t="s">
        <v>367</v>
      </c>
      <c r="I55" s="56" t="s">
        <v>661</v>
      </c>
      <c r="J55" s="49" t="s">
        <v>281</v>
      </c>
      <c r="K55" s="52">
        <v>1</v>
      </c>
      <c r="L55" s="416" t="s">
        <v>913</v>
      </c>
      <c r="M55" s="51"/>
      <c r="N55" s="49" t="s">
        <v>914</v>
      </c>
      <c r="O55" s="51"/>
      <c r="P55" s="416" t="s">
        <v>907</v>
      </c>
      <c r="Q55" s="49" t="s">
        <v>915</v>
      </c>
      <c r="R55" s="65" t="s">
        <v>60</v>
      </c>
      <c r="S55" s="79" t="s">
        <v>909</v>
      </c>
      <c r="T55" s="55">
        <v>0.77</v>
      </c>
      <c r="U55" s="56" t="s">
        <v>64</v>
      </c>
      <c r="V55" s="56">
        <v>10000</v>
      </c>
      <c r="W55" s="57" t="e">
        <f t="shared" si="32"/>
        <v>#VALUE!</v>
      </c>
      <c r="X55" s="57" t="e">
        <f t="shared" si="18"/>
        <v>#VALUE!</v>
      </c>
      <c r="Y55" s="57" t="e">
        <v>#VALUE!</v>
      </c>
      <c r="Z55" s="57" t="e">
        <f t="shared" si="20"/>
        <v>#VALUE!</v>
      </c>
      <c r="AA55" s="57">
        <v>0.73</v>
      </c>
      <c r="AB55" s="57" t="s">
        <v>62</v>
      </c>
      <c r="AC55" s="57">
        <v>125</v>
      </c>
      <c r="AD55" s="58" t="s">
        <v>910</v>
      </c>
      <c r="AE55" s="59">
        <v>139</v>
      </c>
      <c r="AF55" s="57">
        <f t="shared" si="21"/>
        <v>119.82758620689656</v>
      </c>
      <c r="AG55" s="57">
        <f t="shared" si="22"/>
        <v>71.896551724137936</v>
      </c>
      <c r="AH55" s="60">
        <f t="shared" si="23"/>
        <v>1.0153477218225418E-2</v>
      </c>
      <c r="AI55" s="60">
        <f t="shared" si="24"/>
        <v>0.98984652278177454</v>
      </c>
      <c r="AJ55" s="61">
        <f t="shared" si="25"/>
        <v>0.4</v>
      </c>
      <c r="AK55" s="51" t="s">
        <v>790</v>
      </c>
      <c r="AL55" s="51" t="s">
        <v>67</v>
      </c>
      <c r="AM55" s="62">
        <v>6</v>
      </c>
      <c r="AN55" s="19">
        <f t="shared" si="33"/>
        <v>144</v>
      </c>
      <c r="AO55" s="226" t="s">
        <v>791</v>
      </c>
      <c r="AP55" s="228">
        <v>46296</v>
      </c>
      <c r="AR55" s="38">
        <f t="shared" si="34"/>
        <v>90.350000000000009</v>
      </c>
      <c r="AS55" s="34">
        <f t="shared" si="26"/>
        <v>77.887931034482776</v>
      </c>
      <c r="AT55" s="35">
        <f t="shared" si="27"/>
        <v>9.3724405091311549E-3</v>
      </c>
      <c r="AU55" s="36">
        <f t="shared" si="28"/>
        <v>0.99062755949086889</v>
      </c>
      <c r="AV55" s="20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180">
        <f t="shared" si="31"/>
        <v>0.77777777777777779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>+AP55</f>
        <v>46296</v>
      </c>
      <c r="BT55" s="169" t="s">
        <v>86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345.75">
      <c r="A56" s="45">
        <v>46234</v>
      </c>
      <c r="B56" s="46" t="s">
        <v>174</v>
      </c>
      <c r="C56" s="5" t="s">
        <v>248</v>
      </c>
      <c r="D56" s="47">
        <v>7503057496619</v>
      </c>
      <c r="E56" s="48" t="s">
        <v>916</v>
      </c>
      <c r="F56" s="49" t="s">
        <v>917</v>
      </c>
      <c r="G56" s="50" t="s">
        <v>60</v>
      </c>
      <c r="H56" s="46" t="s">
        <v>918</v>
      </c>
      <c r="I56" s="56" t="s">
        <v>661</v>
      </c>
      <c r="J56" s="49" t="s">
        <v>281</v>
      </c>
      <c r="K56" s="52">
        <v>1</v>
      </c>
      <c r="L56" s="416" t="s">
        <v>919</v>
      </c>
      <c r="M56" s="51"/>
      <c r="N56" s="49" t="s">
        <v>920</v>
      </c>
      <c r="O56" s="51"/>
      <c r="P56" s="416" t="s">
        <v>921</v>
      </c>
      <c r="Q56" s="49" t="s">
        <v>908</v>
      </c>
      <c r="R56" s="51" t="s">
        <v>60</v>
      </c>
      <c r="S56" s="49" t="s">
        <v>922</v>
      </c>
      <c r="T56" s="74"/>
      <c r="U56" s="56" t="s">
        <v>81</v>
      </c>
      <c r="V56" s="56">
        <v>10000</v>
      </c>
      <c r="W56" s="57" t="e">
        <f t="shared" si="32"/>
        <v>#VALUE!</v>
      </c>
      <c r="X56" s="57" t="e">
        <f t="shared" si="18"/>
        <v>#VALUE!</v>
      </c>
      <c r="Y56" s="57" t="e">
        <f>(W56+X56)*$AA$17</f>
        <v>#VALUE!</v>
      </c>
      <c r="Z56" s="57" t="e">
        <f t="shared" si="20"/>
        <v>#VALUE!</v>
      </c>
      <c r="AA56" s="57" t="s">
        <v>923</v>
      </c>
      <c r="AB56" s="57" t="s">
        <v>882</v>
      </c>
      <c r="AC56" s="57">
        <v>149</v>
      </c>
      <c r="AD56" s="58" t="s">
        <v>924</v>
      </c>
      <c r="AE56" s="59">
        <v>169</v>
      </c>
      <c r="AF56" s="58">
        <f t="shared" si="21"/>
        <v>145.68965517241381</v>
      </c>
      <c r="AG56" s="57">
        <f t="shared" si="22"/>
        <v>87.413793103448285</v>
      </c>
      <c r="AH56" s="60" t="e">
        <f t="shared" si="23"/>
        <v>#VALUE!</v>
      </c>
      <c r="AI56" s="60" t="e">
        <f t="shared" si="24"/>
        <v>#VALUE!</v>
      </c>
      <c r="AJ56" s="61">
        <f t="shared" si="25"/>
        <v>0.4</v>
      </c>
      <c r="AK56" s="51" t="s">
        <v>790</v>
      </c>
      <c r="AL56" s="51" t="s">
        <v>67</v>
      </c>
      <c r="AM56" s="62">
        <v>6</v>
      </c>
      <c r="AN56" s="19">
        <f t="shared" si="33"/>
        <v>144</v>
      </c>
      <c r="AO56" s="226" t="s">
        <v>925</v>
      </c>
      <c r="AP56" s="228">
        <v>46272</v>
      </c>
      <c r="AR56" s="38">
        <f t="shared" si="34"/>
        <v>109.85000000000001</v>
      </c>
      <c r="AS56" s="34">
        <f t="shared" si="26"/>
        <v>94.698275862068982</v>
      </c>
      <c r="AT56" s="35" t="e">
        <f t="shared" si="27"/>
        <v>#VALUE!</v>
      </c>
      <c r="AU56" s="36" t="e">
        <f t="shared" si="28"/>
        <v>#VALUE!</v>
      </c>
      <c r="AV56" s="20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180">
        <f t="shared" si="31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>+AP56</f>
        <v>46272</v>
      </c>
      <c r="BT56" s="169" t="s">
        <v>86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09.6">
      <c r="A57" s="45">
        <v>46234</v>
      </c>
      <c r="B57" s="46" t="s">
        <v>174</v>
      </c>
      <c r="C57" s="5" t="s">
        <v>248</v>
      </c>
      <c r="D57" s="47">
        <v>7503057496633</v>
      </c>
      <c r="E57" s="48" t="s">
        <v>926</v>
      </c>
      <c r="F57" s="49" t="s">
        <v>927</v>
      </c>
      <c r="G57" s="78"/>
      <c r="H57" s="51" t="s">
        <v>928</v>
      </c>
      <c r="I57" s="56" t="s">
        <v>661</v>
      </c>
      <c r="J57" s="49" t="s">
        <v>281</v>
      </c>
      <c r="K57" s="52">
        <v>1</v>
      </c>
      <c r="L57" s="81" t="s">
        <v>929</v>
      </c>
      <c r="M57" s="65"/>
      <c r="N57" s="82" t="s">
        <v>930</v>
      </c>
      <c r="O57" s="65"/>
      <c r="P57" s="81" t="s">
        <v>931</v>
      </c>
      <c r="Q57" s="82"/>
      <c r="R57" s="65" t="s">
        <v>932</v>
      </c>
      <c r="S57" s="83" t="s">
        <v>933</v>
      </c>
      <c r="T57" s="55">
        <v>0.52</v>
      </c>
      <c r="U57" s="56" t="s">
        <v>64</v>
      </c>
      <c r="V57" s="56">
        <v>10000</v>
      </c>
      <c r="W57" s="57" t="e">
        <f t="shared" si="32"/>
        <v>#VALUE!</v>
      </c>
      <c r="X57" s="57" t="e">
        <f t="shared" si="18"/>
        <v>#VALUE!</v>
      </c>
      <c r="Y57" s="57" t="e">
        <v>#VALUE!</v>
      </c>
      <c r="Z57" s="57" t="e">
        <f t="shared" si="20"/>
        <v>#VALUE!</v>
      </c>
      <c r="AA57" s="57">
        <v>0.27</v>
      </c>
      <c r="AB57" s="57" t="s">
        <v>62</v>
      </c>
      <c r="AC57" s="57">
        <v>299</v>
      </c>
      <c r="AD57" s="58" t="s">
        <v>934</v>
      </c>
      <c r="AE57" s="59">
        <v>89</v>
      </c>
      <c r="AF57" s="57">
        <f t="shared" si="21"/>
        <v>76.724137931034491</v>
      </c>
      <c r="AG57" s="57">
        <f t="shared" si="22"/>
        <v>46.03448275862069</v>
      </c>
      <c r="AH57" s="60">
        <f t="shared" si="23"/>
        <v>5.8651685393258431E-3</v>
      </c>
      <c r="AI57" s="60">
        <f t="shared" si="24"/>
        <v>0.99413483146067416</v>
      </c>
      <c r="AJ57" s="61">
        <f t="shared" si="25"/>
        <v>0.4</v>
      </c>
      <c r="AK57" s="51" t="s">
        <v>790</v>
      </c>
      <c r="AL57" s="51" t="s">
        <v>67</v>
      </c>
      <c r="AM57" s="62">
        <v>6</v>
      </c>
      <c r="AN57" s="19">
        <f t="shared" si="33"/>
        <v>144</v>
      </c>
      <c r="AO57" s="226" t="s">
        <v>791</v>
      </c>
      <c r="AP57" s="228">
        <v>46296</v>
      </c>
      <c r="AR57" s="38">
        <f t="shared" si="34"/>
        <v>57.85</v>
      </c>
      <c r="AS57" s="34">
        <f t="shared" si="26"/>
        <v>49.87068965517242</v>
      </c>
      <c r="AT57" s="35">
        <f t="shared" si="27"/>
        <v>5.4140017286084694E-3</v>
      </c>
      <c r="AU57" s="36">
        <f t="shared" si="28"/>
        <v>0.99458599827139149</v>
      </c>
      <c r="AV57" s="20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180">
        <f t="shared" si="31"/>
        <v>0.77777777777777779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>+AP57</f>
        <v>46296</v>
      </c>
      <c r="BT57" s="169" t="s">
        <v>661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6">
      <c r="A58" s="45">
        <v>46234</v>
      </c>
      <c r="B58" s="46" t="s">
        <v>277</v>
      </c>
      <c r="C58" s="5" t="s">
        <v>77</v>
      </c>
      <c r="D58" s="47">
        <v>7503057496640</v>
      </c>
      <c r="E58" s="48" t="s">
        <v>935</v>
      </c>
      <c r="F58" s="49" t="s">
        <v>936</v>
      </c>
      <c r="G58" s="50" t="s">
        <v>60</v>
      </c>
      <c r="H58" s="51" t="s">
        <v>343</v>
      </c>
      <c r="I58" s="56" t="s">
        <v>661</v>
      </c>
      <c r="J58" s="49" t="s">
        <v>281</v>
      </c>
      <c r="K58" s="52">
        <v>1</v>
      </c>
      <c r="L58" s="416" t="s">
        <v>937</v>
      </c>
      <c r="M58" s="51"/>
      <c r="N58" s="49" t="s">
        <v>938</v>
      </c>
      <c r="O58" s="51"/>
      <c r="P58" s="415" t="s">
        <v>939</v>
      </c>
      <c r="Q58" s="49" t="s">
        <v>69</v>
      </c>
      <c r="R58" s="76" t="s">
        <v>60</v>
      </c>
      <c r="S58" s="49" t="s">
        <v>940</v>
      </c>
      <c r="T58" s="77">
        <v>0.75</v>
      </c>
      <c r="U58" s="56" t="s">
        <v>64</v>
      </c>
      <c r="V58" s="56">
        <v>10000</v>
      </c>
      <c r="W58" s="57" t="e">
        <f t="shared" si="32"/>
        <v>#VALUE!</v>
      </c>
      <c r="X58" s="57" t="e">
        <f t="shared" si="18"/>
        <v>#VALUE!</v>
      </c>
      <c r="Y58" s="57" t="e">
        <v>#VALUE!</v>
      </c>
      <c r="Z58" s="57" t="e">
        <f t="shared" si="20"/>
        <v>#VALUE!</v>
      </c>
      <c r="AA58" s="57">
        <v>0.65</v>
      </c>
      <c r="AB58" s="57" t="s">
        <v>941</v>
      </c>
      <c r="AC58" s="57">
        <v>299</v>
      </c>
      <c r="AD58" s="58" t="s">
        <v>942</v>
      </c>
      <c r="AE58" s="59">
        <v>139</v>
      </c>
      <c r="AF58" s="57">
        <f t="shared" si="21"/>
        <v>119.82758620689656</v>
      </c>
      <c r="AG58" s="57">
        <f t="shared" si="22"/>
        <v>71.896551724137936</v>
      </c>
      <c r="AH58" s="60">
        <f t="shared" si="23"/>
        <v>9.040767386091126E-3</v>
      </c>
      <c r="AI58" s="60">
        <f t="shared" si="24"/>
        <v>0.99095923261390884</v>
      </c>
      <c r="AJ58" s="61">
        <f t="shared" si="25"/>
        <v>0.4</v>
      </c>
      <c r="AK58" s="51" t="s">
        <v>790</v>
      </c>
      <c r="AL58" s="51" t="s">
        <v>67</v>
      </c>
      <c r="AM58" s="62">
        <v>6</v>
      </c>
      <c r="AN58" s="19">
        <f t="shared" si="33"/>
        <v>144</v>
      </c>
      <c r="AO58" s="226" t="s">
        <v>791</v>
      </c>
      <c r="AP58" s="228">
        <v>46296</v>
      </c>
      <c r="AR58" s="38">
        <f t="shared" si="34"/>
        <v>90.350000000000009</v>
      </c>
      <c r="AS58" s="34">
        <f t="shared" si="26"/>
        <v>77.887931034482776</v>
      </c>
      <c r="AT58" s="35">
        <f t="shared" si="27"/>
        <v>8.3453237410071931E-3</v>
      </c>
      <c r="AU58" s="36">
        <f t="shared" si="28"/>
        <v>0.99165467625899284</v>
      </c>
      <c r="AV58" s="20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180">
        <f t="shared" si="31"/>
        <v>0.77777777777777779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>+AP58</f>
        <v>46296</v>
      </c>
      <c r="BT58" s="169" t="s">
        <v>86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4.95" customHeight="1">
      <c r="A59" s="45">
        <v>46234</v>
      </c>
      <c r="B59" s="46" t="s">
        <v>277</v>
      </c>
      <c r="C59" s="5" t="s">
        <v>77</v>
      </c>
      <c r="D59" s="47">
        <v>7503057496657</v>
      </c>
      <c r="E59" s="48" t="s">
        <v>943</v>
      </c>
      <c r="F59" s="49" t="s">
        <v>944</v>
      </c>
      <c r="G59" s="50" t="s">
        <v>60</v>
      </c>
      <c r="H59" s="51" t="s">
        <v>343</v>
      </c>
      <c r="I59" s="56" t="s">
        <v>661</v>
      </c>
      <c r="J59" s="49" t="s">
        <v>281</v>
      </c>
      <c r="K59" s="52">
        <v>1</v>
      </c>
      <c r="L59" s="416" t="s">
        <v>937</v>
      </c>
      <c r="M59" s="51"/>
      <c r="N59" s="49" t="s">
        <v>945</v>
      </c>
      <c r="O59" s="51"/>
      <c r="P59" s="415" t="s">
        <v>946</v>
      </c>
      <c r="Q59" s="49" t="s">
        <v>69</v>
      </c>
      <c r="R59" s="76" t="s">
        <v>60</v>
      </c>
      <c r="S59" s="49" t="s">
        <v>940</v>
      </c>
      <c r="T59" s="77">
        <v>0.75</v>
      </c>
      <c r="U59" s="56" t="s">
        <v>64</v>
      </c>
      <c r="V59" s="56">
        <v>10000</v>
      </c>
      <c r="W59" s="57" t="e">
        <f t="shared" si="32"/>
        <v>#VALUE!</v>
      </c>
      <c r="X59" s="57" t="e">
        <f t="shared" si="18"/>
        <v>#VALUE!</v>
      </c>
      <c r="Y59" s="57" t="e">
        <v>#VALUE!</v>
      </c>
      <c r="Z59" s="57" t="e">
        <f t="shared" si="20"/>
        <v>#VALUE!</v>
      </c>
      <c r="AA59" s="57">
        <v>0.65</v>
      </c>
      <c r="AB59" s="57" t="s">
        <v>941</v>
      </c>
      <c r="AC59" s="57">
        <v>299</v>
      </c>
      <c r="AD59" s="58" t="s">
        <v>942</v>
      </c>
      <c r="AE59" s="59">
        <v>139</v>
      </c>
      <c r="AF59" s="57">
        <f t="shared" si="21"/>
        <v>119.82758620689656</v>
      </c>
      <c r="AG59" s="57">
        <f t="shared" si="22"/>
        <v>71.896551724137936</v>
      </c>
      <c r="AH59" s="60">
        <f t="shared" si="23"/>
        <v>9.040767386091126E-3</v>
      </c>
      <c r="AI59" s="60">
        <f t="shared" si="24"/>
        <v>0.99095923261390884</v>
      </c>
      <c r="AJ59" s="61">
        <f t="shared" si="25"/>
        <v>0.4</v>
      </c>
      <c r="AK59" s="51" t="s">
        <v>790</v>
      </c>
      <c r="AL59" s="51" t="s">
        <v>67</v>
      </c>
      <c r="AM59" s="62">
        <v>6</v>
      </c>
      <c r="AN59" s="19">
        <f t="shared" si="33"/>
        <v>144</v>
      </c>
      <c r="AO59" s="226" t="s">
        <v>791</v>
      </c>
      <c r="AP59" s="228">
        <v>46296</v>
      </c>
      <c r="AR59" s="38">
        <f t="shared" si="34"/>
        <v>90.350000000000009</v>
      </c>
      <c r="AS59" s="34">
        <f t="shared" si="26"/>
        <v>77.887931034482776</v>
      </c>
      <c r="AT59" s="35">
        <f t="shared" si="27"/>
        <v>8.3453237410071931E-3</v>
      </c>
      <c r="AU59" s="36">
        <f t="shared" si="28"/>
        <v>0.99165467625899284</v>
      </c>
      <c r="AV59" s="20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180">
        <f t="shared" si="31"/>
        <v>0.77777777777777779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>+AP59</f>
        <v>46296</v>
      </c>
      <c r="BT59" s="169" t="s">
        <v>86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6">
      <c r="A60" s="45">
        <v>46234</v>
      </c>
      <c r="B60" s="46" t="s">
        <v>277</v>
      </c>
      <c r="C60" s="5" t="s">
        <v>77</v>
      </c>
      <c r="D60" s="47">
        <v>7503057496664</v>
      </c>
      <c r="E60" s="48" t="s">
        <v>947</v>
      </c>
      <c r="F60" s="49" t="s">
        <v>948</v>
      </c>
      <c r="G60" s="50" t="s">
        <v>60</v>
      </c>
      <c r="H60" s="51" t="s">
        <v>343</v>
      </c>
      <c r="I60" s="56" t="s">
        <v>661</v>
      </c>
      <c r="J60" s="49" t="s">
        <v>281</v>
      </c>
      <c r="K60" s="52">
        <v>1</v>
      </c>
      <c r="L60" s="415" t="s">
        <v>937</v>
      </c>
      <c r="M60" s="51"/>
      <c r="N60" s="49" t="s">
        <v>949</v>
      </c>
      <c r="O60" s="51"/>
      <c r="P60" s="415" t="s">
        <v>950</v>
      </c>
      <c r="Q60" s="49" t="s">
        <v>69</v>
      </c>
      <c r="R60" s="76" t="s">
        <v>60</v>
      </c>
      <c r="S60" s="49" t="s">
        <v>940</v>
      </c>
      <c r="T60" s="77">
        <v>0.75</v>
      </c>
      <c r="U60" s="56" t="s">
        <v>64</v>
      </c>
      <c r="V60" s="56">
        <v>10000</v>
      </c>
      <c r="W60" s="57" t="e">
        <f t="shared" si="32"/>
        <v>#VALUE!</v>
      </c>
      <c r="X60" s="57" t="e">
        <f t="shared" si="18"/>
        <v>#VALUE!</v>
      </c>
      <c r="Y60" s="57" t="e">
        <v>#VALUE!</v>
      </c>
      <c r="Z60" s="57" t="e">
        <f t="shared" si="20"/>
        <v>#VALUE!</v>
      </c>
      <c r="AA60" s="57">
        <v>0.65</v>
      </c>
      <c r="AB60" s="57" t="s">
        <v>941</v>
      </c>
      <c r="AC60" s="57">
        <v>299</v>
      </c>
      <c r="AD60" s="58" t="s">
        <v>942</v>
      </c>
      <c r="AE60" s="59">
        <v>139</v>
      </c>
      <c r="AF60" s="57">
        <f t="shared" si="21"/>
        <v>119.82758620689656</v>
      </c>
      <c r="AG60" s="57">
        <f t="shared" si="22"/>
        <v>71.896551724137936</v>
      </c>
      <c r="AH60" s="60">
        <f t="shared" si="23"/>
        <v>9.040767386091126E-3</v>
      </c>
      <c r="AI60" s="60">
        <f t="shared" si="24"/>
        <v>0.99095923261390884</v>
      </c>
      <c r="AJ60" s="61">
        <f t="shared" si="25"/>
        <v>0.4</v>
      </c>
      <c r="AK60" s="51" t="s">
        <v>790</v>
      </c>
      <c r="AL60" s="51" t="s">
        <v>67</v>
      </c>
      <c r="AM60" s="62">
        <v>6</v>
      </c>
      <c r="AN60" s="19">
        <f t="shared" si="33"/>
        <v>144</v>
      </c>
      <c r="AO60" s="226" t="s">
        <v>791</v>
      </c>
      <c r="AP60" s="228">
        <v>46296</v>
      </c>
      <c r="AR60" s="38">
        <f t="shared" si="34"/>
        <v>90.350000000000009</v>
      </c>
      <c r="AS60" s="34">
        <f t="shared" si="26"/>
        <v>77.887931034482776</v>
      </c>
      <c r="AT60" s="35">
        <f t="shared" si="27"/>
        <v>8.3453237410071931E-3</v>
      </c>
      <c r="AU60" s="36">
        <f t="shared" si="28"/>
        <v>0.99165467625899284</v>
      </c>
      <c r="AV60" s="20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180">
        <f t="shared" si="31"/>
        <v>0.77777777777777779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>+AP60</f>
        <v>46296</v>
      </c>
      <c r="BT60" s="169" t="s">
        <v>86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6">
      <c r="A61" s="45">
        <v>46234</v>
      </c>
      <c r="B61" s="46" t="s">
        <v>277</v>
      </c>
      <c r="C61" s="5" t="s">
        <v>77</v>
      </c>
      <c r="D61" s="47">
        <v>7503057496671</v>
      </c>
      <c r="E61" s="48" t="s">
        <v>951</v>
      </c>
      <c r="F61" s="49" t="s">
        <v>952</v>
      </c>
      <c r="G61" s="50"/>
      <c r="H61" s="51" t="s">
        <v>343</v>
      </c>
      <c r="I61" s="56" t="s">
        <v>661</v>
      </c>
      <c r="J61" s="49" t="s">
        <v>281</v>
      </c>
      <c r="K61" s="52">
        <v>1</v>
      </c>
      <c r="L61" s="416" t="s">
        <v>937</v>
      </c>
      <c r="M61" s="51"/>
      <c r="N61" s="49" t="s">
        <v>953</v>
      </c>
      <c r="O61" s="51"/>
      <c r="P61" s="415" t="s">
        <v>954</v>
      </c>
      <c r="Q61" s="49" t="s">
        <v>69</v>
      </c>
      <c r="R61" s="76" t="s">
        <v>60</v>
      </c>
      <c r="S61" s="49" t="s">
        <v>940</v>
      </c>
      <c r="T61" s="77">
        <v>0.75</v>
      </c>
      <c r="U61" s="56" t="s">
        <v>64</v>
      </c>
      <c r="V61" s="56">
        <v>10000</v>
      </c>
      <c r="W61" s="57" t="e">
        <f t="shared" si="32"/>
        <v>#VALUE!</v>
      </c>
      <c r="X61" s="57" t="e">
        <f t="shared" si="18"/>
        <v>#VALUE!</v>
      </c>
      <c r="Y61" s="57" t="e">
        <v>#VALUE!</v>
      </c>
      <c r="Z61" s="57" t="e">
        <f t="shared" si="20"/>
        <v>#VALUE!</v>
      </c>
      <c r="AA61" s="57">
        <v>0.65</v>
      </c>
      <c r="AB61" s="57" t="s">
        <v>941</v>
      </c>
      <c r="AC61" s="57">
        <v>179</v>
      </c>
      <c r="AD61" s="58" t="s">
        <v>942</v>
      </c>
      <c r="AE61" s="59">
        <v>139</v>
      </c>
      <c r="AF61" s="57">
        <f t="shared" si="21"/>
        <v>119.82758620689656</v>
      </c>
      <c r="AG61" s="57">
        <f t="shared" si="22"/>
        <v>71.896551724137936</v>
      </c>
      <c r="AH61" s="60">
        <f t="shared" si="23"/>
        <v>9.040767386091126E-3</v>
      </c>
      <c r="AI61" s="60">
        <f t="shared" si="24"/>
        <v>0.99095923261390884</v>
      </c>
      <c r="AJ61" s="61">
        <f t="shared" si="25"/>
        <v>0.4</v>
      </c>
      <c r="AK61" s="51" t="s">
        <v>790</v>
      </c>
      <c r="AL61" s="51" t="s">
        <v>67</v>
      </c>
      <c r="AM61" s="62">
        <v>6</v>
      </c>
      <c r="AN61" s="19">
        <f t="shared" si="33"/>
        <v>144</v>
      </c>
      <c r="AO61" s="226" t="s">
        <v>791</v>
      </c>
      <c r="AP61" s="228">
        <v>46296</v>
      </c>
      <c r="AR61" s="38">
        <f t="shared" si="34"/>
        <v>90.350000000000009</v>
      </c>
      <c r="AS61" s="34">
        <f t="shared" si="26"/>
        <v>77.887931034482776</v>
      </c>
      <c r="AT61" s="35">
        <f t="shared" si="27"/>
        <v>8.3453237410071931E-3</v>
      </c>
      <c r="AU61" s="36">
        <f t="shared" si="28"/>
        <v>0.99165467625899284</v>
      </c>
      <c r="AV61" s="20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180">
        <f t="shared" si="31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>+AP61</f>
        <v>46296</v>
      </c>
      <c r="BT61" s="169" t="s">
        <v>86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345.75">
      <c r="A62" s="45">
        <v>46234</v>
      </c>
      <c r="B62" s="46" t="s">
        <v>277</v>
      </c>
      <c r="C62" s="5" t="s">
        <v>77</v>
      </c>
      <c r="D62" s="47">
        <v>7503057496688</v>
      </c>
      <c r="E62" s="48" t="s">
        <v>955</v>
      </c>
      <c r="F62" s="49" t="s">
        <v>956</v>
      </c>
      <c r="G62" s="50"/>
      <c r="H62" s="51" t="s">
        <v>551</v>
      </c>
      <c r="I62" s="56" t="s">
        <v>661</v>
      </c>
      <c r="J62" s="49" t="s">
        <v>281</v>
      </c>
      <c r="K62" s="52">
        <v>1</v>
      </c>
      <c r="L62" s="416" t="s">
        <v>957</v>
      </c>
      <c r="M62" s="51"/>
      <c r="N62" s="49" t="s">
        <v>958</v>
      </c>
      <c r="O62" s="51"/>
      <c r="P62" s="51" t="s">
        <v>69</v>
      </c>
      <c r="Q62" s="49" t="s">
        <v>959</v>
      </c>
      <c r="R62" s="51" t="s">
        <v>60</v>
      </c>
      <c r="S62" s="49" t="s">
        <v>960</v>
      </c>
      <c r="T62" s="77">
        <v>0.68</v>
      </c>
      <c r="U62" s="56" t="s">
        <v>64</v>
      </c>
      <c r="V62" s="56">
        <v>10000</v>
      </c>
      <c r="W62" s="57" t="e">
        <f t="shared" si="32"/>
        <v>#VALUE!</v>
      </c>
      <c r="X62" s="57" t="e">
        <f t="shared" si="18"/>
        <v>#VALUE!</v>
      </c>
      <c r="Y62" s="57" t="e">
        <v>#VALUE!</v>
      </c>
      <c r="Z62" s="57" t="e">
        <f t="shared" si="20"/>
        <v>#VALUE!</v>
      </c>
      <c r="AA62" s="57">
        <v>1.03</v>
      </c>
      <c r="AB62" s="57" t="s">
        <v>62</v>
      </c>
      <c r="AC62" s="57">
        <v>179</v>
      </c>
      <c r="AD62" s="58" t="s">
        <v>961</v>
      </c>
      <c r="AE62" s="59">
        <v>149</v>
      </c>
      <c r="AF62" s="57">
        <f t="shared" si="21"/>
        <v>128.44827586206898</v>
      </c>
      <c r="AG62" s="57">
        <f t="shared" si="22"/>
        <v>77.068965517241381</v>
      </c>
      <c r="AH62" s="60">
        <f t="shared" si="23"/>
        <v>1.3364653243847875E-2</v>
      </c>
      <c r="AI62" s="60">
        <f t="shared" si="24"/>
        <v>0.98663534675615217</v>
      </c>
      <c r="AJ62" s="61">
        <f t="shared" si="25"/>
        <v>0.4</v>
      </c>
      <c r="AK62" s="51" t="s">
        <v>790</v>
      </c>
      <c r="AL62" s="51" t="s">
        <v>67</v>
      </c>
      <c r="AM62" s="62">
        <v>6</v>
      </c>
      <c r="AN62" s="19">
        <f>+AM62*12</f>
        <v>72</v>
      </c>
      <c r="AO62" s="226" t="s">
        <v>791</v>
      </c>
      <c r="AP62" s="228">
        <v>46296</v>
      </c>
      <c r="AR62" s="38">
        <f t="shared" si="34"/>
        <v>96.850000000000009</v>
      </c>
      <c r="AS62" s="34">
        <f t="shared" si="26"/>
        <v>83.49137931034484</v>
      </c>
      <c r="AT62" s="35">
        <f t="shared" si="27"/>
        <v>1.2336602994321114E-2</v>
      </c>
      <c r="AU62" s="36">
        <f t="shared" si="28"/>
        <v>0.98766339700567884</v>
      </c>
      <c r="AV62" s="20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180">
        <f t="shared" si="31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>+AP62</f>
        <v>46296</v>
      </c>
      <c r="BT62" s="169" t="s">
        <v>86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277</v>
      </c>
      <c r="C63" s="5" t="s">
        <v>77</v>
      </c>
      <c r="D63" s="47">
        <v>7503057496695</v>
      </c>
      <c r="E63" s="48" t="s">
        <v>962</v>
      </c>
      <c r="F63" s="49" t="s">
        <v>963</v>
      </c>
      <c r="G63" s="50" t="s">
        <v>60</v>
      </c>
      <c r="H63" s="51" t="s">
        <v>964</v>
      </c>
      <c r="I63" s="56" t="s">
        <v>661</v>
      </c>
      <c r="J63" s="49" t="s">
        <v>281</v>
      </c>
      <c r="K63" s="52">
        <v>1</v>
      </c>
      <c r="L63" s="515" t="s">
        <v>965</v>
      </c>
      <c r="M63" s="51"/>
      <c r="N63" s="49" t="s">
        <v>966</v>
      </c>
      <c r="O63" s="51"/>
      <c r="P63" s="416"/>
      <c r="Q63" s="49" t="s">
        <v>844</v>
      </c>
      <c r="R63" s="51" t="s">
        <v>60</v>
      </c>
      <c r="S63" s="49" t="s">
        <v>967</v>
      </c>
      <c r="T63" s="55">
        <v>0.47</v>
      </c>
      <c r="U63" s="56" t="s">
        <v>64</v>
      </c>
      <c r="V63" s="56">
        <v>10000</v>
      </c>
      <c r="W63" s="57" t="e">
        <f t="shared" si="32"/>
        <v>#VALUE!</v>
      </c>
      <c r="X63" s="57" t="e">
        <f t="shared" ref="X63:X70" si="35">+W63*0.36</f>
        <v>#VALUE!</v>
      </c>
      <c r="Y63" s="57" t="e">
        <v>#VALUE!</v>
      </c>
      <c r="Z63" s="57" t="e">
        <f t="shared" si="20"/>
        <v>#VALUE!</v>
      </c>
      <c r="AA63" s="57">
        <v>0.52</v>
      </c>
      <c r="AB63" s="57" t="s">
        <v>968</v>
      </c>
      <c r="AC63" s="57">
        <v>179</v>
      </c>
      <c r="AD63" s="58" t="s">
        <v>969</v>
      </c>
      <c r="AE63" s="59">
        <v>99</v>
      </c>
      <c r="AF63" s="57">
        <f t="shared" si="21"/>
        <v>85.344827586206904</v>
      </c>
      <c r="AG63" s="57">
        <f t="shared" si="22"/>
        <v>51.206896551724142</v>
      </c>
      <c r="AH63" s="60">
        <f t="shared" si="23"/>
        <v>1.0154882154882154E-2</v>
      </c>
      <c r="AI63" s="60">
        <f t="shared" si="24"/>
        <v>0.98984511784511786</v>
      </c>
      <c r="AJ63" s="61">
        <f t="shared" si="25"/>
        <v>0.4</v>
      </c>
      <c r="AK63" s="51" t="s">
        <v>790</v>
      </c>
      <c r="AL63" s="51" t="s">
        <v>67</v>
      </c>
      <c r="AM63" s="62">
        <v>6</v>
      </c>
      <c r="AN63" s="19">
        <f t="shared" ref="AN63:AN70" si="36">+AM63*24</f>
        <v>144</v>
      </c>
      <c r="AO63" s="226" t="s">
        <v>791</v>
      </c>
      <c r="AP63" s="228">
        <v>46296</v>
      </c>
      <c r="AR63" s="38">
        <f t="shared" si="34"/>
        <v>64.350000000000009</v>
      </c>
      <c r="AS63" s="34">
        <f t="shared" si="26"/>
        <v>55.474137931034491</v>
      </c>
      <c r="AT63" s="35">
        <f t="shared" si="27"/>
        <v>9.3737373737373727E-3</v>
      </c>
      <c r="AU63" s="36">
        <f t="shared" si="28"/>
        <v>0.99062626262626263</v>
      </c>
      <c r="AV63" s="20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180">
        <f t="shared" si="31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>+AP63</f>
        <v>46296</v>
      </c>
      <c r="BT63" s="169" t="s">
        <v>86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6">
      <c r="A64" s="45">
        <v>46234</v>
      </c>
      <c r="B64" s="46" t="s">
        <v>277</v>
      </c>
      <c r="C64" s="5" t="s">
        <v>77</v>
      </c>
      <c r="D64" s="47">
        <v>7503057496701</v>
      </c>
      <c r="E64" s="48" t="s">
        <v>970</v>
      </c>
      <c r="F64" s="49" t="s">
        <v>971</v>
      </c>
      <c r="G64" s="50" t="s">
        <v>60</v>
      </c>
      <c r="H64" s="51" t="s">
        <v>964</v>
      </c>
      <c r="I64" s="56" t="s">
        <v>661</v>
      </c>
      <c r="J64" s="49" t="s">
        <v>281</v>
      </c>
      <c r="K64" s="52">
        <v>1</v>
      </c>
      <c r="L64" s="515"/>
      <c r="M64" s="51"/>
      <c r="N64" s="49" t="s">
        <v>972</v>
      </c>
      <c r="O64" s="51"/>
      <c r="P64" s="416" t="s">
        <v>973</v>
      </c>
      <c r="Q64" s="49" t="s">
        <v>974</v>
      </c>
      <c r="R64" s="51" t="s">
        <v>60</v>
      </c>
      <c r="S64" s="49" t="s">
        <v>967</v>
      </c>
      <c r="T64" s="55">
        <v>0.47</v>
      </c>
      <c r="U64" s="56" t="s">
        <v>64</v>
      </c>
      <c r="V64" s="56">
        <v>10000</v>
      </c>
      <c r="W64" s="57" t="e">
        <f t="shared" si="32"/>
        <v>#VALUE!</v>
      </c>
      <c r="X64" s="57" t="e">
        <f t="shared" si="35"/>
        <v>#VALUE!</v>
      </c>
      <c r="Y64" s="57" t="e">
        <v>#VALUE!</v>
      </c>
      <c r="Z64" s="57" t="e">
        <f t="shared" si="20"/>
        <v>#VALUE!</v>
      </c>
      <c r="AA64" s="57">
        <v>0.52</v>
      </c>
      <c r="AB64" s="57" t="s">
        <v>968</v>
      </c>
      <c r="AC64" s="57">
        <v>199</v>
      </c>
      <c r="AD64" s="58" t="s">
        <v>969</v>
      </c>
      <c r="AE64" s="59">
        <v>99</v>
      </c>
      <c r="AF64" s="57">
        <f t="shared" si="21"/>
        <v>85.344827586206904</v>
      </c>
      <c r="AG64" s="57">
        <f t="shared" si="22"/>
        <v>51.206896551724142</v>
      </c>
      <c r="AH64" s="60">
        <f t="shared" si="23"/>
        <v>1.0154882154882154E-2</v>
      </c>
      <c r="AI64" s="60">
        <f t="shared" si="24"/>
        <v>0.98984511784511786</v>
      </c>
      <c r="AJ64" s="61">
        <f t="shared" si="25"/>
        <v>0.4</v>
      </c>
      <c r="AK64" s="51" t="s">
        <v>790</v>
      </c>
      <c r="AL64" s="51" t="s">
        <v>67</v>
      </c>
      <c r="AM64" s="62">
        <v>6</v>
      </c>
      <c r="AN64" s="19">
        <f t="shared" si="36"/>
        <v>144</v>
      </c>
      <c r="AO64" s="226" t="s">
        <v>791</v>
      </c>
      <c r="AP64" s="228">
        <v>46296</v>
      </c>
      <c r="AR64" s="38">
        <f t="shared" si="34"/>
        <v>64.350000000000009</v>
      </c>
      <c r="AS64" s="34">
        <f t="shared" si="26"/>
        <v>55.474137931034491</v>
      </c>
      <c r="AT64" s="35">
        <f t="shared" si="27"/>
        <v>9.3737373737373727E-3</v>
      </c>
      <c r="AU64" s="36">
        <f t="shared" si="28"/>
        <v>0.99062626262626263</v>
      </c>
      <c r="AV64" s="20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180">
        <f t="shared" si="31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>+AP64</f>
        <v>46296</v>
      </c>
      <c r="BT64" s="169" t="s">
        <v>86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6">
      <c r="A65" s="45">
        <v>46234</v>
      </c>
      <c r="B65" s="46" t="s">
        <v>277</v>
      </c>
      <c r="C65" s="5" t="s">
        <v>77</v>
      </c>
      <c r="D65" s="47">
        <v>7503057496718</v>
      </c>
      <c r="E65" s="48" t="s">
        <v>975</v>
      </c>
      <c r="F65" s="49" t="s">
        <v>976</v>
      </c>
      <c r="G65" s="50" t="s">
        <v>60</v>
      </c>
      <c r="H65" s="51" t="s">
        <v>964</v>
      </c>
      <c r="I65" s="56" t="s">
        <v>661</v>
      </c>
      <c r="J65" s="49" t="s">
        <v>281</v>
      </c>
      <c r="K65" s="52">
        <v>1</v>
      </c>
      <c r="L65" s="515"/>
      <c r="M65" s="51"/>
      <c r="N65" s="49" t="s">
        <v>977</v>
      </c>
      <c r="O65" s="51"/>
      <c r="P65" s="416" t="s">
        <v>973</v>
      </c>
      <c r="Q65" s="49" t="s">
        <v>978</v>
      </c>
      <c r="R65" s="51" t="s">
        <v>60</v>
      </c>
      <c r="S65" s="49" t="s">
        <v>967</v>
      </c>
      <c r="T65" s="55">
        <v>0.47</v>
      </c>
      <c r="U65" s="56" t="s">
        <v>64</v>
      </c>
      <c r="V65" s="56">
        <v>10000</v>
      </c>
      <c r="W65" s="57" t="e">
        <f t="shared" si="32"/>
        <v>#VALUE!</v>
      </c>
      <c r="X65" s="57" t="e">
        <f t="shared" si="35"/>
        <v>#VALUE!</v>
      </c>
      <c r="Y65" s="57" t="e">
        <v>#VALUE!</v>
      </c>
      <c r="Z65" s="57" t="e">
        <f t="shared" si="20"/>
        <v>#VALUE!</v>
      </c>
      <c r="AA65" s="57">
        <v>0.52</v>
      </c>
      <c r="AB65" s="57" t="s">
        <v>968</v>
      </c>
      <c r="AC65" s="57">
        <v>179</v>
      </c>
      <c r="AD65" s="58" t="s">
        <v>969</v>
      </c>
      <c r="AE65" s="59">
        <v>99</v>
      </c>
      <c r="AF65" s="57">
        <f t="shared" si="21"/>
        <v>85.344827586206904</v>
      </c>
      <c r="AG65" s="57">
        <f t="shared" si="22"/>
        <v>51.206896551724142</v>
      </c>
      <c r="AH65" s="60">
        <f t="shared" si="23"/>
        <v>1.0154882154882154E-2</v>
      </c>
      <c r="AI65" s="60">
        <f t="shared" si="24"/>
        <v>0.98984511784511786</v>
      </c>
      <c r="AJ65" s="61">
        <f t="shared" si="25"/>
        <v>0.4</v>
      </c>
      <c r="AK65" s="51" t="s">
        <v>790</v>
      </c>
      <c r="AL65" s="51" t="s">
        <v>67</v>
      </c>
      <c r="AM65" s="62">
        <v>6</v>
      </c>
      <c r="AN65" s="19">
        <f t="shared" si="36"/>
        <v>144</v>
      </c>
      <c r="AO65" s="226" t="s">
        <v>791</v>
      </c>
      <c r="AP65" s="228">
        <v>46296</v>
      </c>
      <c r="AR65" s="38">
        <f t="shared" si="34"/>
        <v>64.350000000000009</v>
      </c>
      <c r="AS65" s="34">
        <f t="shared" si="26"/>
        <v>55.474137931034491</v>
      </c>
      <c r="AT65" s="35">
        <f t="shared" si="27"/>
        <v>9.3737373737373727E-3</v>
      </c>
      <c r="AU65" s="36">
        <f t="shared" si="28"/>
        <v>0.99062626262626263</v>
      </c>
      <c r="AV65" s="20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180">
        <f t="shared" si="31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>+AP65</f>
        <v>46296</v>
      </c>
      <c r="BT65" s="169" t="s">
        <v>86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6">
      <c r="A66" s="45">
        <v>46234</v>
      </c>
      <c r="B66" s="46" t="s">
        <v>277</v>
      </c>
      <c r="C66" s="5" t="s">
        <v>77</v>
      </c>
      <c r="D66" s="47">
        <v>7503057496725</v>
      </c>
      <c r="E66" s="48" t="s">
        <v>979</v>
      </c>
      <c r="F66" s="49" t="s">
        <v>980</v>
      </c>
      <c r="G66" s="50" t="s">
        <v>60</v>
      </c>
      <c r="H66" s="51" t="s">
        <v>964</v>
      </c>
      <c r="I66" s="56" t="s">
        <v>661</v>
      </c>
      <c r="J66" s="49" t="s">
        <v>281</v>
      </c>
      <c r="K66" s="52">
        <v>1</v>
      </c>
      <c r="L66" s="515"/>
      <c r="M66" s="51"/>
      <c r="N66" s="49" t="s">
        <v>981</v>
      </c>
      <c r="O66" s="51"/>
      <c r="P66" s="416" t="s">
        <v>973</v>
      </c>
      <c r="Q66" s="49" t="s">
        <v>982</v>
      </c>
      <c r="R66" s="51" t="s">
        <v>60</v>
      </c>
      <c r="S66" s="49" t="s">
        <v>967</v>
      </c>
      <c r="T66" s="55">
        <v>0.47</v>
      </c>
      <c r="U66" s="56" t="s">
        <v>64</v>
      </c>
      <c r="V66" s="56">
        <v>10000</v>
      </c>
      <c r="W66" s="57" t="e">
        <f t="shared" si="32"/>
        <v>#VALUE!</v>
      </c>
      <c r="X66" s="57" t="e">
        <f t="shared" si="35"/>
        <v>#VALUE!</v>
      </c>
      <c r="Y66" s="57" t="e">
        <v>#VALUE!</v>
      </c>
      <c r="Z66" s="57" t="e">
        <f t="shared" si="20"/>
        <v>#VALUE!</v>
      </c>
      <c r="AA66" s="57">
        <v>0.52</v>
      </c>
      <c r="AB66" s="57" t="s">
        <v>968</v>
      </c>
      <c r="AC66" s="57">
        <v>179</v>
      </c>
      <c r="AD66" s="58" t="s">
        <v>969</v>
      </c>
      <c r="AE66" s="59">
        <v>99</v>
      </c>
      <c r="AF66" s="57">
        <f t="shared" si="21"/>
        <v>85.344827586206904</v>
      </c>
      <c r="AG66" s="57">
        <f t="shared" si="22"/>
        <v>51.206896551724142</v>
      </c>
      <c r="AH66" s="60">
        <f t="shared" si="23"/>
        <v>1.0154882154882154E-2</v>
      </c>
      <c r="AI66" s="60">
        <f t="shared" si="24"/>
        <v>0.98984511784511786</v>
      </c>
      <c r="AJ66" s="61">
        <f t="shared" si="25"/>
        <v>0.4</v>
      </c>
      <c r="AK66" s="51" t="s">
        <v>790</v>
      </c>
      <c r="AL66" s="51" t="s">
        <v>67</v>
      </c>
      <c r="AM66" s="62">
        <v>6</v>
      </c>
      <c r="AN66" s="19">
        <f t="shared" si="36"/>
        <v>144</v>
      </c>
      <c r="AO66" s="226" t="s">
        <v>791</v>
      </c>
      <c r="AP66" s="228">
        <v>46296</v>
      </c>
      <c r="AR66" s="38">
        <f t="shared" si="34"/>
        <v>64.350000000000009</v>
      </c>
      <c r="AS66" s="34">
        <f t="shared" si="26"/>
        <v>55.474137931034491</v>
      </c>
      <c r="AT66" s="35">
        <f t="shared" si="27"/>
        <v>9.3737373737373727E-3</v>
      </c>
      <c r="AU66" s="36">
        <f t="shared" si="28"/>
        <v>0.99062626262626263</v>
      </c>
      <c r="AV66" s="20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180">
        <f t="shared" si="31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>+AP66</f>
        <v>46296</v>
      </c>
      <c r="BT66" s="169" t="s">
        <v>86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277</v>
      </c>
      <c r="C67" s="5" t="s">
        <v>77</v>
      </c>
      <c r="D67" s="47">
        <v>7503057496732</v>
      </c>
      <c r="E67" s="48" t="s">
        <v>983</v>
      </c>
      <c r="F67" s="49" t="s">
        <v>984</v>
      </c>
      <c r="G67" s="50" t="s">
        <v>60</v>
      </c>
      <c r="H67" s="71" t="s">
        <v>783</v>
      </c>
      <c r="I67" s="56" t="s">
        <v>661</v>
      </c>
      <c r="J67" s="49" t="s">
        <v>281</v>
      </c>
      <c r="K67" s="52">
        <v>1</v>
      </c>
      <c r="L67" s="515" t="s">
        <v>784</v>
      </c>
      <c r="M67" s="51"/>
      <c r="N67" s="49" t="s">
        <v>985</v>
      </c>
      <c r="O67" s="51"/>
      <c r="P67" s="416" t="s">
        <v>973</v>
      </c>
      <c r="Q67" s="49" t="s">
        <v>986</v>
      </c>
      <c r="R67" s="51" t="s">
        <v>60</v>
      </c>
      <c r="S67" s="49" t="s">
        <v>987</v>
      </c>
      <c r="T67" s="55">
        <v>0.55000000000000004</v>
      </c>
      <c r="U67" s="56" t="s">
        <v>64</v>
      </c>
      <c r="V67" s="56">
        <v>10000</v>
      </c>
      <c r="W67" s="57" t="e">
        <f t="shared" si="32"/>
        <v>#VALUE!</v>
      </c>
      <c r="X67" s="57" t="e">
        <f t="shared" si="35"/>
        <v>#VALUE!</v>
      </c>
      <c r="Y67" s="57" t="e">
        <v>#VALUE!</v>
      </c>
      <c r="Z67" s="57" t="e">
        <f t="shared" si="20"/>
        <v>#VALUE!</v>
      </c>
      <c r="AA67" s="57">
        <v>0.28000000000000003</v>
      </c>
      <c r="AB67" s="57" t="s">
        <v>882</v>
      </c>
      <c r="AC67" s="57">
        <v>179</v>
      </c>
      <c r="AD67" s="58" t="s">
        <v>988</v>
      </c>
      <c r="AE67" s="59">
        <v>99</v>
      </c>
      <c r="AF67" s="57">
        <f t="shared" si="21"/>
        <v>85.344827586206904</v>
      </c>
      <c r="AG67" s="57">
        <f t="shared" si="22"/>
        <v>51.206896551724142</v>
      </c>
      <c r="AH67" s="60">
        <f t="shared" si="23"/>
        <v>5.4680134680134681E-3</v>
      </c>
      <c r="AI67" s="60">
        <f t="shared" si="24"/>
        <v>0.99453198653198649</v>
      </c>
      <c r="AJ67" s="61">
        <f t="shared" si="25"/>
        <v>0.4</v>
      </c>
      <c r="AK67" s="51" t="s">
        <v>790</v>
      </c>
      <c r="AL67" s="51" t="s">
        <v>67</v>
      </c>
      <c r="AM67" s="62">
        <v>6</v>
      </c>
      <c r="AN67" s="19">
        <f t="shared" si="36"/>
        <v>144</v>
      </c>
      <c r="AO67" s="226" t="s">
        <v>791</v>
      </c>
      <c r="AP67" s="228">
        <v>46296</v>
      </c>
      <c r="AR67" s="38">
        <f t="shared" si="34"/>
        <v>64.350000000000009</v>
      </c>
      <c r="AS67" s="34">
        <f t="shared" si="26"/>
        <v>55.474137931034491</v>
      </c>
      <c r="AT67" s="35">
        <f t="shared" si="27"/>
        <v>5.0473970473970467E-3</v>
      </c>
      <c r="AU67" s="36">
        <f t="shared" si="28"/>
        <v>0.9949526029526029</v>
      </c>
      <c r="AV67" s="20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180">
        <f t="shared" si="31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>+AP67</f>
        <v>46296</v>
      </c>
      <c r="BT67" s="169" t="s">
        <v>86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6">
      <c r="A68" s="45">
        <v>46234</v>
      </c>
      <c r="B68" s="46" t="s">
        <v>277</v>
      </c>
      <c r="C68" s="5" t="s">
        <v>77</v>
      </c>
      <c r="D68" s="47">
        <v>7503057496749</v>
      </c>
      <c r="E68" s="48" t="s">
        <v>989</v>
      </c>
      <c r="F68" s="49" t="s">
        <v>990</v>
      </c>
      <c r="G68" s="50" t="s">
        <v>60</v>
      </c>
      <c r="H68" s="71" t="s">
        <v>783</v>
      </c>
      <c r="I68" s="56" t="s">
        <v>661</v>
      </c>
      <c r="J68" s="49" t="s">
        <v>281</v>
      </c>
      <c r="K68" s="52">
        <v>1</v>
      </c>
      <c r="L68" s="515"/>
      <c r="M68" s="51"/>
      <c r="N68" s="49" t="s">
        <v>991</v>
      </c>
      <c r="O68" s="51"/>
      <c r="P68" s="416" t="s">
        <v>992</v>
      </c>
      <c r="Q68" s="49" t="s">
        <v>993</v>
      </c>
      <c r="R68" s="51" t="s">
        <v>60</v>
      </c>
      <c r="S68" s="49" t="s">
        <v>987</v>
      </c>
      <c r="T68" s="55">
        <v>0.55000000000000004</v>
      </c>
      <c r="U68" s="56" t="s">
        <v>64</v>
      </c>
      <c r="V68" s="56">
        <v>10000</v>
      </c>
      <c r="W68" s="57" t="e">
        <f t="shared" si="32"/>
        <v>#VALUE!</v>
      </c>
      <c r="X68" s="57" t="e">
        <f t="shared" si="35"/>
        <v>#VALUE!</v>
      </c>
      <c r="Y68" s="57" t="e">
        <v>#VALUE!</v>
      </c>
      <c r="Z68" s="57" t="e">
        <f t="shared" si="20"/>
        <v>#VALUE!</v>
      </c>
      <c r="AA68" s="57">
        <v>0.28000000000000003</v>
      </c>
      <c r="AB68" s="57" t="s">
        <v>882</v>
      </c>
      <c r="AC68" s="57">
        <v>179</v>
      </c>
      <c r="AD68" s="58" t="s">
        <v>988</v>
      </c>
      <c r="AE68" s="59">
        <v>99</v>
      </c>
      <c r="AF68" s="57">
        <f t="shared" si="21"/>
        <v>85.344827586206904</v>
      </c>
      <c r="AG68" s="57">
        <f t="shared" si="22"/>
        <v>51.206896551724142</v>
      </c>
      <c r="AH68" s="60">
        <f t="shared" si="23"/>
        <v>5.4680134680134681E-3</v>
      </c>
      <c r="AI68" s="60">
        <f t="shared" si="24"/>
        <v>0.99453198653198649</v>
      </c>
      <c r="AJ68" s="61">
        <f t="shared" si="25"/>
        <v>0.4</v>
      </c>
      <c r="AK68" s="51" t="s">
        <v>790</v>
      </c>
      <c r="AL68" s="51" t="s">
        <v>67</v>
      </c>
      <c r="AM68" s="62">
        <v>6</v>
      </c>
      <c r="AN68" s="19">
        <f t="shared" si="36"/>
        <v>144</v>
      </c>
      <c r="AO68" s="226" t="s">
        <v>791</v>
      </c>
      <c r="AP68" s="228">
        <v>46296</v>
      </c>
      <c r="AR68" s="38">
        <f t="shared" si="34"/>
        <v>64.350000000000009</v>
      </c>
      <c r="AS68" s="34">
        <f t="shared" si="26"/>
        <v>55.474137931034491</v>
      </c>
      <c r="AT68" s="35">
        <f t="shared" si="27"/>
        <v>5.0473970473970467E-3</v>
      </c>
      <c r="AU68" s="36">
        <f t="shared" si="28"/>
        <v>0.9949526029526029</v>
      </c>
      <c r="AV68" s="20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180">
        <f t="shared" si="31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>+AP68</f>
        <v>46296</v>
      </c>
      <c r="BT68" s="169" t="s">
        <v>86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6">
      <c r="A69" s="45">
        <v>46234</v>
      </c>
      <c r="B69" s="46" t="s">
        <v>277</v>
      </c>
      <c r="C69" s="5" t="s">
        <v>77</v>
      </c>
      <c r="D69" s="47">
        <v>7503057496756</v>
      </c>
      <c r="E69" s="48" t="s">
        <v>994</v>
      </c>
      <c r="F69" s="49" t="s">
        <v>995</v>
      </c>
      <c r="G69" s="50" t="s">
        <v>60</v>
      </c>
      <c r="H69" s="71" t="s">
        <v>783</v>
      </c>
      <c r="I69" s="56" t="s">
        <v>661</v>
      </c>
      <c r="J69" s="49" t="s">
        <v>281</v>
      </c>
      <c r="K69" s="52">
        <v>1</v>
      </c>
      <c r="L69" s="515"/>
      <c r="M69" s="51"/>
      <c r="N69" s="49" t="s">
        <v>996</v>
      </c>
      <c r="O69" s="51"/>
      <c r="P69" s="416" t="s">
        <v>992</v>
      </c>
      <c r="Q69" s="49" t="s">
        <v>844</v>
      </c>
      <c r="R69" s="49" t="s">
        <v>60</v>
      </c>
      <c r="S69" s="49" t="s">
        <v>987</v>
      </c>
      <c r="T69" s="55">
        <v>0.55000000000000004</v>
      </c>
      <c r="U69" s="56" t="s">
        <v>64</v>
      </c>
      <c r="V69" s="56">
        <v>10000</v>
      </c>
      <c r="W69" s="57" t="e">
        <f t="shared" si="32"/>
        <v>#VALUE!</v>
      </c>
      <c r="X69" s="57" t="e">
        <f t="shared" si="35"/>
        <v>#VALUE!</v>
      </c>
      <c r="Y69" s="57" t="e">
        <v>#VALUE!</v>
      </c>
      <c r="Z69" s="57" t="e">
        <f t="shared" si="20"/>
        <v>#VALUE!</v>
      </c>
      <c r="AA69" s="57">
        <v>0.28000000000000003</v>
      </c>
      <c r="AB69" s="57" t="s">
        <v>882</v>
      </c>
      <c r="AC69" s="57">
        <v>99</v>
      </c>
      <c r="AD69" s="58" t="s">
        <v>988</v>
      </c>
      <c r="AE69" s="59">
        <v>99</v>
      </c>
      <c r="AF69" s="57">
        <f t="shared" si="21"/>
        <v>85.344827586206904</v>
      </c>
      <c r="AG69" s="57">
        <f t="shared" si="22"/>
        <v>51.206896551724142</v>
      </c>
      <c r="AH69" s="60">
        <f t="shared" si="23"/>
        <v>5.4680134680134681E-3</v>
      </c>
      <c r="AI69" s="60">
        <f t="shared" si="24"/>
        <v>0.99453198653198649</v>
      </c>
      <c r="AJ69" s="61">
        <f t="shared" si="25"/>
        <v>0.4</v>
      </c>
      <c r="AK69" s="51" t="s">
        <v>790</v>
      </c>
      <c r="AL69" s="51" t="s">
        <v>67</v>
      </c>
      <c r="AM69" s="62">
        <v>6</v>
      </c>
      <c r="AN69" s="19">
        <f t="shared" si="36"/>
        <v>144</v>
      </c>
      <c r="AO69" s="226" t="s">
        <v>791</v>
      </c>
      <c r="AP69" s="228">
        <v>46296</v>
      </c>
      <c r="AR69" s="38">
        <f t="shared" si="34"/>
        <v>64.350000000000009</v>
      </c>
      <c r="AS69" s="34">
        <f t="shared" si="26"/>
        <v>55.474137931034491</v>
      </c>
      <c r="AT69" s="35">
        <f t="shared" si="27"/>
        <v>5.0473970473970467E-3</v>
      </c>
      <c r="AU69" s="36">
        <f t="shared" si="28"/>
        <v>0.9949526029526029</v>
      </c>
      <c r="AV69" s="20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180">
        <f t="shared" si="31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>+AP69</f>
        <v>46296</v>
      </c>
      <c r="BT69" s="169" t="s">
        <v>86</v>
      </c>
    </row>
    <row r="70" spans="1:105" ht="409.6">
      <c r="A70" s="45">
        <v>46234</v>
      </c>
      <c r="B70" s="46" t="s">
        <v>277</v>
      </c>
      <c r="C70" s="5" t="s">
        <v>77</v>
      </c>
      <c r="D70" s="47">
        <v>7503057496763</v>
      </c>
      <c r="E70" s="48" t="s">
        <v>997</v>
      </c>
      <c r="F70" s="49" t="s">
        <v>998</v>
      </c>
      <c r="G70" s="50" t="s">
        <v>60</v>
      </c>
      <c r="H70" s="71" t="s">
        <v>783</v>
      </c>
      <c r="I70" s="56" t="s">
        <v>661</v>
      </c>
      <c r="J70" s="49" t="s">
        <v>281</v>
      </c>
      <c r="K70" s="52">
        <v>1</v>
      </c>
      <c r="L70" s="515"/>
      <c r="M70" s="51"/>
      <c r="N70" s="49" t="s">
        <v>999</v>
      </c>
      <c r="O70" s="51"/>
      <c r="P70" s="415" t="s">
        <v>992</v>
      </c>
      <c r="Q70" s="49" t="s">
        <v>1000</v>
      </c>
      <c r="R70" s="51" t="s">
        <v>60</v>
      </c>
      <c r="S70" s="49" t="s">
        <v>987</v>
      </c>
      <c r="T70" s="55">
        <v>0.55000000000000004</v>
      </c>
      <c r="U70" s="56" t="s">
        <v>64</v>
      </c>
      <c r="V70" s="56">
        <v>10000</v>
      </c>
      <c r="W70" s="57" t="e">
        <f t="shared" si="32"/>
        <v>#VALUE!</v>
      </c>
      <c r="X70" s="57" t="e">
        <f t="shared" si="35"/>
        <v>#VALUE!</v>
      </c>
      <c r="Y70" s="57" t="e">
        <v>#VALUE!</v>
      </c>
      <c r="Z70" s="57" t="e">
        <f t="shared" si="20"/>
        <v>#VALUE!</v>
      </c>
      <c r="AA70" s="57">
        <v>0.28000000000000003</v>
      </c>
      <c r="AB70" s="57" t="s">
        <v>882</v>
      </c>
      <c r="AC70" s="57">
        <v>99</v>
      </c>
      <c r="AD70" s="58" t="s">
        <v>988</v>
      </c>
      <c r="AE70" s="59">
        <v>99</v>
      </c>
      <c r="AF70" s="57">
        <f t="shared" si="21"/>
        <v>85.344827586206904</v>
      </c>
      <c r="AG70" s="57">
        <f t="shared" si="22"/>
        <v>51.206896551724142</v>
      </c>
      <c r="AH70" s="60">
        <f t="shared" si="23"/>
        <v>5.4680134680134681E-3</v>
      </c>
      <c r="AI70" s="60">
        <f t="shared" si="24"/>
        <v>0.99453198653198649</v>
      </c>
      <c r="AJ70" s="61">
        <f t="shared" si="25"/>
        <v>0.4</v>
      </c>
      <c r="AK70" s="51" t="s">
        <v>790</v>
      </c>
      <c r="AL70" s="51" t="s">
        <v>67</v>
      </c>
      <c r="AM70" s="62">
        <v>6</v>
      </c>
      <c r="AN70" s="19">
        <f t="shared" si="36"/>
        <v>144</v>
      </c>
      <c r="AO70" s="226" t="s">
        <v>791</v>
      </c>
      <c r="AP70" s="228">
        <v>46296</v>
      </c>
      <c r="AR70" s="38">
        <f t="shared" si="34"/>
        <v>64.350000000000009</v>
      </c>
      <c r="AS70" s="34">
        <f t="shared" si="26"/>
        <v>55.474137931034491</v>
      </c>
      <c r="AT70" s="35">
        <f t="shared" si="27"/>
        <v>5.0473970473970467E-3</v>
      </c>
      <c r="AU70" s="36">
        <f t="shared" si="28"/>
        <v>0.9949526029526029</v>
      </c>
      <c r="AV70" s="20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180">
        <f t="shared" si="31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>+AP70</f>
        <v>46296</v>
      </c>
      <c r="BT70" s="169" t="s">
        <v>86</v>
      </c>
    </row>
    <row r="71" spans="1:105" ht="384.75">
      <c r="A71" s="45">
        <v>46234</v>
      </c>
      <c r="B71" s="46" t="s">
        <v>174</v>
      </c>
      <c r="C71" s="5" t="s">
        <v>248</v>
      </c>
      <c r="D71" s="47">
        <v>7503057496770</v>
      </c>
      <c r="E71" s="48" t="s">
        <v>1001</v>
      </c>
      <c r="F71" s="49" t="s">
        <v>1002</v>
      </c>
      <c r="G71" s="50" t="s">
        <v>60</v>
      </c>
      <c r="H71" s="51" t="s">
        <v>204</v>
      </c>
      <c r="I71" s="56" t="s">
        <v>661</v>
      </c>
      <c r="J71" s="49" t="s">
        <v>281</v>
      </c>
      <c r="K71" s="52">
        <v>1</v>
      </c>
      <c r="L71" s="416" t="s">
        <v>1003</v>
      </c>
      <c r="M71" s="51"/>
      <c r="N71" s="58" t="s">
        <v>1004</v>
      </c>
      <c r="O71" s="51"/>
      <c r="P71" s="58" t="s">
        <v>69</v>
      </c>
      <c r="Q71" s="49" t="s">
        <v>1005</v>
      </c>
      <c r="R71" s="51" t="s">
        <v>60</v>
      </c>
      <c r="S71" s="49" t="s">
        <v>69</v>
      </c>
      <c r="T71" s="55">
        <v>0.57999999999999996</v>
      </c>
      <c r="U71" s="56" t="s">
        <v>64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0"/>
        <v>#VALUE!</v>
      </c>
      <c r="AA71" s="57">
        <v>1.75</v>
      </c>
      <c r="AB71" s="57" t="s">
        <v>62</v>
      </c>
      <c r="AC71" s="57">
        <v>99</v>
      </c>
      <c r="AD71" s="58" t="s">
        <v>1006</v>
      </c>
      <c r="AE71" s="59">
        <v>119</v>
      </c>
      <c r="AF71" s="57">
        <f t="shared" si="21"/>
        <v>102.58620689655173</v>
      </c>
      <c r="AG71" s="57">
        <f t="shared" si="22"/>
        <v>61.551724137931032</v>
      </c>
      <c r="AH71" s="60">
        <f t="shared" si="23"/>
        <v>2.8431372549019607E-2</v>
      </c>
      <c r="AI71" s="60">
        <f t="shared" si="24"/>
        <v>0.97156862745098038</v>
      </c>
      <c r="AJ71" s="61">
        <f t="shared" si="25"/>
        <v>0.4</v>
      </c>
      <c r="AK71" s="51" t="s">
        <v>528</v>
      </c>
      <c r="AL71" s="51" t="s">
        <v>67</v>
      </c>
      <c r="AM71" s="62">
        <v>12</v>
      </c>
      <c r="AN71" s="19">
        <f>+AM71*12</f>
        <v>144</v>
      </c>
      <c r="AO71" s="226" t="s">
        <v>1007</v>
      </c>
      <c r="AP71" s="225"/>
      <c r="AR71" s="38">
        <f t="shared" si="34"/>
        <v>77.350000000000009</v>
      </c>
      <c r="AS71" s="34">
        <f t="shared" si="26"/>
        <v>66.681034482758633</v>
      </c>
      <c r="AT71" s="35">
        <f t="shared" si="27"/>
        <v>2.6244343891402708E-2</v>
      </c>
      <c r="AU71" s="36">
        <f t="shared" si="28"/>
        <v>0.97375565610859727</v>
      </c>
      <c r="AV71" s="20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180">
        <f t="shared" si="31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>+AP71</f>
        <v>0</v>
      </c>
      <c r="BT71" s="169" t="s">
        <v>661</v>
      </c>
    </row>
    <row r="72" spans="1:105" ht="384.75">
      <c r="A72" s="45">
        <v>46234</v>
      </c>
      <c r="B72" s="46" t="s">
        <v>174</v>
      </c>
      <c r="C72" s="5" t="s">
        <v>248</v>
      </c>
      <c r="D72" s="47">
        <v>7503057496787</v>
      </c>
      <c r="E72" s="48" t="s">
        <v>1008</v>
      </c>
      <c r="F72" s="49" t="s">
        <v>1009</v>
      </c>
      <c r="G72" s="50" t="s">
        <v>60</v>
      </c>
      <c r="H72" s="51" t="s">
        <v>1010</v>
      </c>
      <c r="I72" s="56" t="s">
        <v>661</v>
      </c>
      <c r="J72" s="49" t="s">
        <v>281</v>
      </c>
      <c r="K72" s="52">
        <v>1</v>
      </c>
      <c r="L72" s="415" t="s">
        <v>1011</v>
      </c>
      <c r="M72" s="51"/>
      <c r="N72" s="49" t="s">
        <v>1012</v>
      </c>
      <c r="O72" s="51"/>
      <c r="P72" s="415" t="s">
        <v>1013</v>
      </c>
      <c r="Q72" s="49" t="s">
        <v>1014</v>
      </c>
      <c r="R72" s="51" t="s">
        <v>69</v>
      </c>
      <c r="S72" s="49" t="s">
        <v>69</v>
      </c>
      <c r="T72" s="55">
        <v>2.8</v>
      </c>
      <c r="U72" s="56" t="s">
        <v>64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0"/>
        <v>#VALUE!</v>
      </c>
      <c r="AA72" s="57">
        <v>8.82</v>
      </c>
      <c r="AB72" s="57" t="s">
        <v>1015</v>
      </c>
      <c r="AC72" s="57">
        <v>99</v>
      </c>
      <c r="AD72" s="58" t="s">
        <v>1016</v>
      </c>
      <c r="AE72" s="59">
        <v>489</v>
      </c>
      <c r="AF72" s="57">
        <f t="shared" si="21"/>
        <v>421.55172413793105</v>
      </c>
      <c r="AG72" s="57">
        <f t="shared" si="22"/>
        <v>252.93103448275861</v>
      </c>
      <c r="AH72" s="60">
        <f t="shared" si="23"/>
        <v>3.4871165644171781E-2</v>
      </c>
      <c r="AI72" s="60">
        <f t="shared" si="24"/>
        <v>0.96512883435582819</v>
      </c>
      <c r="AJ72" s="61">
        <f t="shared" si="25"/>
        <v>0.4</v>
      </c>
      <c r="AK72" s="51" t="s">
        <v>528</v>
      </c>
      <c r="AL72" s="51" t="s">
        <v>67</v>
      </c>
      <c r="AM72" s="62">
        <v>6</v>
      </c>
      <c r="AN72" s="19">
        <f>+AM72*12</f>
        <v>72</v>
      </c>
      <c r="AO72" s="226" t="s">
        <v>1017</v>
      </c>
      <c r="AP72" s="228">
        <v>46285</v>
      </c>
      <c r="AR72" s="38">
        <f t="shared" si="34"/>
        <v>317.85000000000002</v>
      </c>
      <c r="AS72" s="34">
        <f t="shared" si="26"/>
        <v>274.00862068965523</v>
      </c>
      <c r="AT72" s="35">
        <f t="shared" si="27"/>
        <v>3.2188768286927794E-2</v>
      </c>
      <c r="AU72" s="36">
        <f t="shared" si="28"/>
        <v>0.96781123171307226</v>
      </c>
      <c r="AV72" s="20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180">
        <f t="shared" si="31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>+AP72</f>
        <v>46285</v>
      </c>
      <c r="BT72" s="169" t="s">
        <v>86</v>
      </c>
    </row>
    <row r="73" spans="1:105" ht="27"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8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BO71" activePane="topRight" state="frozen"/>
      <selection pane="topRight" activeCell="AM30" sqref="AM3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74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32" customWidth="1"/>
    <col min="70" max="70" width="42.85546875" style="165" customWidth="1"/>
    <col min="71" max="71" width="28.85546875" style="165" customWidth="1"/>
    <col min="72" max="72" width="43" style="165" customWidth="1"/>
    <col min="73" max="76" width="28.85546875" customWidth="1"/>
    <col min="88" max="88" width="35.42578125" style="242" customWidth="1"/>
    <col min="89" max="91" width="35.42578125" style="170" customWidth="1"/>
    <col min="92" max="92" width="35.42578125" style="242" customWidth="1"/>
    <col min="93" max="93" width="35.42578125" style="170" customWidth="1"/>
    <col min="94" max="94" width="35.42578125" style="242" customWidth="1"/>
    <col min="95" max="95" width="35.42578125" style="170" customWidth="1"/>
    <col min="96" max="96" width="35.42578125" style="248" customWidth="1"/>
    <col min="97" max="97" width="35.42578125" style="161" customWidth="1"/>
    <col min="98" max="98" width="35.42578125" style="242" customWidth="1"/>
    <col min="99" max="99" width="35.42578125" style="170" customWidth="1"/>
    <col min="100" max="100" width="35.42578125" style="248" customWidth="1"/>
    <col min="101" max="101" width="35.42578125" style="161" customWidth="1"/>
    <col min="102" max="102" width="35.42578125" style="248" customWidth="1"/>
    <col min="103" max="103" width="35.42578125" style="161" customWidth="1"/>
    <col min="104" max="104" width="35.42578125" style="248" customWidth="1"/>
    <col min="105" max="105" width="35.42578125" style="161" customWidth="1"/>
    <col min="106" max="106" width="35.42578125" style="248" customWidth="1"/>
    <col min="107" max="107" width="35.42578125" style="161" customWidth="1"/>
  </cols>
  <sheetData>
    <row r="1" spans="1:107" s="132" customFormat="1" ht="32.450000000000003">
      <c r="A1" s="184"/>
      <c r="B1" s="185" t="s">
        <v>13</v>
      </c>
      <c r="C1" s="186" t="s">
        <v>248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450000000000003">
      <c r="A2" s="517" t="s">
        <v>1018</v>
      </c>
      <c r="B2" s="51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450000000000003">
      <c r="A3" s="187" t="s">
        <v>254</v>
      </c>
      <c r="B3" s="188">
        <v>46101</v>
      </c>
      <c r="C3" s="189">
        <v>46107</v>
      </c>
      <c r="D3" s="152"/>
      <c r="E3" s="187" t="s">
        <v>254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450000000000003">
      <c r="A4" s="190" t="s">
        <v>1019</v>
      </c>
      <c r="B4" s="191"/>
      <c r="C4" s="191">
        <v>46111</v>
      </c>
      <c r="D4" s="152"/>
      <c r="E4" s="190" t="s">
        <v>1019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450000000000003">
      <c r="A5" s="187" t="s">
        <v>256</v>
      </c>
      <c r="B5" s="189">
        <f>+B3+50</f>
        <v>46151</v>
      </c>
      <c r="C5" s="189">
        <v>46162</v>
      </c>
      <c r="D5" s="152"/>
      <c r="E5" s="187" t="s">
        <v>1020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450000000000003">
      <c r="A6" s="187" t="s">
        <v>255</v>
      </c>
      <c r="B6" s="189">
        <f>+B5+45</f>
        <v>46196</v>
      </c>
      <c r="C6" s="189">
        <f>+C5+45</f>
        <v>46207</v>
      </c>
      <c r="D6" s="152"/>
      <c r="E6" s="187" t="s">
        <v>256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450000000000003">
      <c r="A7" s="187" t="s">
        <v>257</v>
      </c>
      <c r="B7" s="189">
        <f>+B5+65</f>
        <v>46216</v>
      </c>
      <c r="C7" s="189">
        <f>+C5+65</f>
        <v>46227</v>
      </c>
      <c r="D7" s="152"/>
      <c r="E7" s="187" t="s">
        <v>255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450000000000003">
      <c r="A8" s="187" t="s">
        <v>258</v>
      </c>
      <c r="B8" s="192">
        <f>+B7+7</f>
        <v>46223</v>
      </c>
      <c r="C8" s="193">
        <f>+C7+7</f>
        <v>46234</v>
      </c>
      <c r="D8" s="152"/>
      <c r="E8" s="187" t="s">
        <v>257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450000000000003">
      <c r="A9" s="194"/>
      <c r="B9" s="194"/>
      <c r="C9" s="194"/>
      <c r="D9" s="152"/>
      <c r="E9" s="187" t="s">
        <v>258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  <c r="DB14" s="514"/>
      <c r="DC14" s="514"/>
    </row>
    <row r="15" spans="1:107" s="132" customFormat="1" ht="56.1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1021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1022</v>
      </c>
      <c r="M16" s="151" t="s">
        <v>1023</v>
      </c>
      <c r="N16" s="151" t="s">
        <v>1024</v>
      </c>
      <c r="O16" s="151" t="s">
        <v>483</v>
      </c>
      <c r="P16" s="151" t="s">
        <v>1025</v>
      </c>
      <c r="Q16" s="151" t="s">
        <v>1026</v>
      </c>
      <c r="R16" s="151" t="s">
        <v>1027</v>
      </c>
      <c r="S16" s="151" t="s">
        <v>387</v>
      </c>
      <c r="T16" s="151" t="s">
        <v>41</v>
      </c>
      <c r="U16" s="151" t="s">
        <v>23</v>
      </c>
      <c r="V16" s="151" t="s">
        <v>24</v>
      </c>
      <c r="W16" s="151" t="s">
        <v>651</v>
      </c>
      <c r="X16" s="151" t="s">
        <v>1028</v>
      </c>
      <c r="Y16" s="151" t="s">
        <v>27</v>
      </c>
      <c r="Z16" s="151" t="s">
        <v>28</v>
      </c>
      <c r="AA16" s="151" t="s">
        <v>30</v>
      </c>
      <c r="AB16" s="151" t="s">
        <v>1029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1030</v>
      </c>
      <c r="AJ16" s="151" t="s">
        <v>1031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272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115.5">
      <c r="A17" s="46">
        <v>1</v>
      </c>
      <c r="B17" s="92">
        <v>46234</v>
      </c>
      <c r="C17" s="46" t="s">
        <v>76</v>
      </c>
      <c r="D17" s="46" t="s">
        <v>77</v>
      </c>
      <c r="E17" s="93">
        <v>7506110697640</v>
      </c>
      <c r="F17" s="62" t="s">
        <v>1032</v>
      </c>
      <c r="G17" s="52" t="s">
        <v>1033</v>
      </c>
      <c r="H17" s="94" t="s">
        <v>60</v>
      </c>
      <c r="I17" s="95" t="s">
        <v>783</v>
      </c>
      <c r="J17" s="46" t="s">
        <v>1034</v>
      </c>
      <c r="K17" s="52" t="s">
        <v>1035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</v>
      </c>
      <c r="T17" s="98">
        <v>0.57999999999999996</v>
      </c>
      <c r="U17" s="19" t="s">
        <v>64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284</v>
      </c>
      <c r="AH17" s="99" t="s">
        <v>67</v>
      </c>
      <c r="AI17" s="19">
        <v>6</v>
      </c>
      <c r="AJ17" s="19">
        <f t="shared" ref="AJ17:AJ28" si="7">+AI17*24</f>
        <v>144</v>
      </c>
      <c r="AK17" s="62" t="s">
        <v>1036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1037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115.5">
      <c r="A18" s="46">
        <v>2</v>
      </c>
      <c r="B18" s="92">
        <v>46234</v>
      </c>
      <c r="C18" s="46" t="s">
        <v>76</v>
      </c>
      <c r="D18" s="46" t="s">
        <v>77</v>
      </c>
      <c r="E18" s="93">
        <v>7506110697657</v>
      </c>
      <c r="F18" s="62" t="s">
        <v>1038</v>
      </c>
      <c r="G18" s="52" t="s">
        <v>1039</v>
      </c>
      <c r="H18" s="102" t="s">
        <v>60</v>
      </c>
      <c r="I18" s="95" t="s">
        <v>783</v>
      </c>
      <c r="J18" s="46" t="s">
        <v>1034</v>
      </c>
      <c r="K18" s="52" t="s">
        <v>1035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</v>
      </c>
      <c r="T18" s="98">
        <v>0.57999999999999996</v>
      </c>
      <c r="U18" s="19" t="s">
        <v>64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284</v>
      </c>
      <c r="AH18" s="99" t="s">
        <v>67</v>
      </c>
      <c r="AI18" s="19">
        <v>6</v>
      </c>
      <c r="AJ18" s="19">
        <f t="shared" si="7"/>
        <v>144</v>
      </c>
      <c r="AK18" s="62" t="s">
        <v>1036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1037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115.5">
      <c r="A19" s="46">
        <v>3</v>
      </c>
      <c r="B19" s="92">
        <v>46234</v>
      </c>
      <c r="C19" s="46" t="s">
        <v>76</v>
      </c>
      <c r="D19" s="46" t="s">
        <v>77</v>
      </c>
      <c r="E19" s="93">
        <v>7506110697664</v>
      </c>
      <c r="F19" s="62" t="s">
        <v>1040</v>
      </c>
      <c r="G19" s="52" t="s">
        <v>1041</v>
      </c>
      <c r="H19" s="102" t="s">
        <v>60</v>
      </c>
      <c r="I19" s="95" t="s">
        <v>783</v>
      </c>
      <c r="J19" s="46" t="s">
        <v>1034</v>
      </c>
      <c r="K19" s="52" t="s">
        <v>1035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</v>
      </c>
      <c r="T19" s="98">
        <v>0.57999999999999996</v>
      </c>
      <c r="U19" s="19" t="s">
        <v>64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284</v>
      </c>
      <c r="AH19" s="99" t="s">
        <v>67</v>
      </c>
      <c r="AI19" s="19">
        <v>6</v>
      </c>
      <c r="AJ19" s="19">
        <f t="shared" si="7"/>
        <v>144</v>
      </c>
      <c r="AK19" s="62" t="s">
        <v>1036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1037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115.5">
      <c r="A20" s="46">
        <v>4</v>
      </c>
      <c r="B20" s="92">
        <v>46234</v>
      </c>
      <c r="C20" s="46" t="s">
        <v>76</v>
      </c>
      <c r="D20" s="46" t="s">
        <v>77</v>
      </c>
      <c r="E20" s="93">
        <v>7506110697671</v>
      </c>
      <c r="F20" s="62" t="s">
        <v>1042</v>
      </c>
      <c r="G20" s="52" t="s">
        <v>1043</v>
      </c>
      <c r="H20" s="102" t="s">
        <v>60</v>
      </c>
      <c r="I20" s="95" t="s">
        <v>783</v>
      </c>
      <c r="J20" s="46" t="s">
        <v>1034</v>
      </c>
      <c r="K20" s="52" t="s">
        <v>1035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</v>
      </c>
      <c r="T20" s="98">
        <v>0.57999999999999996</v>
      </c>
      <c r="U20" s="19" t="s">
        <v>64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284</v>
      </c>
      <c r="AH20" s="99" t="s">
        <v>67</v>
      </c>
      <c r="AI20" s="19">
        <v>6</v>
      </c>
      <c r="AJ20" s="19">
        <f t="shared" si="7"/>
        <v>144</v>
      </c>
      <c r="AK20" s="62" t="s">
        <v>1036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1037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76.5">
      <c r="A21" s="46">
        <v>5</v>
      </c>
      <c r="B21" s="92">
        <v>46234</v>
      </c>
      <c r="C21" s="46" t="s">
        <v>76</v>
      </c>
      <c r="D21" s="46" t="s">
        <v>77</v>
      </c>
      <c r="E21" s="93">
        <v>7506110697688</v>
      </c>
      <c r="F21" s="62" t="s">
        <v>1044</v>
      </c>
      <c r="G21" s="52" t="s">
        <v>1045</v>
      </c>
      <c r="H21" s="102" t="s">
        <v>60</v>
      </c>
      <c r="I21" s="95" t="s">
        <v>343</v>
      </c>
      <c r="J21" s="46" t="s">
        <v>1034</v>
      </c>
      <c r="K21" s="52" t="s">
        <v>1035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</v>
      </c>
      <c r="T21" s="104">
        <v>0.52500000000000002</v>
      </c>
      <c r="U21" s="19" t="s">
        <v>64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284</v>
      </c>
      <c r="AH21" s="99" t="s">
        <v>67</v>
      </c>
      <c r="AI21" s="19">
        <v>6</v>
      </c>
      <c r="AJ21" s="19">
        <f t="shared" si="7"/>
        <v>144</v>
      </c>
      <c r="AK21" s="62" t="s">
        <v>1046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1047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76.5">
      <c r="A22" s="46">
        <v>6</v>
      </c>
      <c r="B22" s="92">
        <v>46234</v>
      </c>
      <c r="C22" s="46" t="s">
        <v>76</v>
      </c>
      <c r="D22" s="46" t="s">
        <v>77</v>
      </c>
      <c r="E22" s="93">
        <v>7506110697695</v>
      </c>
      <c r="F22" s="62" t="s">
        <v>1048</v>
      </c>
      <c r="G22" s="52" t="s">
        <v>1049</v>
      </c>
      <c r="H22" s="102" t="s">
        <v>60</v>
      </c>
      <c r="I22" s="95" t="s">
        <v>343</v>
      </c>
      <c r="J22" s="46" t="s">
        <v>1034</v>
      </c>
      <c r="K22" s="52" t="s">
        <v>1035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</v>
      </c>
      <c r="T22" s="104">
        <v>0.52500000000000002</v>
      </c>
      <c r="U22" s="19" t="s">
        <v>64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284</v>
      </c>
      <c r="AH22" s="99" t="s">
        <v>67</v>
      </c>
      <c r="AI22" s="19">
        <v>6</v>
      </c>
      <c r="AJ22" s="19">
        <f t="shared" si="7"/>
        <v>144</v>
      </c>
      <c r="AK22" s="62" t="s">
        <v>1046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1047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76.5">
      <c r="A23" s="46">
        <v>7</v>
      </c>
      <c r="B23" s="92">
        <v>46234</v>
      </c>
      <c r="C23" s="46" t="s">
        <v>76</v>
      </c>
      <c r="D23" s="46" t="s">
        <v>77</v>
      </c>
      <c r="E23" s="93">
        <v>7506110697701</v>
      </c>
      <c r="F23" s="62" t="s">
        <v>1050</v>
      </c>
      <c r="G23" s="52" t="s">
        <v>1051</v>
      </c>
      <c r="H23" s="102" t="s">
        <v>60</v>
      </c>
      <c r="I23" s="95" t="s">
        <v>343</v>
      </c>
      <c r="J23" s="46" t="s">
        <v>1034</v>
      </c>
      <c r="K23" s="52" t="s">
        <v>1035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</v>
      </c>
      <c r="T23" s="104">
        <v>0.52500000000000002</v>
      </c>
      <c r="U23" s="19" t="s">
        <v>64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284</v>
      </c>
      <c r="AH23" s="99" t="s">
        <v>67</v>
      </c>
      <c r="AI23" s="19">
        <v>6</v>
      </c>
      <c r="AJ23" s="19">
        <f t="shared" si="7"/>
        <v>144</v>
      </c>
      <c r="AK23" s="62" t="s">
        <v>1046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1047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76.5">
      <c r="A24" s="46">
        <v>8</v>
      </c>
      <c r="B24" s="92">
        <v>46234</v>
      </c>
      <c r="C24" s="46" t="s">
        <v>76</v>
      </c>
      <c r="D24" s="46" t="s">
        <v>77</v>
      </c>
      <c r="E24" s="93">
        <v>7506110697718</v>
      </c>
      <c r="F24" s="62" t="s">
        <v>1052</v>
      </c>
      <c r="G24" s="52" t="s">
        <v>1053</v>
      </c>
      <c r="H24" s="102" t="s">
        <v>60</v>
      </c>
      <c r="I24" s="95" t="s">
        <v>343</v>
      </c>
      <c r="J24" s="46" t="s">
        <v>1034</v>
      </c>
      <c r="K24" s="52" t="s">
        <v>1035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</v>
      </c>
      <c r="T24" s="104">
        <v>0.52500000000000002</v>
      </c>
      <c r="U24" s="19" t="s">
        <v>64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284</v>
      </c>
      <c r="AH24" s="99" t="s">
        <v>67</v>
      </c>
      <c r="AI24" s="19">
        <v>6</v>
      </c>
      <c r="AJ24" s="19">
        <f t="shared" si="7"/>
        <v>144</v>
      </c>
      <c r="AK24" s="62" t="s">
        <v>1046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1047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115.5">
      <c r="A25" s="46">
        <v>9</v>
      </c>
      <c r="B25" s="92">
        <v>46234</v>
      </c>
      <c r="C25" s="46" t="s">
        <v>76</v>
      </c>
      <c r="D25" s="46" t="s">
        <v>77</v>
      </c>
      <c r="E25" s="93">
        <v>7506110697725</v>
      </c>
      <c r="F25" s="62" t="s">
        <v>1054</v>
      </c>
      <c r="G25" s="52" t="s">
        <v>1055</v>
      </c>
      <c r="H25" s="102" t="s">
        <v>60</v>
      </c>
      <c r="I25" s="95" t="s">
        <v>1056</v>
      </c>
      <c r="J25" s="46" t="s">
        <v>1034</v>
      </c>
      <c r="K25" s="52" t="s">
        <v>1035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</v>
      </c>
      <c r="T25" s="104">
        <v>0.53</v>
      </c>
      <c r="U25" s="19" t="s">
        <v>64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284</v>
      </c>
      <c r="AH25" s="99" t="s">
        <v>67</v>
      </c>
      <c r="AI25" s="19">
        <v>6</v>
      </c>
      <c r="AJ25" s="19">
        <f t="shared" si="7"/>
        <v>144</v>
      </c>
      <c r="AK25" s="62" t="s">
        <v>1036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1037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115.5">
      <c r="A26" s="46">
        <v>10</v>
      </c>
      <c r="B26" s="92">
        <v>46234</v>
      </c>
      <c r="C26" s="46" t="s">
        <v>76</v>
      </c>
      <c r="D26" s="46" t="s">
        <v>77</v>
      </c>
      <c r="E26" s="93">
        <v>7506110697732</v>
      </c>
      <c r="F26" s="62" t="s">
        <v>1057</v>
      </c>
      <c r="G26" s="52" t="s">
        <v>1058</v>
      </c>
      <c r="H26" s="102" t="s">
        <v>60</v>
      </c>
      <c r="I26" s="95" t="s">
        <v>1056</v>
      </c>
      <c r="J26" s="46" t="s">
        <v>1034</v>
      </c>
      <c r="K26" s="52" t="s">
        <v>1035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</v>
      </c>
      <c r="T26" s="104">
        <v>0.53</v>
      </c>
      <c r="U26" s="19" t="s">
        <v>64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284</v>
      </c>
      <c r="AH26" s="99" t="s">
        <v>67</v>
      </c>
      <c r="AI26" s="19">
        <v>6</v>
      </c>
      <c r="AJ26" s="19">
        <f t="shared" si="7"/>
        <v>144</v>
      </c>
      <c r="AK26" s="62" t="s">
        <v>1036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1037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115.5">
      <c r="A27" s="46">
        <v>11</v>
      </c>
      <c r="B27" s="92">
        <v>46234</v>
      </c>
      <c r="C27" s="46" t="s">
        <v>76</v>
      </c>
      <c r="D27" s="46" t="s">
        <v>77</v>
      </c>
      <c r="E27" s="93">
        <v>7506110697749</v>
      </c>
      <c r="F27" s="62" t="s">
        <v>1059</v>
      </c>
      <c r="G27" s="52" t="s">
        <v>1060</v>
      </c>
      <c r="H27" s="102" t="s">
        <v>60</v>
      </c>
      <c r="I27" s="95" t="s">
        <v>1056</v>
      </c>
      <c r="J27" s="46" t="s">
        <v>1034</v>
      </c>
      <c r="K27" s="52" t="s">
        <v>1035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</v>
      </c>
      <c r="T27" s="104">
        <v>0.53</v>
      </c>
      <c r="U27" s="19" t="s">
        <v>64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284</v>
      </c>
      <c r="AH27" s="99" t="s">
        <v>67</v>
      </c>
      <c r="AI27" s="19">
        <v>6</v>
      </c>
      <c r="AJ27" s="19">
        <f t="shared" si="7"/>
        <v>144</v>
      </c>
      <c r="AK27" s="62" t="s">
        <v>1036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1037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115.5">
      <c r="A28" s="46">
        <v>12</v>
      </c>
      <c r="B28" s="92">
        <v>46234</v>
      </c>
      <c r="C28" s="46" t="s">
        <v>76</v>
      </c>
      <c r="D28" s="46" t="s">
        <v>77</v>
      </c>
      <c r="E28" s="93">
        <v>7506110697756</v>
      </c>
      <c r="F28" s="62" t="s">
        <v>1061</v>
      </c>
      <c r="G28" s="52" t="s">
        <v>1062</v>
      </c>
      <c r="H28" s="102" t="s">
        <v>60</v>
      </c>
      <c r="I28" s="95" t="s">
        <v>1056</v>
      </c>
      <c r="J28" s="46" t="s">
        <v>1034</v>
      </c>
      <c r="K28" s="52" t="s">
        <v>1035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</v>
      </c>
      <c r="T28" s="104">
        <v>0.53</v>
      </c>
      <c r="U28" s="19" t="s">
        <v>64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284</v>
      </c>
      <c r="AH28" s="99" t="s">
        <v>67</v>
      </c>
      <c r="AI28" s="19">
        <v>6</v>
      </c>
      <c r="AJ28" s="19">
        <f t="shared" si="7"/>
        <v>144</v>
      </c>
      <c r="AK28" s="62" t="s">
        <v>1036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1037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115.5">
      <c r="A29" s="46">
        <v>13</v>
      </c>
      <c r="B29" s="92">
        <v>46234</v>
      </c>
      <c r="C29" s="46" t="s">
        <v>76</v>
      </c>
      <c r="D29" s="46" t="s">
        <v>77</v>
      </c>
      <c r="E29" s="93">
        <v>7506110697763</v>
      </c>
      <c r="F29" s="62" t="s">
        <v>1063</v>
      </c>
      <c r="G29" s="52" t="s">
        <v>1064</v>
      </c>
      <c r="H29" s="105" t="s">
        <v>60</v>
      </c>
      <c r="I29" s="95" t="s">
        <v>1065</v>
      </c>
      <c r="J29" s="46" t="s">
        <v>1034</v>
      </c>
      <c r="K29" s="52" t="s">
        <v>1035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</v>
      </c>
      <c r="T29" s="98">
        <v>0.53</v>
      </c>
      <c r="U29" s="19" t="s">
        <v>64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284</v>
      </c>
      <c r="AH29" s="99" t="s">
        <v>67</v>
      </c>
      <c r="AI29" s="19">
        <v>24</v>
      </c>
      <c r="AJ29" s="19">
        <f>+AI29*40</f>
        <v>960</v>
      </c>
      <c r="AK29" s="62" t="s">
        <v>1066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1047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76.5">
      <c r="A30" s="46">
        <v>14</v>
      </c>
      <c r="B30" s="92">
        <v>46234</v>
      </c>
      <c r="C30" s="46" t="s">
        <v>76</v>
      </c>
      <c r="D30" s="46" t="s">
        <v>77</v>
      </c>
      <c r="E30" s="93">
        <v>7506110697770</v>
      </c>
      <c r="F30" s="62" t="s">
        <v>1067</v>
      </c>
      <c r="G30" s="52" t="s">
        <v>1068</v>
      </c>
      <c r="H30" s="105" t="s">
        <v>60</v>
      </c>
      <c r="I30" s="95" t="s">
        <v>1065</v>
      </c>
      <c r="J30" s="46" t="s">
        <v>1034</v>
      </c>
      <c r="K30" s="52" t="s">
        <v>1035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</v>
      </c>
      <c r="T30" s="98">
        <v>0.53</v>
      </c>
      <c r="U30" s="19" t="s">
        <v>64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284</v>
      </c>
      <c r="AH30" s="99" t="s">
        <v>67</v>
      </c>
      <c r="AI30" s="19">
        <v>24</v>
      </c>
      <c r="AJ30" s="19">
        <f>+AI30*40</f>
        <v>960</v>
      </c>
      <c r="AK30" s="62" t="s">
        <v>1066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1047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153.75">
      <c r="A31" s="46">
        <v>17</v>
      </c>
      <c r="B31" s="92" t="s">
        <v>176</v>
      </c>
      <c r="C31" s="46" t="s">
        <v>277</v>
      </c>
      <c r="D31" s="46" t="s">
        <v>77</v>
      </c>
      <c r="E31" s="93">
        <v>7506110697800</v>
      </c>
      <c r="F31" s="62" t="s">
        <v>1069</v>
      </c>
      <c r="G31" s="52" t="s">
        <v>1070</v>
      </c>
      <c r="H31" s="102" t="s">
        <v>60</v>
      </c>
      <c r="I31" s="95" t="s">
        <v>1071</v>
      </c>
      <c r="J31" s="46" t="s">
        <v>1034</v>
      </c>
      <c r="K31" s="52" t="s">
        <v>1035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</v>
      </c>
      <c r="T31" s="98">
        <v>0.61499999999999999</v>
      </c>
      <c r="U31" s="19" t="s">
        <v>64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284</v>
      </c>
      <c r="AH31" s="99" t="s">
        <v>67</v>
      </c>
      <c r="AI31" s="19">
        <v>6</v>
      </c>
      <c r="AJ31" s="19">
        <f t="shared" ref="AJ31:AJ53" si="19">+AI31*24</f>
        <v>144</v>
      </c>
      <c r="AK31" s="62" t="s">
        <v>1072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1037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153.75">
      <c r="A32" s="46">
        <v>18</v>
      </c>
      <c r="B32" s="92" t="s">
        <v>176</v>
      </c>
      <c r="C32" s="46" t="s">
        <v>277</v>
      </c>
      <c r="D32" s="46" t="s">
        <v>77</v>
      </c>
      <c r="E32" s="93">
        <v>7506110697817</v>
      </c>
      <c r="F32" s="62" t="s">
        <v>1073</v>
      </c>
      <c r="G32" s="52" t="s">
        <v>1074</v>
      </c>
      <c r="H32" s="102" t="s">
        <v>60</v>
      </c>
      <c r="I32" s="95" t="s">
        <v>1071</v>
      </c>
      <c r="J32" s="46" t="s">
        <v>1034</v>
      </c>
      <c r="K32" s="52" t="s">
        <v>1035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</v>
      </c>
      <c r="T32" s="98">
        <v>0.61499999999999999</v>
      </c>
      <c r="U32" s="19" t="s">
        <v>64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284</v>
      </c>
      <c r="AH32" s="99" t="s">
        <v>67</v>
      </c>
      <c r="AI32" s="19">
        <v>6</v>
      </c>
      <c r="AJ32" s="19">
        <f t="shared" si="19"/>
        <v>144</v>
      </c>
      <c r="AK32" s="62" t="s">
        <v>1072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1037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153.75">
      <c r="A33" s="46">
        <v>19</v>
      </c>
      <c r="B33" s="92" t="s">
        <v>176</v>
      </c>
      <c r="C33" s="46" t="s">
        <v>277</v>
      </c>
      <c r="D33" s="46" t="s">
        <v>77</v>
      </c>
      <c r="E33" s="93">
        <v>7506110697824</v>
      </c>
      <c r="F33" s="62" t="s">
        <v>1075</v>
      </c>
      <c r="G33" s="106" t="s">
        <v>1076</v>
      </c>
      <c r="H33" s="102" t="s">
        <v>60</v>
      </c>
      <c r="I33" s="95" t="s">
        <v>1071</v>
      </c>
      <c r="J33" s="46" t="s">
        <v>1034</v>
      </c>
      <c r="K33" s="52" t="s">
        <v>1035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</v>
      </c>
      <c r="T33" s="98">
        <v>0.61499999999999999</v>
      </c>
      <c r="U33" s="19" t="s">
        <v>64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284</v>
      </c>
      <c r="AH33" s="99" t="s">
        <v>67</v>
      </c>
      <c r="AI33" s="19">
        <v>6</v>
      </c>
      <c r="AJ33" s="19">
        <f t="shared" si="19"/>
        <v>144</v>
      </c>
      <c r="AK33" s="62" t="s">
        <v>1072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1037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153.75">
      <c r="A34" s="46">
        <v>20</v>
      </c>
      <c r="B34" s="92" t="s">
        <v>176</v>
      </c>
      <c r="C34" s="46" t="s">
        <v>277</v>
      </c>
      <c r="D34" s="46" t="s">
        <v>77</v>
      </c>
      <c r="E34" s="93">
        <v>7506110697831</v>
      </c>
      <c r="F34" s="62" t="s">
        <v>1077</v>
      </c>
      <c r="G34" s="52" t="s">
        <v>1078</v>
      </c>
      <c r="H34" s="102" t="s">
        <v>60</v>
      </c>
      <c r="I34" s="95" t="s">
        <v>1071</v>
      </c>
      <c r="J34" s="46" t="s">
        <v>1034</v>
      </c>
      <c r="K34" s="52" t="s">
        <v>1035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</v>
      </c>
      <c r="T34" s="98">
        <v>0.61499999999999999</v>
      </c>
      <c r="U34" s="19" t="s">
        <v>64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284</v>
      </c>
      <c r="AH34" s="99" t="s">
        <v>67</v>
      </c>
      <c r="AI34" s="19">
        <v>6</v>
      </c>
      <c r="AJ34" s="19">
        <f t="shared" si="19"/>
        <v>144</v>
      </c>
      <c r="AK34" s="62" t="s">
        <v>1072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1037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115.5">
      <c r="A35" s="46">
        <v>81</v>
      </c>
      <c r="B35" s="92">
        <v>46234</v>
      </c>
      <c r="C35" s="46" t="s">
        <v>76</v>
      </c>
      <c r="D35" s="46" t="s">
        <v>77</v>
      </c>
      <c r="E35" s="93">
        <v>7506110697848</v>
      </c>
      <c r="F35" s="62" t="s">
        <v>1079</v>
      </c>
      <c r="G35" s="52" t="s">
        <v>1080</v>
      </c>
      <c r="H35" s="102" t="s">
        <v>60</v>
      </c>
      <c r="I35" s="95" t="s">
        <v>482</v>
      </c>
      <c r="J35" s="46" t="s">
        <v>1034</v>
      </c>
      <c r="K35" s="52" t="s">
        <v>1035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</v>
      </c>
      <c r="T35" s="98">
        <v>0.77500000000000002</v>
      </c>
      <c r="U35" s="19" t="s">
        <v>64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284</v>
      </c>
      <c r="AH35" s="99" t="s">
        <v>67</v>
      </c>
      <c r="AI35" s="19">
        <v>6</v>
      </c>
      <c r="AJ35" s="19">
        <f t="shared" si="19"/>
        <v>144</v>
      </c>
      <c r="AK35" s="62" t="s">
        <v>1036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1037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115.5">
      <c r="A36" s="46">
        <v>82</v>
      </c>
      <c r="B36" s="92">
        <v>46234</v>
      </c>
      <c r="C36" s="46" t="s">
        <v>76</v>
      </c>
      <c r="D36" s="46" t="s">
        <v>77</v>
      </c>
      <c r="E36" s="93">
        <v>7506110697855</v>
      </c>
      <c r="F36" s="62" t="s">
        <v>1081</v>
      </c>
      <c r="G36" s="52" t="s">
        <v>1082</v>
      </c>
      <c r="H36" s="102" t="s">
        <v>60</v>
      </c>
      <c r="I36" s="95" t="s">
        <v>482</v>
      </c>
      <c r="J36" s="46" t="s">
        <v>1034</v>
      </c>
      <c r="K36" s="52" t="s">
        <v>1035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</v>
      </c>
      <c r="T36" s="98">
        <v>0.77500000000000002</v>
      </c>
      <c r="U36" s="19" t="s">
        <v>64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284</v>
      </c>
      <c r="AH36" s="99" t="s">
        <v>67</v>
      </c>
      <c r="AI36" s="19">
        <v>6</v>
      </c>
      <c r="AJ36" s="19">
        <f t="shared" si="19"/>
        <v>144</v>
      </c>
      <c r="AK36" s="62" t="s">
        <v>1036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1037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115.5">
      <c r="A37" s="46">
        <v>81</v>
      </c>
      <c r="B37" s="92">
        <v>46234</v>
      </c>
      <c r="C37" s="46" t="s">
        <v>76</v>
      </c>
      <c r="D37" s="46" t="s">
        <v>77</v>
      </c>
      <c r="E37" s="93">
        <v>7506110697862</v>
      </c>
      <c r="F37" s="62" t="s">
        <v>1083</v>
      </c>
      <c r="G37" s="52" t="s">
        <v>1084</v>
      </c>
      <c r="H37" s="102" t="s">
        <v>60</v>
      </c>
      <c r="I37" s="95" t="s">
        <v>482</v>
      </c>
      <c r="J37" s="46" t="s">
        <v>1034</v>
      </c>
      <c r="K37" s="52" t="s">
        <v>1035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</v>
      </c>
      <c r="T37" s="98">
        <v>0.77500000000000002</v>
      </c>
      <c r="U37" s="19" t="s">
        <v>64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284</v>
      </c>
      <c r="AH37" s="99" t="s">
        <v>67</v>
      </c>
      <c r="AI37" s="19">
        <v>6</v>
      </c>
      <c r="AJ37" s="19">
        <f t="shared" si="19"/>
        <v>144</v>
      </c>
      <c r="AK37" s="62" t="s">
        <v>1036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1037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115.5">
      <c r="A38" s="46">
        <v>82</v>
      </c>
      <c r="B38" s="92">
        <v>46234</v>
      </c>
      <c r="C38" s="46" t="s">
        <v>76</v>
      </c>
      <c r="D38" s="46" t="s">
        <v>77</v>
      </c>
      <c r="E38" s="93">
        <v>7506110697879</v>
      </c>
      <c r="F38" s="62" t="s">
        <v>1085</v>
      </c>
      <c r="G38" s="52" t="s">
        <v>1086</v>
      </c>
      <c r="H38" s="102" t="s">
        <v>60</v>
      </c>
      <c r="I38" s="95" t="s">
        <v>482</v>
      </c>
      <c r="J38" s="46" t="s">
        <v>1034</v>
      </c>
      <c r="K38" s="52" t="s">
        <v>1035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</v>
      </c>
      <c r="T38" s="98">
        <v>0.77500000000000002</v>
      </c>
      <c r="U38" s="19" t="s">
        <v>64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284</v>
      </c>
      <c r="AH38" s="99" t="s">
        <v>67</v>
      </c>
      <c r="AI38" s="19">
        <v>6</v>
      </c>
      <c r="AJ38" s="19">
        <f t="shared" si="19"/>
        <v>144</v>
      </c>
      <c r="AK38" s="62" t="s">
        <v>1036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1037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76.5">
      <c r="A39" s="46">
        <v>27</v>
      </c>
      <c r="B39" s="92">
        <v>46234</v>
      </c>
      <c r="C39" s="46" t="s">
        <v>76</v>
      </c>
      <c r="D39" s="46" t="s">
        <v>77</v>
      </c>
      <c r="E39" s="93">
        <v>7506110697909</v>
      </c>
      <c r="F39" s="62" t="s">
        <v>1087</v>
      </c>
      <c r="G39" s="52" t="s">
        <v>1088</v>
      </c>
      <c r="H39" s="102"/>
      <c r="I39" s="95" t="s">
        <v>928</v>
      </c>
      <c r="J39" s="46" t="s">
        <v>1034</v>
      </c>
      <c r="K39" s="52" t="s">
        <v>1035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</v>
      </c>
      <c r="T39" s="98">
        <v>0.47</v>
      </c>
      <c r="U39" s="19" t="s">
        <v>64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284</v>
      </c>
      <c r="AH39" s="99" t="s">
        <v>67</v>
      </c>
      <c r="AI39" s="19">
        <v>6</v>
      </c>
      <c r="AJ39" s="19">
        <f t="shared" si="19"/>
        <v>144</v>
      </c>
      <c r="AK39" s="62" t="s">
        <v>1046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1037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76.5">
      <c r="A40" s="46">
        <v>29</v>
      </c>
      <c r="B40" s="92">
        <v>46234</v>
      </c>
      <c r="C40" s="46" t="s">
        <v>76</v>
      </c>
      <c r="D40" s="46" t="s">
        <v>77</v>
      </c>
      <c r="E40" s="93">
        <v>7506110697923</v>
      </c>
      <c r="F40" s="62" t="s">
        <v>1089</v>
      </c>
      <c r="G40" s="52" t="s">
        <v>1090</v>
      </c>
      <c r="H40" s="102" t="s">
        <v>60</v>
      </c>
      <c r="I40" s="95" t="s">
        <v>367</v>
      </c>
      <c r="J40" s="46" t="s">
        <v>1034</v>
      </c>
      <c r="K40" s="52" t="s">
        <v>1035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</v>
      </c>
      <c r="T40" s="104">
        <v>0.77</v>
      </c>
      <c r="U40" s="19" t="s">
        <v>64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284</v>
      </c>
      <c r="AH40" s="99" t="s">
        <v>67</v>
      </c>
      <c r="AI40" s="19">
        <v>6</v>
      </c>
      <c r="AJ40" s="19">
        <f t="shared" si="19"/>
        <v>144</v>
      </c>
      <c r="AK40" s="62" t="s">
        <v>1091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1037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76.5">
      <c r="A41" s="46">
        <v>33</v>
      </c>
      <c r="B41" s="92">
        <v>46234</v>
      </c>
      <c r="C41" s="46" t="s">
        <v>76</v>
      </c>
      <c r="D41" s="46" t="s">
        <v>77</v>
      </c>
      <c r="E41" s="93">
        <v>7506110697961</v>
      </c>
      <c r="F41" s="62" t="s">
        <v>1092</v>
      </c>
      <c r="G41" s="52" t="s">
        <v>1093</v>
      </c>
      <c r="H41" s="102" t="s">
        <v>60</v>
      </c>
      <c r="I41" s="52"/>
      <c r="J41" s="46" t="s">
        <v>1034</v>
      </c>
      <c r="K41" s="52" t="s">
        <v>1035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</v>
      </c>
      <c r="T41" s="98">
        <v>0.47</v>
      </c>
      <c r="U41" s="19" t="s">
        <v>64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284</v>
      </c>
      <c r="AH41" s="99" t="s">
        <v>67</v>
      </c>
      <c r="AI41" s="19">
        <v>6</v>
      </c>
      <c r="AJ41" s="19">
        <f t="shared" si="19"/>
        <v>144</v>
      </c>
      <c r="AK41" s="62" t="s">
        <v>1046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1037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76.5">
      <c r="A42" s="46">
        <v>34</v>
      </c>
      <c r="B42" s="92">
        <v>46234</v>
      </c>
      <c r="C42" s="46" t="s">
        <v>76</v>
      </c>
      <c r="D42" s="46" t="s">
        <v>77</v>
      </c>
      <c r="E42" s="93">
        <v>7506110697978</v>
      </c>
      <c r="F42" s="62" t="s">
        <v>1094</v>
      </c>
      <c r="G42" s="52" t="s">
        <v>1095</v>
      </c>
      <c r="H42" s="102" t="s">
        <v>60</v>
      </c>
      <c r="I42" s="52"/>
      <c r="J42" s="46" t="s">
        <v>1034</v>
      </c>
      <c r="K42" s="52" t="s">
        <v>1035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</v>
      </c>
      <c r="T42" s="98">
        <v>0.47</v>
      </c>
      <c r="U42" s="19" t="s">
        <v>64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284</v>
      </c>
      <c r="AH42" s="99" t="s">
        <v>67</v>
      </c>
      <c r="AI42" s="19">
        <v>6</v>
      </c>
      <c r="AJ42" s="19">
        <f t="shared" si="19"/>
        <v>144</v>
      </c>
      <c r="AK42" s="62" t="s">
        <v>1046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1037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76.5">
      <c r="A43" s="46">
        <v>35</v>
      </c>
      <c r="B43" s="92">
        <v>46234</v>
      </c>
      <c r="C43" s="46" t="s">
        <v>76</v>
      </c>
      <c r="D43" s="46" t="s">
        <v>77</v>
      </c>
      <c r="E43" s="93">
        <v>7506110697985</v>
      </c>
      <c r="F43" s="62" t="s">
        <v>1096</v>
      </c>
      <c r="G43" s="52" t="s">
        <v>1097</v>
      </c>
      <c r="H43" s="102" t="s">
        <v>60</v>
      </c>
      <c r="I43" s="52"/>
      <c r="J43" s="46" t="s">
        <v>1034</v>
      </c>
      <c r="K43" s="52" t="s">
        <v>1035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</v>
      </c>
      <c r="T43" s="98">
        <v>0.47</v>
      </c>
      <c r="U43" s="19" t="s">
        <v>64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284</v>
      </c>
      <c r="AH43" s="99" t="s">
        <v>67</v>
      </c>
      <c r="AI43" s="19">
        <v>6</v>
      </c>
      <c r="AJ43" s="19">
        <f t="shared" si="19"/>
        <v>144</v>
      </c>
      <c r="AK43" s="62" t="s">
        <v>1046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1037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76.5">
      <c r="A44" s="46">
        <v>36</v>
      </c>
      <c r="B44" s="92">
        <v>46234</v>
      </c>
      <c r="C44" s="46" t="s">
        <v>76</v>
      </c>
      <c r="D44" s="46" t="s">
        <v>77</v>
      </c>
      <c r="E44" s="93">
        <v>7506110697992</v>
      </c>
      <c r="F44" s="62" t="s">
        <v>1098</v>
      </c>
      <c r="G44" s="52" t="s">
        <v>1099</v>
      </c>
      <c r="H44" s="102" t="s">
        <v>60</v>
      </c>
      <c r="I44" s="52"/>
      <c r="J44" s="46" t="s">
        <v>1034</v>
      </c>
      <c r="K44" s="52" t="s">
        <v>1035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</v>
      </c>
      <c r="T44" s="98">
        <v>0.47</v>
      </c>
      <c r="U44" s="19" t="s">
        <v>64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284</v>
      </c>
      <c r="AH44" s="99" t="s">
        <v>67</v>
      </c>
      <c r="AI44" s="19">
        <v>6</v>
      </c>
      <c r="AJ44" s="19">
        <f t="shared" si="19"/>
        <v>144</v>
      </c>
      <c r="AK44" s="62" t="s">
        <v>1046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1037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115.5">
      <c r="A45" s="46">
        <v>37</v>
      </c>
      <c r="B45" s="92">
        <v>46234</v>
      </c>
      <c r="C45" s="46" t="s">
        <v>76</v>
      </c>
      <c r="D45" s="46" t="s">
        <v>77</v>
      </c>
      <c r="E45" s="93">
        <v>7506110698005</v>
      </c>
      <c r="F45" s="62" t="s">
        <v>1100</v>
      </c>
      <c r="G45" s="52" t="s">
        <v>1101</v>
      </c>
      <c r="H45" s="102" t="s">
        <v>60</v>
      </c>
      <c r="I45" s="52"/>
      <c r="J45" s="46" t="s">
        <v>1034</v>
      </c>
      <c r="K45" s="52" t="s">
        <v>1035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</v>
      </c>
      <c r="T45" s="98">
        <v>0.32</v>
      </c>
      <c r="U45" s="19" t="s">
        <v>64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847</v>
      </c>
      <c r="AH45" s="99" t="s">
        <v>67</v>
      </c>
      <c r="AI45" s="19">
        <v>6</v>
      </c>
      <c r="AJ45" s="19">
        <f t="shared" si="19"/>
        <v>144</v>
      </c>
      <c r="AK45" s="62" t="s">
        <v>1036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1037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115.5">
      <c r="A46" s="46">
        <v>38</v>
      </c>
      <c r="B46" s="92">
        <v>46234</v>
      </c>
      <c r="C46" s="46" t="s">
        <v>76</v>
      </c>
      <c r="D46" s="46" t="s">
        <v>77</v>
      </c>
      <c r="E46" s="93">
        <v>7506110698012</v>
      </c>
      <c r="F46" s="62" t="s">
        <v>1102</v>
      </c>
      <c r="G46" s="52" t="s">
        <v>1103</v>
      </c>
      <c r="H46" s="102" t="s">
        <v>60</v>
      </c>
      <c r="I46" s="52"/>
      <c r="J46" s="46" t="s">
        <v>1034</v>
      </c>
      <c r="K46" s="52" t="s">
        <v>1035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</v>
      </c>
      <c r="T46" s="98">
        <v>0.32</v>
      </c>
      <c r="U46" s="19" t="s">
        <v>64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847</v>
      </c>
      <c r="AH46" s="99" t="s">
        <v>67</v>
      </c>
      <c r="AI46" s="19">
        <v>6</v>
      </c>
      <c r="AJ46" s="19">
        <f t="shared" si="19"/>
        <v>144</v>
      </c>
      <c r="AK46" s="62" t="s">
        <v>1036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1037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115.5">
      <c r="A47" s="46">
        <v>39</v>
      </c>
      <c r="B47" s="92">
        <v>46234</v>
      </c>
      <c r="C47" s="46" t="s">
        <v>76</v>
      </c>
      <c r="D47" s="46" t="s">
        <v>77</v>
      </c>
      <c r="E47" s="93">
        <v>7506110698029</v>
      </c>
      <c r="F47" s="62" t="s">
        <v>1104</v>
      </c>
      <c r="G47" s="109" t="s">
        <v>1105</v>
      </c>
      <c r="H47" s="102" t="s">
        <v>60</v>
      </c>
      <c r="I47" s="109"/>
      <c r="J47" s="46" t="s">
        <v>1034</v>
      </c>
      <c r="K47" s="52" t="s">
        <v>1035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</v>
      </c>
      <c r="T47" s="98">
        <v>0.32</v>
      </c>
      <c r="U47" s="19" t="s">
        <v>64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847</v>
      </c>
      <c r="AH47" s="99" t="s">
        <v>67</v>
      </c>
      <c r="AI47" s="19">
        <v>6</v>
      </c>
      <c r="AJ47" s="19">
        <f t="shared" si="19"/>
        <v>144</v>
      </c>
      <c r="AK47" s="62" t="s">
        <v>1036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1037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115.5">
      <c r="A48" s="46">
        <v>40</v>
      </c>
      <c r="B48" s="92">
        <v>46234</v>
      </c>
      <c r="C48" s="46" t="s">
        <v>76</v>
      </c>
      <c r="D48" s="46" t="s">
        <v>77</v>
      </c>
      <c r="E48" s="93">
        <v>7506110698036</v>
      </c>
      <c r="F48" s="62" t="s">
        <v>1106</v>
      </c>
      <c r="G48" s="109" t="s">
        <v>1107</v>
      </c>
      <c r="H48" s="102" t="s">
        <v>60</v>
      </c>
      <c r="I48" s="109"/>
      <c r="J48" s="46" t="s">
        <v>1034</v>
      </c>
      <c r="K48" s="52" t="s">
        <v>1035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</v>
      </c>
      <c r="T48" s="98">
        <v>0.32</v>
      </c>
      <c r="U48" s="19" t="s">
        <v>64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847</v>
      </c>
      <c r="AH48" s="99" t="s">
        <v>67</v>
      </c>
      <c r="AI48" s="19">
        <v>6</v>
      </c>
      <c r="AJ48" s="19">
        <f t="shared" si="19"/>
        <v>144</v>
      </c>
      <c r="AK48" s="62" t="s">
        <v>1036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1037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115.5">
      <c r="A49" s="46">
        <v>41</v>
      </c>
      <c r="B49" s="92">
        <v>46234</v>
      </c>
      <c r="C49" s="46" t="s">
        <v>76</v>
      </c>
      <c r="D49" s="46" t="s">
        <v>77</v>
      </c>
      <c r="E49" s="93">
        <v>7506110698043</v>
      </c>
      <c r="F49" s="62" t="s">
        <v>1108</v>
      </c>
      <c r="G49" s="109" t="s">
        <v>1109</v>
      </c>
      <c r="H49" s="102" t="s">
        <v>60</v>
      </c>
      <c r="I49" s="109"/>
      <c r="J49" s="46" t="s">
        <v>1034</v>
      </c>
      <c r="K49" s="52" t="s">
        <v>1035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</v>
      </c>
      <c r="T49" s="98">
        <v>0.32</v>
      </c>
      <c r="U49" s="19" t="s">
        <v>64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847</v>
      </c>
      <c r="AH49" s="99" t="s">
        <v>67</v>
      </c>
      <c r="AI49" s="19">
        <v>6</v>
      </c>
      <c r="AJ49" s="19">
        <f t="shared" si="19"/>
        <v>144</v>
      </c>
      <c r="AK49" s="62" t="s">
        <v>1036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1037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115.5">
      <c r="A50" s="46">
        <v>42</v>
      </c>
      <c r="B50" s="92">
        <v>46234</v>
      </c>
      <c r="C50" s="46" t="s">
        <v>76</v>
      </c>
      <c r="D50" s="46" t="s">
        <v>77</v>
      </c>
      <c r="E50" s="93">
        <v>7506110698050</v>
      </c>
      <c r="F50" s="62" t="s">
        <v>1110</v>
      </c>
      <c r="G50" s="110" t="s">
        <v>1111</v>
      </c>
      <c r="H50" s="102" t="s">
        <v>60</v>
      </c>
      <c r="I50" s="110"/>
      <c r="J50" s="46" t="s">
        <v>1034</v>
      </c>
      <c r="K50" s="52" t="s">
        <v>1035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</v>
      </c>
      <c r="T50" s="98">
        <v>0.32</v>
      </c>
      <c r="U50" s="19" t="s">
        <v>64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847</v>
      </c>
      <c r="AH50" s="99" t="s">
        <v>67</v>
      </c>
      <c r="AI50" s="19">
        <v>6</v>
      </c>
      <c r="AJ50" s="19">
        <f t="shared" si="19"/>
        <v>144</v>
      </c>
      <c r="AK50" s="62" t="s">
        <v>1036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1037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115.5">
      <c r="A51" s="46">
        <v>43</v>
      </c>
      <c r="B51" s="92">
        <v>46234</v>
      </c>
      <c r="C51" s="46" t="s">
        <v>76</v>
      </c>
      <c r="D51" s="46" t="s">
        <v>77</v>
      </c>
      <c r="E51" s="93">
        <v>7506110698067</v>
      </c>
      <c r="F51" s="62" t="s">
        <v>1112</v>
      </c>
      <c r="G51" s="110" t="s">
        <v>1113</v>
      </c>
      <c r="H51" s="102" t="s">
        <v>60</v>
      </c>
      <c r="I51" s="110"/>
      <c r="J51" s="46" t="s">
        <v>1034</v>
      </c>
      <c r="K51" s="52" t="s">
        <v>1035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</v>
      </c>
      <c r="T51" s="98">
        <v>0.32</v>
      </c>
      <c r="U51" s="19" t="s">
        <v>64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847</v>
      </c>
      <c r="AH51" s="99" t="s">
        <v>67</v>
      </c>
      <c r="AI51" s="19">
        <v>6</v>
      </c>
      <c r="AJ51" s="19">
        <f t="shared" si="19"/>
        <v>144</v>
      </c>
      <c r="AK51" s="62" t="s">
        <v>1036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1037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115.5">
      <c r="A52" s="46">
        <v>44</v>
      </c>
      <c r="B52" s="92">
        <v>46234</v>
      </c>
      <c r="C52" s="46" t="s">
        <v>76</v>
      </c>
      <c r="D52" s="46" t="s">
        <v>77</v>
      </c>
      <c r="E52" s="93">
        <v>7506110698074</v>
      </c>
      <c r="F52" s="62" t="s">
        <v>1114</v>
      </c>
      <c r="G52" s="110" t="s">
        <v>1115</v>
      </c>
      <c r="H52" s="102" t="s">
        <v>60</v>
      </c>
      <c r="I52" s="110"/>
      <c r="J52" s="46" t="s">
        <v>1034</v>
      </c>
      <c r="K52" s="52" t="s">
        <v>1035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</v>
      </c>
      <c r="T52" s="98">
        <v>0.32</v>
      </c>
      <c r="U52" s="19" t="s">
        <v>64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847</v>
      </c>
      <c r="AH52" s="99" t="s">
        <v>67</v>
      </c>
      <c r="AI52" s="19">
        <v>6</v>
      </c>
      <c r="AJ52" s="19">
        <f t="shared" si="19"/>
        <v>144</v>
      </c>
      <c r="AK52" s="62" t="s">
        <v>1036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1037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115.5">
      <c r="A53" s="46">
        <v>45</v>
      </c>
      <c r="B53" s="92">
        <v>46234</v>
      </c>
      <c r="C53" s="46" t="s">
        <v>76</v>
      </c>
      <c r="D53" s="46" t="s">
        <v>77</v>
      </c>
      <c r="E53" s="93">
        <v>7506110698081</v>
      </c>
      <c r="F53" s="62" t="s">
        <v>1116</v>
      </c>
      <c r="G53" s="110" t="s">
        <v>1117</v>
      </c>
      <c r="H53" s="102" t="s">
        <v>60</v>
      </c>
      <c r="I53" s="110"/>
      <c r="J53" s="46" t="s">
        <v>1034</v>
      </c>
      <c r="K53" s="52" t="s">
        <v>1035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</v>
      </c>
      <c r="T53" s="98">
        <v>0.32</v>
      </c>
      <c r="U53" s="19" t="s">
        <v>64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847</v>
      </c>
      <c r="AH53" s="99" t="s">
        <v>67</v>
      </c>
      <c r="AI53" s="19">
        <v>6</v>
      </c>
      <c r="AJ53" s="19">
        <f t="shared" si="19"/>
        <v>144</v>
      </c>
      <c r="AK53" s="62" t="s">
        <v>1036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1037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.099999999999994">
      <c r="A54" s="46">
        <v>48</v>
      </c>
      <c r="B54" s="92">
        <v>46234</v>
      </c>
      <c r="C54" s="46" t="s">
        <v>76</v>
      </c>
      <c r="D54" s="46" t="s">
        <v>77</v>
      </c>
      <c r="E54" s="93">
        <v>7506110698111</v>
      </c>
      <c r="F54" s="62" t="s">
        <v>1118</v>
      </c>
      <c r="G54" s="52" t="s">
        <v>1119</v>
      </c>
      <c r="H54" s="102" t="s">
        <v>60</v>
      </c>
      <c r="I54" s="52"/>
      <c r="J54" s="46" t="s">
        <v>1034</v>
      </c>
      <c r="K54" s="111" t="s">
        <v>565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</v>
      </c>
      <c r="T54" s="98">
        <v>0.32</v>
      </c>
      <c r="U54" s="19" t="s">
        <v>64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1120</v>
      </c>
      <c r="AH54" s="99" t="s">
        <v>67</v>
      </c>
      <c r="AI54" s="19">
        <v>24</v>
      </c>
      <c r="AJ54" s="19">
        <f>+AI54*12</f>
        <v>288</v>
      </c>
      <c r="AK54" s="62" t="s">
        <v>1046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1037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.099999999999994">
      <c r="A55" s="46">
        <v>49</v>
      </c>
      <c r="B55" s="92">
        <v>46234</v>
      </c>
      <c r="C55" s="46" t="s">
        <v>76</v>
      </c>
      <c r="D55" s="46" t="s">
        <v>77</v>
      </c>
      <c r="E55" s="93">
        <v>7506110698128</v>
      </c>
      <c r="F55" s="62" t="s">
        <v>1121</v>
      </c>
      <c r="G55" s="52" t="s">
        <v>1122</v>
      </c>
      <c r="H55" s="102" t="s">
        <v>60</v>
      </c>
      <c r="I55" s="52"/>
      <c r="J55" s="46" t="s">
        <v>1034</v>
      </c>
      <c r="K55" s="111" t="s">
        <v>565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</v>
      </c>
      <c r="T55" s="98">
        <v>0.32</v>
      </c>
      <c r="U55" s="19" t="s">
        <v>64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1120</v>
      </c>
      <c r="AH55" s="99" t="s">
        <v>67</v>
      </c>
      <c r="AI55" s="19">
        <v>24</v>
      </c>
      <c r="AJ55" s="19">
        <f>+AI55*12</f>
        <v>288</v>
      </c>
      <c r="AK55" s="62" t="s">
        <v>1046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1037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153.75">
      <c r="A56" s="46">
        <v>50</v>
      </c>
      <c r="B56" s="92">
        <v>46234</v>
      </c>
      <c r="C56" s="46" t="s">
        <v>76</v>
      </c>
      <c r="D56" s="46" t="s">
        <v>77</v>
      </c>
      <c r="E56" s="93">
        <v>7506110698135</v>
      </c>
      <c r="F56" s="62" t="s">
        <v>1123</v>
      </c>
      <c r="G56" s="52" t="s">
        <v>1124</v>
      </c>
      <c r="H56" s="102" t="s">
        <v>60</v>
      </c>
      <c r="I56" s="52"/>
      <c r="J56" s="46" t="s">
        <v>1034</v>
      </c>
      <c r="K56" s="52" t="s">
        <v>1035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</v>
      </c>
      <c r="T56" s="112">
        <v>0.7</v>
      </c>
      <c r="U56" s="19" t="s">
        <v>64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1120</v>
      </c>
      <c r="AH56" s="99" t="s">
        <v>67</v>
      </c>
      <c r="AI56" s="19">
        <v>6</v>
      </c>
      <c r="AJ56" s="19">
        <f>+AI56*24</f>
        <v>144</v>
      </c>
      <c r="AK56" s="62" t="s">
        <v>1125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86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153.75">
      <c r="A57" s="46">
        <v>51</v>
      </c>
      <c r="B57" s="92">
        <v>46234</v>
      </c>
      <c r="C57" s="46" t="s">
        <v>76</v>
      </c>
      <c r="D57" s="46" t="s">
        <v>77</v>
      </c>
      <c r="E57" s="93">
        <v>7506110698142</v>
      </c>
      <c r="F57" s="62" t="s">
        <v>1126</v>
      </c>
      <c r="G57" s="52" t="s">
        <v>1127</v>
      </c>
      <c r="H57" s="102" t="s">
        <v>60</v>
      </c>
      <c r="I57" s="52"/>
      <c r="J57" s="46" t="s">
        <v>1034</v>
      </c>
      <c r="K57" s="52" t="s">
        <v>1035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</v>
      </c>
      <c r="T57" s="112">
        <v>0.7</v>
      </c>
      <c r="U57" s="19" t="s">
        <v>64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1120</v>
      </c>
      <c r="AH57" s="99" t="s">
        <v>67</v>
      </c>
      <c r="AI57" s="19">
        <v>6</v>
      </c>
      <c r="AJ57" s="19">
        <f>+AI57*24</f>
        <v>144</v>
      </c>
      <c r="AK57" s="62" t="s">
        <v>1125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86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115.5">
      <c r="A58" s="46">
        <v>52</v>
      </c>
      <c r="B58" s="92">
        <v>46234</v>
      </c>
      <c r="C58" s="46" t="s">
        <v>76</v>
      </c>
      <c r="D58" s="46" t="s">
        <v>77</v>
      </c>
      <c r="E58" s="93">
        <v>7506110698159</v>
      </c>
      <c r="F58" s="62" t="s">
        <v>1128</v>
      </c>
      <c r="G58" s="52" t="s">
        <v>1129</v>
      </c>
      <c r="H58" s="102" t="s">
        <v>60</v>
      </c>
      <c r="I58" s="52"/>
      <c r="J58" s="46" t="s">
        <v>1034</v>
      </c>
      <c r="K58" s="52" t="s">
        <v>1035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1130</v>
      </c>
      <c r="R58" s="97">
        <v>0</v>
      </c>
      <c r="S58" s="97" t="s">
        <v>69</v>
      </c>
      <c r="T58" s="98">
        <v>0.53</v>
      </c>
      <c r="U58" s="19" t="s">
        <v>64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1120</v>
      </c>
      <c r="AH58" s="99" t="s">
        <v>67</v>
      </c>
      <c r="AI58" s="19">
        <v>24</v>
      </c>
      <c r="AJ58" s="19">
        <f t="shared" ref="AJ58:AJ66" si="37">+AI58*40</f>
        <v>960</v>
      </c>
      <c r="AK58" s="62" t="s">
        <v>1066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1047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153.75">
      <c r="A59" s="46">
        <v>53</v>
      </c>
      <c r="B59" s="92">
        <v>46234</v>
      </c>
      <c r="C59" s="46" t="s">
        <v>76</v>
      </c>
      <c r="D59" s="46" t="s">
        <v>77</v>
      </c>
      <c r="E59" s="93">
        <v>7506110698166</v>
      </c>
      <c r="F59" s="62" t="s">
        <v>1131</v>
      </c>
      <c r="G59" s="52" t="s">
        <v>1132</v>
      </c>
      <c r="H59" s="102"/>
      <c r="I59" s="52"/>
      <c r="J59" s="46" t="s">
        <v>1034</v>
      </c>
      <c r="K59" s="52" t="s">
        <v>1035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</v>
      </c>
      <c r="T59" s="98">
        <f t="shared" ref="T59:T66" si="38">+O59</f>
        <v>8.3000000000000004E-2</v>
      </c>
      <c r="U59" s="19" t="s">
        <v>64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1120</v>
      </c>
      <c r="AH59" s="99" t="s">
        <v>67</v>
      </c>
      <c r="AI59" s="19">
        <v>12</v>
      </c>
      <c r="AJ59" s="19">
        <f t="shared" si="37"/>
        <v>480</v>
      </c>
      <c r="AK59" s="62" t="s">
        <v>1125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150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153.75">
      <c r="A60" s="46">
        <v>54</v>
      </c>
      <c r="B60" s="92">
        <v>46234</v>
      </c>
      <c r="C60" s="46" t="s">
        <v>76</v>
      </c>
      <c r="D60" s="46" t="s">
        <v>77</v>
      </c>
      <c r="E60" s="93">
        <v>7506110698173</v>
      </c>
      <c r="F60" s="62" t="s">
        <v>1133</v>
      </c>
      <c r="G60" s="52" t="s">
        <v>1134</v>
      </c>
      <c r="H60" s="102" t="s">
        <v>60</v>
      </c>
      <c r="I60" s="52"/>
      <c r="J60" s="46" t="s">
        <v>1034</v>
      </c>
      <c r="K60" s="52" t="s">
        <v>1035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</v>
      </c>
      <c r="T60" s="98">
        <f t="shared" si="38"/>
        <v>8.3333333333333329E-2</v>
      </c>
      <c r="U60" s="19" t="s">
        <v>64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1120</v>
      </c>
      <c r="AH60" s="99" t="s">
        <v>67</v>
      </c>
      <c r="AI60" s="19">
        <v>12</v>
      </c>
      <c r="AJ60" s="19">
        <f t="shared" si="37"/>
        <v>480</v>
      </c>
      <c r="AK60" s="62" t="s">
        <v>1125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150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153.75">
      <c r="A61" s="46">
        <v>55</v>
      </c>
      <c r="B61" s="92">
        <v>46234</v>
      </c>
      <c r="C61" s="46" t="s">
        <v>76</v>
      </c>
      <c r="D61" s="46" t="s">
        <v>77</v>
      </c>
      <c r="E61" s="93">
        <v>7506110698180</v>
      </c>
      <c r="F61" s="62" t="s">
        <v>1135</v>
      </c>
      <c r="G61" s="52" t="s">
        <v>1136</v>
      </c>
      <c r="H61" s="102" t="s">
        <v>60</v>
      </c>
      <c r="I61" s="52"/>
      <c r="J61" s="46" t="s">
        <v>1034</v>
      </c>
      <c r="K61" s="52" t="s">
        <v>1035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</v>
      </c>
      <c r="T61" s="98">
        <f t="shared" si="38"/>
        <v>8.3333333333333329E-2</v>
      </c>
      <c r="U61" s="19" t="s">
        <v>64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1120</v>
      </c>
      <c r="AH61" s="99" t="s">
        <v>67</v>
      </c>
      <c r="AI61" s="19">
        <v>12</v>
      </c>
      <c r="AJ61" s="19">
        <f t="shared" si="37"/>
        <v>480</v>
      </c>
      <c r="AK61" s="62" t="s">
        <v>1125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150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153.75">
      <c r="A62" s="46">
        <v>56</v>
      </c>
      <c r="B62" s="92">
        <v>46234</v>
      </c>
      <c r="C62" s="46" t="s">
        <v>76</v>
      </c>
      <c r="D62" s="46" t="s">
        <v>77</v>
      </c>
      <c r="E62" s="93">
        <v>7506110698197</v>
      </c>
      <c r="F62" s="62" t="s">
        <v>1137</v>
      </c>
      <c r="G62" s="52" t="s">
        <v>1138</v>
      </c>
      <c r="H62" s="102" t="s">
        <v>60</v>
      </c>
      <c r="I62" s="52"/>
      <c r="J62" s="46" t="s">
        <v>1034</v>
      </c>
      <c r="K62" s="52" t="s">
        <v>1035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</v>
      </c>
      <c r="T62" s="98">
        <f t="shared" si="38"/>
        <v>8.3333333333333329E-2</v>
      </c>
      <c r="U62" s="19" t="s">
        <v>64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1120</v>
      </c>
      <c r="AH62" s="99" t="s">
        <v>67</v>
      </c>
      <c r="AI62" s="19">
        <v>12</v>
      </c>
      <c r="AJ62" s="19">
        <f t="shared" si="37"/>
        <v>480</v>
      </c>
      <c r="AK62" s="62" t="s">
        <v>1125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150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153.75">
      <c r="A63" s="46">
        <v>57</v>
      </c>
      <c r="B63" s="92">
        <v>46234</v>
      </c>
      <c r="C63" s="46" t="s">
        <v>76</v>
      </c>
      <c r="D63" s="46" t="s">
        <v>77</v>
      </c>
      <c r="E63" s="93">
        <v>7506110698203</v>
      </c>
      <c r="F63" s="62" t="s">
        <v>1139</v>
      </c>
      <c r="G63" s="52" t="s">
        <v>1140</v>
      </c>
      <c r="H63" s="102" t="s">
        <v>60</v>
      </c>
      <c r="I63" s="52"/>
      <c r="J63" s="46" t="s">
        <v>1034</v>
      </c>
      <c r="K63" s="52" t="s">
        <v>1035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</v>
      </c>
      <c r="T63" s="98">
        <f t="shared" si="38"/>
        <v>8.3333333333333329E-2</v>
      </c>
      <c r="U63" s="19" t="s">
        <v>64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1120</v>
      </c>
      <c r="AH63" s="99" t="s">
        <v>67</v>
      </c>
      <c r="AI63" s="19">
        <v>12</v>
      </c>
      <c r="AJ63" s="19">
        <f t="shared" si="37"/>
        <v>480</v>
      </c>
      <c r="AK63" s="62" t="s">
        <v>1125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150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153.75">
      <c r="A64" s="46">
        <v>58</v>
      </c>
      <c r="B64" s="92">
        <v>46234</v>
      </c>
      <c r="C64" s="46" t="s">
        <v>76</v>
      </c>
      <c r="D64" s="46" t="s">
        <v>77</v>
      </c>
      <c r="E64" s="93">
        <v>7506110698210</v>
      </c>
      <c r="F64" s="62" t="s">
        <v>1141</v>
      </c>
      <c r="G64" s="52" t="s">
        <v>1142</v>
      </c>
      <c r="H64" s="102" t="s">
        <v>60</v>
      </c>
      <c r="I64" s="52"/>
      <c r="J64" s="46" t="s">
        <v>1034</v>
      </c>
      <c r="K64" s="52" t="s">
        <v>1035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</v>
      </c>
      <c r="T64" s="98">
        <f t="shared" si="38"/>
        <v>8.3333333333333329E-2</v>
      </c>
      <c r="U64" s="19" t="s">
        <v>64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1120</v>
      </c>
      <c r="AH64" s="99" t="s">
        <v>67</v>
      </c>
      <c r="AI64" s="19">
        <v>12</v>
      </c>
      <c r="AJ64" s="19">
        <f t="shared" si="37"/>
        <v>480</v>
      </c>
      <c r="AK64" s="62" t="s">
        <v>1125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150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153.75">
      <c r="A65" s="46">
        <v>61</v>
      </c>
      <c r="B65" s="92">
        <v>46234</v>
      </c>
      <c r="C65" s="46" t="s">
        <v>76</v>
      </c>
      <c r="D65" s="46" t="s">
        <v>77</v>
      </c>
      <c r="E65" s="93">
        <v>7506110698241</v>
      </c>
      <c r="F65" s="62" t="s">
        <v>1143</v>
      </c>
      <c r="G65" s="52" t="s">
        <v>1144</v>
      </c>
      <c r="H65" s="102" t="s">
        <v>60</v>
      </c>
      <c r="I65" s="52"/>
      <c r="J65" s="46" t="s">
        <v>1034</v>
      </c>
      <c r="K65" s="52" t="s">
        <v>1035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</v>
      </c>
      <c r="T65" s="98">
        <f t="shared" si="38"/>
        <v>8.3333333333333329E-2</v>
      </c>
      <c r="U65" s="19" t="s">
        <v>64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1120</v>
      </c>
      <c r="AH65" s="99" t="s">
        <v>67</v>
      </c>
      <c r="AI65" s="19">
        <v>12</v>
      </c>
      <c r="AJ65" s="19">
        <f t="shared" si="37"/>
        <v>480</v>
      </c>
      <c r="AK65" s="62" t="s">
        <v>1125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150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153.75">
      <c r="A66" s="46">
        <v>62</v>
      </c>
      <c r="B66" s="92">
        <v>46234</v>
      </c>
      <c r="C66" s="46" t="s">
        <v>76</v>
      </c>
      <c r="D66" s="46" t="s">
        <v>77</v>
      </c>
      <c r="E66" s="93">
        <v>7506110698258</v>
      </c>
      <c r="F66" s="62" t="s">
        <v>1145</v>
      </c>
      <c r="G66" s="52" t="s">
        <v>1146</v>
      </c>
      <c r="H66" s="102" t="s">
        <v>60</v>
      </c>
      <c r="I66" s="52"/>
      <c r="J66" s="46" t="s">
        <v>1034</v>
      </c>
      <c r="K66" s="52" t="s">
        <v>1035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</v>
      </c>
      <c r="T66" s="98">
        <f t="shared" si="38"/>
        <v>8.3333333333333329E-2</v>
      </c>
      <c r="U66" s="19" t="s">
        <v>64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1120</v>
      </c>
      <c r="AH66" s="99" t="s">
        <v>67</v>
      </c>
      <c r="AI66" s="19">
        <v>12</v>
      </c>
      <c r="AJ66" s="19">
        <f t="shared" si="37"/>
        <v>480</v>
      </c>
      <c r="AK66" s="62" t="s">
        <v>1125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150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76.5">
      <c r="A67" s="46">
        <v>65</v>
      </c>
      <c r="B67" s="92">
        <v>46234</v>
      </c>
      <c r="C67" s="46" t="s">
        <v>76</v>
      </c>
      <c r="D67" s="46" t="s">
        <v>77</v>
      </c>
      <c r="E67" s="93">
        <v>7506110698289</v>
      </c>
      <c r="F67" s="62" t="s">
        <v>1147</v>
      </c>
      <c r="G67" s="52" t="s">
        <v>1148</v>
      </c>
      <c r="H67" s="102" t="s">
        <v>60</v>
      </c>
      <c r="I67" s="52"/>
      <c r="J67" s="46" t="s">
        <v>1034</v>
      </c>
      <c r="K67" s="52" t="s">
        <v>1035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</v>
      </c>
      <c r="T67" s="112">
        <v>0.68</v>
      </c>
      <c r="U67" s="19" t="s">
        <v>64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284</v>
      </c>
      <c r="AH67" s="99" t="s">
        <v>67</v>
      </c>
      <c r="AI67" s="19">
        <v>6</v>
      </c>
      <c r="AJ67" s="19">
        <f>+AI67*12</f>
        <v>72</v>
      </c>
      <c r="AK67" s="62" t="s">
        <v>1046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1037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6">
      <c r="A68" s="46">
        <v>67</v>
      </c>
      <c r="B68" s="92">
        <v>46234</v>
      </c>
      <c r="C68" s="46" t="s">
        <v>76</v>
      </c>
      <c r="D68" s="46" t="s">
        <v>77</v>
      </c>
      <c r="E68" s="93">
        <v>7506110698302</v>
      </c>
      <c r="F68" s="62" t="s">
        <v>1149</v>
      </c>
      <c r="G68" s="52" t="s">
        <v>1150</v>
      </c>
      <c r="H68" s="102" t="s">
        <v>60</v>
      </c>
      <c r="I68" s="52"/>
      <c r="J68" s="46" t="s">
        <v>1034</v>
      </c>
      <c r="K68" s="52" t="s">
        <v>1035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81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923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1120</v>
      </c>
      <c r="AH68" s="99" t="s">
        <v>99</v>
      </c>
      <c r="AI68" s="19">
        <v>6</v>
      </c>
      <c r="AJ68" s="19">
        <f t="shared" ref="AJ68:AJ75" si="42">+AI68*24</f>
        <v>144</v>
      </c>
      <c r="AK68" s="62" t="s">
        <v>1151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1037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6">
      <c r="A69" s="46">
        <v>68</v>
      </c>
      <c r="B69" s="92">
        <v>46234</v>
      </c>
      <c r="C69" s="46" t="s">
        <v>76</v>
      </c>
      <c r="D69" s="46" t="s">
        <v>77</v>
      </c>
      <c r="E69" s="93">
        <v>7506110698319</v>
      </c>
      <c r="F69" s="62" t="s">
        <v>1152</v>
      </c>
      <c r="G69" s="52" t="s">
        <v>1153</v>
      </c>
      <c r="H69" s="102" t="s">
        <v>60</v>
      </c>
      <c r="I69" s="52"/>
      <c r="J69" s="46" t="s">
        <v>1034</v>
      </c>
      <c r="K69" s="52" t="s">
        <v>1035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81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923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1120</v>
      </c>
      <c r="AH69" s="99" t="s">
        <v>99</v>
      </c>
      <c r="AI69" s="19">
        <v>6</v>
      </c>
      <c r="AJ69" s="19">
        <f t="shared" si="42"/>
        <v>144</v>
      </c>
      <c r="AK69" s="62" t="s">
        <v>1151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1037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76.5">
      <c r="A70" s="46">
        <v>69</v>
      </c>
      <c r="B70" s="92">
        <v>46234</v>
      </c>
      <c r="C70" s="46" t="s">
        <v>76</v>
      </c>
      <c r="D70" s="46" t="s">
        <v>77</v>
      </c>
      <c r="E70" s="93">
        <v>7506110698326</v>
      </c>
      <c r="F70" s="62" t="s">
        <v>1154</v>
      </c>
      <c r="G70" s="52" t="s">
        <v>1155</v>
      </c>
      <c r="H70" s="102"/>
      <c r="I70" s="52"/>
      <c r="J70" s="46" t="s">
        <v>1034</v>
      </c>
      <c r="K70" s="52" t="s">
        <v>1035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</v>
      </c>
      <c r="T70" s="98">
        <v>0.55000000000000004</v>
      </c>
      <c r="U70" s="19" t="s">
        <v>64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528</v>
      </c>
      <c r="AH70" s="99" t="s">
        <v>67</v>
      </c>
      <c r="AI70" s="19">
        <v>12</v>
      </c>
      <c r="AJ70" s="19">
        <f t="shared" si="42"/>
        <v>288</v>
      </c>
      <c r="AK70" s="62" t="s">
        <v>1046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1037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115.5">
      <c r="A71" s="46">
        <v>70</v>
      </c>
      <c r="B71" s="92">
        <v>46234</v>
      </c>
      <c r="C71" s="46" t="s">
        <v>76</v>
      </c>
      <c r="D71" s="46" t="s">
        <v>77</v>
      </c>
      <c r="E71" s="93">
        <v>7506110698333</v>
      </c>
      <c r="F71" s="62" t="s">
        <v>1156</v>
      </c>
      <c r="G71" s="52" t="s">
        <v>1157</v>
      </c>
      <c r="H71" s="102"/>
      <c r="I71" s="52"/>
      <c r="J71" s="46" t="s">
        <v>1034</v>
      </c>
      <c r="K71" s="52" t="s">
        <v>1035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</v>
      </c>
      <c r="T71" s="98">
        <v>0.56999999999999995</v>
      </c>
      <c r="U71" s="19" t="s">
        <v>64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528</v>
      </c>
      <c r="AH71" s="99" t="s">
        <v>67</v>
      </c>
      <c r="AI71" s="19">
        <v>6</v>
      </c>
      <c r="AJ71" s="19">
        <f t="shared" si="42"/>
        <v>144</v>
      </c>
      <c r="AK71" s="62" t="s">
        <v>1036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1037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76.5">
      <c r="A72" s="46">
        <v>71</v>
      </c>
      <c r="B72" s="92">
        <v>46234</v>
      </c>
      <c r="C72" s="46" t="s">
        <v>76</v>
      </c>
      <c r="D72" s="46" t="s">
        <v>77</v>
      </c>
      <c r="E72" s="93">
        <v>7506110698340</v>
      </c>
      <c r="F72" s="62" t="s">
        <v>1158</v>
      </c>
      <c r="G72" s="52" t="s">
        <v>1159</v>
      </c>
      <c r="H72" s="102" t="s">
        <v>60</v>
      </c>
      <c r="I72" s="52"/>
      <c r="J72" s="46" t="s">
        <v>1034</v>
      </c>
      <c r="K72" s="52" t="s">
        <v>1035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</v>
      </c>
      <c r="T72" s="98">
        <v>2.9</v>
      </c>
      <c r="U72" s="19" t="s">
        <v>64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528</v>
      </c>
      <c r="AH72" s="99" t="s">
        <v>67</v>
      </c>
      <c r="AI72" s="19">
        <v>6</v>
      </c>
      <c r="AJ72" s="19">
        <f t="shared" si="42"/>
        <v>144</v>
      </c>
      <c r="AK72" s="62" t="s">
        <v>1160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1037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92">
      <c r="A73" s="46">
        <v>82</v>
      </c>
      <c r="B73" s="92" t="s">
        <v>176</v>
      </c>
      <c r="C73" s="46" t="s">
        <v>277</v>
      </c>
      <c r="D73" s="46" t="s">
        <v>77</v>
      </c>
      <c r="E73" s="93">
        <v>7506110698418</v>
      </c>
      <c r="F73" s="62" t="s">
        <v>1161</v>
      </c>
      <c r="G73" s="52" t="s">
        <v>1162</v>
      </c>
      <c r="H73" s="102" t="s">
        <v>60</v>
      </c>
      <c r="I73" s="52"/>
      <c r="J73" s="46" t="s">
        <v>1034</v>
      </c>
      <c r="K73" s="22" t="s">
        <v>565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</v>
      </c>
      <c r="T73" s="98">
        <v>0.64</v>
      </c>
      <c r="U73" s="19" t="s">
        <v>64</v>
      </c>
      <c r="V73" s="99" t="s">
        <v>1163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284</v>
      </c>
      <c r="AH73" s="99" t="s">
        <v>67</v>
      </c>
      <c r="AI73" s="19">
        <v>12</v>
      </c>
      <c r="AJ73" s="19">
        <f t="shared" si="42"/>
        <v>288</v>
      </c>
      <c r="AK73" s="62" t="s">
        <v>1164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1037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92">
      <c r="A74" s="46">
        <v>83</v>
      </c>
      <c r="B74" s="92" t="s">
        <v>176</v>
      </c>
      <c r="C74" s="46" t="s">
        <v>277</v>
      </c>
      <c r="D74" s="46" t="s">
        <v>77</v>
      </c>
      <c r="E74" s="93">
        <v>7506110698487</v>
      </c>
      <c r="F74" s="62" t="s">
        <v>1165</v>
      </c>
      <c r="G74" s="52" t="s">
        <v>1166</v>
      </c>
      <c r="H74" s="102" t="s">
        <v>60</v>
      </c>
      <c r="I74" s="52"/>
      <c r="J74" s="46" t="s">
        <v>1034</v>
      </c>
      <c r="K74" s="22" t="s">
        <v>565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</v>
      </c>
      <c r="T74" s="98">
        <v>0.74</v>
      </c>
      <c r="U74" s="19" t="s">
        <v>64</v>
      </c>
      <c r="V74" s="99" t="s">
        <v>1163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284</v>
      </c>
      <c r="AH74" s="99" t="s">
        <v>67</v>
      </c>
      <c r="AI74" s="19">
        <v>12</v>
      </c>
      <c r="AJ74" s="19">
        <f t="shared" si="42"/>
        <v>288</v>
      </c>
      <c r="AK74" s="62" t="s">
        <v>1164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1037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92">
      <c r="A75" s="46">
        <v>84</v>
      </c>
      <c r="B75" s="92" t="s">
        <v>176</v>
      </c>
      <c r="C75" s="46" t="s">
        <v>277</v>
      </c>
      <c r="D75" s="46" t="s">
        <v>77</v>
      </c>
      <c r="E75" s="93">
        <v>7506110698494</v>
      </c>
      <c r="F75" s="62" t="s">
        <v>1167</v>
      </c>
      <c r="G75" s="52" t="s">
        <v>1168</v>
      </c>
      <c r="H75" s="102" t="s">
        <v>60</v>
      </c>
      <c r="I75" s="52"/>
      <c r="J75" s="46" t="s">
        <v>1034</v>
      </c>
      <c r="K75" s="22" t="s">
        <v>565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</v>
      </c>
      <c r="T75" s="98">
        <v>0.74</v>
      </c>
      <c r="U75" s="19" t="s">
        <v>64</v>
      </c>
      <c r="V75" s="99" t="s">
        <v>1163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284</v>
      </c>
      <c r="AH75" s="99" t="s">
        <v>67</v>
      </c>
      <c r="AI75" s="19">
        <v>12</v>
      </c>
      <c r="AJ75" s="19">
        <f t="shared" si="42"/>
        <v>288</v>
      </c>
      <c r="AK75" s="62" t="s">
        <v>1164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86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</sheetData>
  <mergeCells count="2">
    <mergeCell ref="A2:B2"/>
    <mergeCell ref="CJ14:DC14"/>
  </mergeCells>
  <conditionalFormatting sqref="AD17:AD75">
    <cfRule type="cellIs" dxfId="17" priority="2" operator="greaterThan">
      <formula>0.2599</formula>
    </cfRule>
  </conditionalFormatting>
  <conditionalFormatting sqref="AR17:AR75">
    <cfRule type="cellIs" dxfId="1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abSelected="1" topLeftCell="A10" zoomScale="26" zoomScaleNormal="26" workbookViewId="0">
      <selection activeCell="Z1" sqref="Z1:AC1048576"/>
    </sheetView>
  </sheetViews>
  <sheetFormatPr defaultColWidth="11.5703125" defaultRowHeight="15"/>
  <cols>
    <col min="1" max="1" width="28.85546875" style="328" bestFit="1" customWidth="1"/>
    <col min="2" max="2" width="15.42578125" style="328" bestFit="1" customWidth="1"/>
    <col min="3" max="5" width="19.85546875" style="328" customWidth="1"/>
    <col min="6" max="7" width="20.42578125" style="328" customWidth="1"/>
    <col min="8" max="8" width="39.85546875" style="328" customWidth="1"/>
    <col min="9" max="9" width="9.42578125" style="328" hidden="1" customWidth="1"/>
    <col min="10" max="10" width="15.140625" style="328" hidden="1" customWidth="1"/>
    <col min="11" max="11" width="11" style="328" hidden="1" customWidth="1"/>
    <col min="12" max="12" width="16.28515625" style="328" hidden="1" customWidth="1"/>
    <col min="13" max="20" width="14.85546875" style="328" hidden="1" customWidth="1"/>
    <col min="21" max="25" width="18.5703125" style="328" customWidth="1"/>
    <col min="26" max="29" width="18.42578125" style="328" customWidth="1"/>
    <col min="30" max="30" width="22.5703125" style="328" bestFit="1" customWidth="1"/>
    <col min="31" max="31" width="30" style="328" bestFit="1" customWidth="1"/>
    <col min="32" max="33" width="41" style="328" bestFit="1" customWidth="1"/>
    <col min="34" max="34" width="11.140625" style="328" customWidth="1"/>
    <col min="35" max="35" width="56.28515625" style="328" bestFit="1" customWidth="1"/>
    <col min="36" max="36" width="63.5703125" style="328" bestFit="1" customWidth="1"/>
    <col min="37" max="37" width="36.85546875" style="328" bestFit="1" customWidth="1"/>
    <col min="38" max="38" width="66.5703125" style="328" bestFit="1" customWidth="1"/>
    <col min="39" max="39" width="31.140625" style="328" bestFit="1" customWidth="1"/>
    <col min="40" max="53" width="3.5703125" style="328" customWidth="1"/>
    <col min="54" max="54" width="17.42578125" style="328" bestFit="1" customWidth="1"/>
    <col min="55" max="55" width="39" style="328" bestFit="1" customWidth="1"/>
    <col min="56" max="56" width="34.140625" style="328" bestFit="1" customWidth="1"/>
    <col min="57" max="57" width="42.5703125" style="328" bestFit="1" customWidth="1"/>
    <col min="58" max="58" width="36.85546875" style="328" bestFit="1" customWidth="1"/>
    <col min="59" max="59" width="21.140625" style="328" bestFit="1" customWidth="1"/>
    <col min="60" max="61" width="18.5703125" style="328" customWidth="1"/>
    <col min="62" max="62" width="38.42578125" style="328" bestFit="1" customWidth="1"/>
    <col min="63" max="63" width="12.140625" style="328" bestFit="1" customWidth="1"/>
    <col min="64" max="64" width="16.85546875" style="328" bestFit="1" customWidth="1"/>
    <col min="65" max="65" width="28.42578125" style="328" bestFit="1" customWidth="1"/>
    <col min="66" max="69" width="28.42578125" style="319" customWidth="1"/>
    <col min="70" max="72" width="41" style="328" bestFit="1" customWidth="1"/>
    <col min="73" max="87" width="11.5703125" style="328"/>
    <col min="88" max="93" width="35.42578125" style="360" customWidth="1"/>
    <col min="94" max="105" width="35.42578125" style="328" customWidth="1"/>
    <col min="106" max="16384" width="11.5703125" style="328"/>
  </cols>
  <sheetData>
    <row r="1" spans="1:105" ht="15.75">
      <c r="A1" s="361"/>
      <c r="B1" s="362" t="s">
        <v>13</v>
      </c>
      <c r="C1" s="363" t="s">
        <v>248</v>
      </c>
      <c r="D1" s="521"/>
      <c r="E1" s="521"/>
      <c r="F1" s="521"/>
      <c r="G1" s="521"/>
      <c r="H1" s="521"/>
      <c r="I1" s="521"/>
      <c r="J1" s="521"/>
      <c r="K1" s="521"/>
      <c r="L1" s="521"/>
      <c r="M1" s="521"/>
      <c r="N1" s="522"/>
      <c r="O1" s="523"/>
      <c r="P1" s="523"/>
      <c r="Q1" s="523"/>
      <c r="R1" s="523"/>
      <c r="S1" s="523"/>
      <c r="T1" s="523"/>
      <c r="U1" s="521"/>
      <c r="V1" s="521"/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G1" s="521"/>
      <c r="AH1" s="524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21"/>
      <c r="BS1" s="521"/>
      <c r="BT1" s="521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5.75">
      <c r="A2" s="507" t="s">
        <v>1169</v>
      </c>
      <c r="B2" s="507"/>
      <c r="C2" s="525" t="s">
        <v>1170</v>
      </c>
      <c r="D2" s="521"/>
      <c r="E2" s="521"/>
      <c r="F2" s="521"/>
      <c r="G2" s="521"/>
      <c r="H2" s="521"/>
      <c r="I2" s="521"/>
      <c r="J2" s="521"/>
      <c r="K2" s="521"/>
      <c r="L2" s="521"/>
      <c r="M2" s="521"/>
      <c r="N2" s="522"/>
      <c r="O2" s="523"/>
      <c r="P2" s="523"/>
      <c r="Q2" s="523"/>
      <c r="R2" s="523"/>
      <c r="S2" s="523"/>
      <c r="T2" s="523"/>
      <c r="U2" s="521"/>
      <c r="V2" s="521"/>
      <c r="W2" s="521"/>
      <c r="X2" s="521"/>
      <c r="Y2" s="521"/>
      <c r="Z2" s="521"/>
      <c r="AA2" s="521"/>
      <c r="AB2" s="521"/>
      <c r="AC2" s="521"/>
      <c r="AD2" s="521"/>
      <c r="AE2" s="521"/>
      <c r="AF2" s="521"/>
      <c r="AG2" s="521"/>
      <c r="AH2" s="524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21"/>
      <c r="BS2" s="521"/>
      <c r="BT2" s="521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5.75">
      <c r="A3" s="370" t="s">
        <v>1171</v>
      </c>
      <c r="B3" s="526">
        <v>46111</v>
      </c>
      <c r="C3" s="527">
        <v>46112</v>
      </c>
      <c r="D3" s="521"/>
      <c r="E3" s="521"/>
      <c r="F3" s="521"/>
      <c r="G3" s="521"/>
      <c r="H3" s="521"/>
      <c r="I3" s="521"/>
      <c r="J3" s="521"/>
      <c r="K3" s="521"/>
      <c r="L3" s="521"/>
      <c r="M3" s="521"/>
      <c r="N3" s="522"/>
      <c r="O3" s="523"/>
      <c r="P3" s="523"/>
      <c r="Q3" s="523"/>
      <c r="R3" s="523"/>
      <c r="S3" s="523"/>
      <c r="T3" s="523"/>
      <c r="U3" s="521"/>
      <c r="V3" s="521"/>
      <c r="W3" s="521"/>
      <c r="X3" s="521"/>
      <c r="Y3" s="521"/>
      <c r="Z3" s="521"/>
      <c r="AA3" s="521"/>
      <c r="AB3" s="521"/>
      <c r="AC3" s="521"/>
      <c r="AD3" s="521"/>
      <c r="AE3" s="521"/>
      <c r="AF3" s="521"/>
      <c r="AG3" s="521"/>
      <c r="AH3" s="524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21"/>
      <c r="BS3" s="521"/>
      <c r="BT3" s="521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5.75">
      <c r="A4" s="528"/>
      <c r="B4" s="529"/>
      <c r="C4" s="530"/>
      <c r="D4" s="521"/>
      <c r="E4" s="521"/>
      <c r="F4" s="521"/>
      <c r="G4" s="521"/>
      <c r="H4" s="521"/>
      <c r="I4" s="521"/>
      <c r="J4" s="521"/>
      <c r="K4" s="521"/>
      <c r="L4" s="521"/>
      <c r="M4" s="521"/>
      <c r="N4" s="522"/>
      <c r="O4" s="523"/>
      <c r="P4" s="523"/>
      <c r="Q4" s="523"/>
      <c r="R4" s="523"/>
      <c r="S4" s="523"/>
      <c r="T4" s="523"/>
      <c r="U4" s="521"/>
      <c r="V4" s="521"/>
      <c r="W4" s="521"/>
      <c r="X4" s="521"/>
      <c r="Y4" s="521"/>
      <c r="Z4" s="521"/>
      <c r="AA4" s="521"/>
      <c r="AB4" s="521"/>
      <c r="AC4" s="521"/>
      <c r="AD4" s="521"/>
      <c r="AE4" s="521"/>
      <c r="AF4" s="521"/>
      <c r="AG4" s="521"/>
      <c r="AH4" s="524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21"/>
      <c r="BS4" s="521"/>
      <c r="BT4" s="521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5.75">
      <c r="A5" s="370" t="s">
        <v>252</v>
      </c>
      <c r="B5" s="371">
        <f>+B3+15</f>
        <v>46126</v>
      </c>
      <c r="C5" s="373">
        <f>+C3+15</f>
        <v>46127</v>
      </c>
      <c r="D5" s="521"/>
      <c r="E5" s="521"/>
      <c r="F5" s="521"/>
      <c r="G5" s="521"/>
      <c r="H5" s="521"/>
      <c r="I5" s="521"/>
      <c r="J5" s="521"/>
      <c r="K5" s="521"/>
      <c r="L5" s="521"/>
      <c r="M5" s="521"/>
      <c r="N5" s="522"/>
      <c r="O5" s="523"/>
      <c r="P5" s="523"/>
      <c r="Q5" s="523"/>
      <c r="R5" s="523"/>
      <c r="S5" s="523"/>
      <c r="T5" s="523"/>
      <c r="U5" s="521"/>
      <c r="V5" s="521"/>
      <c r="W5" s="521"/>
      <c r="X5" s="521"/>
      <c r="Y5" s="521"/>
      <c r="Z5" s="521"/>
      <c r="AA5" s="521"/>
      <c r="AB5" s="521"/>
      <c r="AC5" s="521"/>
      <c r="AD5" s="521"/>
      <c r="AE5" s="521"/>
      <c r="AF5" s="521"/>
      <c r="AG5" s="521"/>
      <c r="AH5" s="524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21"/>
      <c r="BS5" s="521"/>
      <c r="BT5" s="521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5.75">
      <c r="A6" s="370" t="s">
        <v>1172</v>
      </c>
      <c r="B6" s="371">
        <f>+B5+10</f>
        <v>46136</v>
      </c>
      <c r="C6" s="373">
        <f>+C5+10</f>
        <v>46137</v>
      </c>
      <c r="D6" s="521"/>
      <c r="E6" s="521"/>
      <c r="F6" s="521"/>
      <c r="G6" s="521"/>
      <c r="H6" s="521"/>
      <c r="I6" s="521"/>
      <c r="J6" s="521"/>
      <c r="K6" s="521"/>
      <c r="L6" s="521"/>
      <c r="M6" s="521"/>
      <c r="N6" s="522"/>
      <c r="O6" s="523"/>
      <c r="P6" s="523"/>
      <c r="Q6" s="523"/>
      <c r="R6" s="523"/>
      <c r="S6" s="523"/>
      <c r="T6" s="523"/>
      <c r="U6" s="521"/>
      <c r="V6" s="521"/>
      <c r="W6" s="521"/>
      <c r="X6" s="521"/>
      <c r="Y6" s="521"/>
      <c r="Z6" s="521"/>
      <c r="AA6" s="521"/>
      <c r="AB6" s="521"/>
      <c r="AC6" s="521"/>
      <c r="AD6" s="521"/>
      <c r="AE6" s="521"/>
      <c r="AF6" s="521"/>
      <c r="AG6" s="521"/>
      <c r="AH6" s="524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21"/>
      <c r="BS6" s="521"/>
      <c r="BT6" s="521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5.75">
      <c r="A7" s="370" t="s">
        <v>254</v>
      </c>
      <c r="B7" s="371">
        <f>+B6+2</f>
        <v>46138</v>
      </c>
      <c r="C7" s="373">
        <f>+C6+2</f>
        <v>46139</v>
      </c>
      <c r="D7" s="521"/>
      <c r="E7" s="521"/>
      <c r="F7" s="521"/>
      <c r="G7" s="521"/>
      <c r="H7" s="521"/>
      <c r="I7" s="521"/>
      <c r="J7" s="521"/>
      <c r="K7" s="521"/>
      <c r="L7" s="521"/>
      <c r="M7" s="521"/>
      <c r="N7" s="522"/>
      <c r="O7" s="523"/>
      <c r="P7" s="523"/>
      <c r="Q7" s="523"/>
      <c r="R7" s="523"/>
      <c r="S7" s="523"/>
      <c r="T7" s="523"/>
      <c r="U7" s="521"/>
      <c r="V7" s="521"/>
      <c r="W7" s="521"/>
      <c r="X7" s="521"/>
      <c r="Y7" s="521"/>
      <c r="Z7" s="521"/>
      <c r="AA7" s="521"/>
      <c r="AB7" s="521"/>
      <c r="AC7" s="521"/>
      <c r="AD7" s="521"/>
      <c r="AE7" s="521"/>
      <c r="AF7" s="521"/>
      <c r="AG7" s="521"/>
      <c r="AH7" s="524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21"/>
      <c r="BS7" s="521"/>
      <c r="BT7" s="521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5.75">
      <c r="A8" s="370" t="s">
        <v>256</v>
      </c>
      <c r="B8" s="371">
        <f>+B7+40</f>
        <v>46178</v>
      </c>
      <c r="C8" s="373">
        <f>+C7+40</f>
        <v>46179</v>
      </c>
      <c r="D8" s="521"/>
      <c r="E8" s="521"/>
      <c r="F8" s="521"/>
      <c r="G8" s="521"/>
      <c r="H8" s="521"/>
      <c r="I8" s="521"/>
      <c r="J8" s="521"/>
      <c r="K8" s="521"/>
      <c r="L8" s="521"/>
      <c r="M8" s="521"/>
      <c r="N8" s="522"/>
      <c r="O8" s="523"/>
      <c r="P8" s="523"/>
      <c r="Q8" s="523"/>
      <c r="R8" s="523"/>
      <c r="S8" s="523"/>
      <c r="T8" s="523"/>
      <c r="U8" s="521"/>
      <c r="V8" s="521"/>
      <c r="W8" s="521"/>
      <c r="X8" s="521"/>
      <c r="Y8" s="521"/>
      <c r="Z8" s="521"/>
      <c r="AA8" s="521"/>
      <c r="AB8" s="521"/>
      <c r="AC8" s="521"/>
      <c r="AD8" s="521"/>
      <c r="AE8" s="521"/>
      <c r="AF8" s="521"/>
      <c r="AG8" s="521"/>
      <c r="AH8" s="524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21"/>
      <c r="BS8" s="521"/>
      <c r="BT8" s="521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5.75">
      <c r="A9" s="370" t="s">
        <v>255</v>
      </c>
      <c r="B9" s="371">
        <f>+B8+45</f>
        <v>46223</v>
      </c>
      <c r="C9" s="373">
        <f>+C8+45</f>
        <v>46224</v>
      </c>
      <c r="D9" s="521"/>
      <c r="E9" s="521"/>
      <c r="F9" s="521"/>
      <c r="G9" s="521"/>
      <c r="H9" s="521"/>
      <c r="I9" s="521"/>
      <c r="J9" s="521"/>
      <c r="K9" s="521"/>
      <c r="L9" s="521"/>
      <c r="M9" s="521"/>
      <c r="N9" s="522"/>
      <c r="O9" s="523"/>
      <c r="P9" s="523"/>
      <c r="Q9" s="523"/>
      <c r="R9" s="523"/>
      <c r="S9" s="523"/>
      <c r="T9" s="523"/>
      <c r="U9" s="521"/>
      <c r="V9" s="521"/>
      <c r="W9" s="521"/>
      <c r="X9" s="521"/>
      <c r="Y9" s="521"/>
      <c r="Z9" s="521"/>
      <c r="AA9" s="521"/>
      <c r="AB9" s="521"/>
      <c r="AC9" s="521"/>
      <c r="AD9" s="521"/>
      <c r="AE9" s="521"/>
      <c r="AF9" s="521"/>
      <c r="AG9" s="521"/>
      <c r="AH9" s="524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21"/>
      <c r="BS9" s="521"/>
      <c r="BT9" s="521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5.75">
      <c r="A10" s="370" t="s">
        <v>257</v>
      </c>
      <c r="B10" s="371">
        <f>+B8+65</f>
        <v>46243</v>
      </c>
      <c r="C10" s="373">
        <f>+C8+65</f>
        <v>46244</v>
      </c>
      <c r="D10" s="521"/>
      <c r="E10" s="521"/>
      <c r="F10" s="521"/>
      <c r="G10" s="521"/>
      <c r="H10" s="521"/>
      <c r="I10" s="521"/>
      <c r="J10" s="521"/>
      <c r="K10" s="521"/>
      <c r="L10" s="521"/>
      <c r="M10" s="521"/>
      <c r="N10" s="522"/>
      <c r="O10" s="523"/>
      <c r="P10" s="523"/>
      <c r="Q10" s="523"/>
      <c r="R10" s="523"/>
      <c r="S10" s="523"/>
      <c r="T10" s="523"/>
      <c r="U10" s="521"/>
      <c r="V10" s="521"/>
      <c r="W10" s="521"/>
      <c r="X10" s="521"/>
      <c r="Y10" s="521"/>
      <c r="Z10" s="521"/>
      <c r="AA10" s="521"/>
      <c r="AB10" s="521"/>
      <c r="AC10" s="521"/>
      <c r="AD10" s="521"/>
      <c r="AE10" s="521"/>
      <c r="AF10" s="521"/>
      <c r="AG10" s="521"/>
      <c r="AH10" s="524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21"/>
      <c r="BS10" s="521"/>
      <c r="BT10" s="521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5.75">
      <c r="A11" s="374" t="s">
        <v>258</v>
      </c>
      <c r="B11" s="375">
        <f>+B10+8</f>
        <v>46251</v>
      </c>
      <c r="C11" s="376">
        <f>+C10+8</f>
        <v>46252</v>
      </c>
      <c r="D11" s="521"/>
      <c r="E11" s="521"/>
      <c r="F11" s="521"/>
      <c r="G11" s="521"/>
      <c r="H11" s="521"/>
      <c r="I11" s="521"/>
      <c r="J11" s="521"/>
      <c r="K11" s="521"/>
      <c r="L11" s="521"/>
      <c r="M11" s="521"/>
      <c r="N11" s="522"/>
      <c r="O11" s="523"/>
      <c r="P11" s="523"/>
      <c r="Q11" s="523"/>
      <c r="R11" s="523"/>
      <c r="S11" s="523"/>
      <c r="T11" s="523"/>
      <c r="U11" s="521"/>
      <c r="V11" s="521"/>
      <c r="W11" s="521"/>
      <c r="X11" s="521"/>
      <c r="Y11" s="521"/>
      <c r="Z11" s="521"/>
      <c r="AA11" s="521"/>
      <c r="AB11" s="521"/>
      <c r="AC11" s="521"/>
      <c r="AD11" s="521"/>
      <c r="AE11" s="521"/>
      <c r="AF11" s="521"/>
      <c r="AG11" s="521"/>
      <c r="AH11" s="524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21"/>
      <c r="BS11" s="521"/>
      <c r="BT11" s="521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15.75">
      <c r="A12" s="521"/>
      <c r="B12" s="523"/>
      <c r="C12" s="521"/>
      <c r="D12" s="521"/>
      <c r="E12" s="521"/>
      <c r="F12" s="521"/>
      <c r="G12" s="521"/>
      <c r="H12" s="521"/>
      <c r="I12" s="521"/>
      <c r="J12" s="521"/>
      <c r="K12" s="521"/>
      <c r="L12" s="521"/>
      <c r="M12" s="521"/>
      <c r="N12" s="522"/>
      <c r="O12" s="523"/>
      <c r="P12" s="523"/>
      <c r="Q12" s="523"/>
      <c r="R12" s="523"/>
      <c r="S12" s="523"/>
      <c r="T12" s="523"/>
      <c r="U12" s="521"/>
      <c r="V12" s="521"/>
      <c r="W12" s="521"/>
      <c r="X12" s="521"/>
      <c r="Y12" s="521"/>
      <c r="Z12" s="521"/>
      <c r="AA12" s="521"/>
      <c r="AB12" s="521"/>
      <c r="AC12" s="521"/>
      <c r="AD12" s="521"/>
      <c r="AE12" s="521"/>
      <c r="AF12" s="521"/>
      <c r="AG12" s="521"/>
      <c r="AH12" s="524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21"/>
      <c r="BS12" s="521"/>
      <c r="BT12" s="521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15.75">
      <c r="A13" s="521"/>
      <c r="B13" s="523"/>
      <c r="C13" s="521"/>
      <c r="D13" s="521"/>
      <c r="E13" s="521"/>
      <c r="F13" s="521"/>
      <c r="G13" s="521"/>
      <c r="H13" s="521"/>
      <c r="I13" s="521"/>
      <c r="J13" s="521"/>
      <c r="K13" s="521"/>
      <c r="L13" s="521"/>
      <c r="M13" s="521"/>
      <c r="N13" s="522"/>
      <c r="O13" s="523"/>
      <c r="P13" s="523"/>
      <c r="Q13" s="523"/>
      <c r="R13" s="523"/>
      <c r="S13" s="523"/>
      <c r="T13" s="523"/>
      <c r="U13" s="521"/>
      <c r="V13" s="521"/>
      <c r="W13" s="521"/>
      <c r="X13" s="521"/>
      <c r="Y13" s="521"/>
      <c r="Z13" s="521"/>
      <c r="AA13" s="521"/>
      <c r="AB13" s="521"/>
      <c r="AC13" s="521"/>
      <c r="AD13" s="521"/>
      <c r="AE13" s="521"/>
      <c r="AF13" s="521"/>
      <c r="AG13" s="521"/>
      <c r="AH13" s="524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21"/>
      <c r="BS13" s="521"/>
      <c r="BT13" s="521"/>
    </row>
    <row r="14" spans="1:105" s="319" customFormat="1" ht="35.1" customHeight="1">
      <c r="A14" s="521"/>
      <c r="B14" s="523"/>
      <c r="C14" s="521"/>
      <c r="D14" s="521"/>
      <c r="E14" s="521"/>
      <c r="F14" s="521"/>
      <c r="G14" s="521"/>
      <c r="H14" s="521"/>
      <c r="I14" s="521"/>
      <c r="J14" s="521"/>
      <c r="K14" s="521"/>
      <c r="L14" s="521"/>
      <c r="M14" s="521"/>
      <c r="N14" s="522"/>
      <c r="O14" s="523"/>
      <c r="P14" s="523"/>
      <c r="Q14" s="523"/>
      <c r="R14" s="523"/>
      <c r="S14" s="523"/>
      <c r="T14" s="523"/>
      <c r="U14" s="521"/>
      <c r="V14" s="521"/>
      <c r="W14" s="521"/>
      <c r="X14" s="521"/>
      <c r="Y14" s="521"/>
      <c r="Z14" s="521"/>
      <c r="AA14" s="521"/>
      <c r="AB14" s="521"/>
      <c r="AC14" s="521"/>
      <c r="AD14" s="521"/>
      <c r="AE14" s="521"/>
      <c r="AF14" s="521"/>
      <c r="AG14" s="521"/>
      <c r="AH14" s="524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21"/>
      <c r="BS14" s="521"/>
      <c r="BT14" s="521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521"/>
      <c r="B15" s="523"/>
      <c r="C15" s="521"/>
      <c r="D15" s="521"/>
      <c r="E15" s="521"/>
      <c r="F15" s="521"/>
      <c r="G15" s="521"/>
      <c r="H15" s="521"/>
      <c r="I15" s="521"/>
      <c r="J15" s="521"/>
      <c r="K15" s="521"/>
      <c r="L15" s="521"/>
      <c r="M15" s="521"/>
      <c r="N15" s="522"/>
      <c r="O15" s="523">
        <v>18.5</v>
      </c>
      <c r="P15" s="523"/>
      <c r="Q15" s="523"/>
      <c r="R15" s="523">
        <v>18.5</v>
      </c>
      <c r="S15" s="523"/>
      <c r="T15" s="523"/>
      <c r="U15" s="521"/>
      <c r="V15" s="521"/>
      <c r="W15" s="521"/>
      <c r="X15" s="521"/>
      <c r="Y15" s="521"/>
      <c r="Z15" s="521"/>
      <c r="AA15" s="521"/>
      <c r="AB15" s="521"/>
      <c r="AC15" s="521"/>
      <c r="AD15" s="521"/>
      <c r="AE15" s="521"/>
      <c r="AF15" s="521"/>
      <c r="AG15" s="521"/>
      <c r="AH15" s="524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21"/>
      <c r="BS15" s="521"/>
      <c r="BT15" s="521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31" t="s">
        <v>10</v>
      </c>
      <c r="B16" s="532" t="s">
        <v>1022</v>
      </c>
      <c r="C16" s="531" t="s">
        <v>11</v>
      </c>
      <c r="D16" s="531" t="s">
        <v>12</v>
      </c>
      <c r="E16" s="531" t="s">
        <v>13</v>
      </c>
      <c r="F16" s="531" t="s">
        <v>14</v>
      </c>
      <c r="G16" s="531" t="s">
        <v>15</v>
      </c>
      <c r="H16" s="531" t="s">
        <v>16</v>
      </c>
      <c r="I16" s="531" t="s">
        <v>17</v>
      </c>
      <c r="J16" s="531" t="s">
        <v>18</v>
      </c>
      <c r="K16" s="531" t="s">
        <v>19</v>
      </c>
      <c r="L16" s="531" t="s">
        <v>20</v>
      </c>
      <c r="M16" s="531" t="s">
        <v>21</v>
      </c>
      <c r="N16" s="533" t="s">
        <v>1173</v>
      </c>
      <c r="O16" s="532" t="s">
        <v>1174</v>
      </c>
      <c r="P16" s="532" t="s">
        <v>1175</v>
      </c>
      <c r="Q16" s="532" t="s">
        <v>1176</v>
      </c>
      <c r="R16" s="532" t="s">
        <v>651</v>
      </c>
      <c r="S16" s="534" t="s">
        <v>1177</v>
      </c>
      <c r="T16" s="534" t="s">
        <v>27</v>
      </c>
      <c r="U16" s="531" t="s">
        <v>28</v>
      </c>
      <c r="V16" s="531" t="s">
        <v>30</v>
      </c>
      <c r="W16" s="531" t="s">
        <v>1029</v>
      </c>
      <c r="X16" s="531" t="s">
        <v>31</v>
      </c>
      <c r="Y16" s="531" t="s">
        <v>32</v>
      </c>
      <c r="Z16" s="531" t="s">
        <v>33</v>
      </c>
      <c r="AA16" s="531" t="s">
        <v>34</v>
      </c>
      <c r="AB16" s="531" t="s">
        <v>35</v>
      </c>
      <c r="AC16" s="531" t="s">
        <v>36</v>
      </c>
      <c r="AD16" s="531" t="s">
        <v>1030</v>
      </c>
      <c r="AE16" s="531" t="s">
        <v>1031</v>
      </c>
      <c r="AF16" s="531" t="s">
        <v>38</v>
      </c>
      <c r="AG16" s="531" t="s">
        <v>39</v>
      </c>
      <c r="AH16" s="524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272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35" t="s">
        <v>38</v>
      </c>
      <c r="BS16" s="531" t="s">
        <v>39</v>
      </c>
      <c r="BT16" s="531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15.75">
      <c r="A17" s="536"/>
      <c r="B17" s="536"/>
      <c r="C17" s="537"/>
      <c r="D17" s="536"/>
      <c r="E17" s="538"/>
      <c r="F17" s="350"/>
      <c r="G17" s="536"/>
      <c r="H17" s="536"/>
      <c r="I17" s="539"/>
      <c r="J17" s="536"/>
      <c r="K17" s="536"/>
      <c r="L17" s="536"/>
      <c r="M17" s="536"/>
      <c r="N17" s="540"/>
      <c r="O17" s="540"/>
      <c r="P17" s="540"/>
      <c r="Q17" s="540"/>
      <c r="R17" s="540"/>
      <c r="S17" s="540"/>
      <c r="T17" s="540"/>
      <c r="U17" s="541"/>
      <c r="V17" s="542"/>
      <c r="W17" s="540"/>
      <c r="X17" s="543"/>
      <c r="Y17" s="544"/>
      <c r="Z17" s="546"/>
      <c r="AA17" s="546"/>
      <c r="AB17" s="536"/>
      <c r="AC17" s="536"/>
      <c r="AD17" s="536"/>
      <c r="AE17" s="536"/>
      <c r="AF17" s="536"/>
      <c r="AG17" s="388"/>
      <c r="AH17" s="524"/>
      <c r="AI17" s="547"/>
      <c r="AJ17" s="540"/>
      <c r="AK17" s="351"/>
      <c r="AL17" s="351"/>
      <c r="AM17" s="345"/>
      <c r="BB17" s="350"/>
      <c r="BC17" s="350"/>
      <c r="BD17" s="350"/>
      <c r="BE17" s="350"/>
      <c r="BF17" s="350"/>
      <c r="BG17" s="350"/>
      <c r="BH17" s="350"/>
      <c r="BI17" s="350"/>
      <c r="BJ17" s="350"/>
      <c r="BK17" s="350"/>
      <c r="BL17" s="350"/>
      <c r="BM17" s="548"/>
      <c r="BN17" s="389"/>
      <c r="BO17" s="389"/>
      <c r="BP17" s="389"/>
      <c r="BQ17" s="389"/>
      <c r="BR17" s="549"/>
      <c r="BS17" s="388"/>
      <c r="BT17" s="536"/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6">
      <c r="A18" s="536">
        <v>3</v>
      </c>
      <c r="B18" s="536">
        <v>1</v>
      </c>
      <c r="C18" s="537">
        <v>46241</v>
      </c>
      <c r="D18" s="536" t="s">
        <v>277</v>
      </c>
      <c r="E18" s="538" t="s">
        <v>1178</v>
      </c>
      <c r="F18" s="350">
        <v>7506110696353</v>
      </c>
      <c r="G18" s="536" t="s">
        <v>1179</v>
      </c>
      <c r="H18" s="536" t="s">
        <v>1180</v>
      </c>
      <c r="I18" s="539" t="s">
        <v>60</v>
      </c>
      <c r="J18" s="536" t="s">
        <v>498</v>
      </c>
      <c r="K18" s="536" t="s">
        <v>1169</v>
      </c>
      <c r="L18" s="536" t="s">
        <v>281</v>
      </c>
      <c r="M18" s="536">
        <v>1</v>
      </c>
      <c r="N18" s="540">
        <f>1/12</f>
        <v>8.3333333333333329E-2</v>
      </c>
      <c r="O18" s="540">
        <f>N18*'Perry Ellis 2026 Fase 2'!$O$19</f>
        <v>0.90958333333333319</v>
      </c>
      <c r="P18" s="540">
        <f>N18*1.1</f>
        <v>9.1666666666666674E-2</v>
      </c>
      <c r="Q18" s="540"/>
      <c r="R18" s="540">
        <f>+N18*$R$15</f>
        <v>1.5416666666666665</v>
      </c>
      <c r="S18" s="540">
        <f>N18*0.25</f>
        <v>2.0833333333333332E-2</v>
      </c>
      <c r="T18" s="540">
        <f>(R18+S18)*7.79%</f>
        <v>0.12171874999999997</v>
      </c>
      <c r="U18" s="541">
        <f>R18+S18+T18</f>
        <v>1.6842187499999997</v>
      </c>
      <c r="V18" s="542">
        <v>29</v>
      </c>
      <c r="W18" s="540">
        <f>+V18/1.16</f>
        <v>25</v>
      </c>
      <c r="X18" s="543">
        <f>+W18*0.6</f>
        <v>15</v>
      </c>
      <c r="Y18" s="544">
        <f>U18/X18</f>
        <v>0.11228124999999997</v>
      </c>
      <c r="Z18" s="546">
        <f>1-U18/X18</f>
        <v>0.88771875</v>
      </c>
      <c r="AA18" s="546">
        <f>1-(X18/(V18/1.16))</f>
        <v>0.4</v>
      </c>
      <c r="AB18" s="536" t="s">
        <v>478</v>
      </c>
      <c r="AC18" s="536" t="s">
        <v>67</v>
      </c>
      <c r="AD18" s="536">
        <v>12</v>
      </c>
      <c r="AE18" s="536">
        <v>480</v>
      </c>
      <c r="AF18" s="536" t="s">
        <v>1181</v>
      </c>
      <c r="AG18" s="388">
        <v>46328</v>
      </c>
      <c r="AH18" s="524"/>
      <c r="AI18" s="547">
        <v>19</v>
      </c>
      <c r="AJ18" s="540">
        <f>AI18/1.16</f>
        <v>16.379310344827587</v>
      </c>
      <c r="AK18" s="351">
        <f>U18/AJ18</f>
        <v>0.10282598684210524</v>
      </c>
      <c r="AL18" s="351">
        <f>1-(U18/AJ18)</f>
        <v>0.8971740131578948</v>
      </c>
      <c r="AM18" s="345">
        <f>1-(AJ18/(AI18/1.16))</f>
        <v>0</v>
      </c>
      <c r="BB18" s="350">
        <v>1</v>
      </c>
      <c r="BC18" s="350">
        <v>1</v>
      </c>
      <c r="BD18" s="350"/>
      <c r="BE18" s="350">
        <v>1</v>
      </c>
      <c r="BF18" s="350">
        <v>1</v>
      </c>
      <c r="BG18" s="350">
        <v>1</v>
      </c>
      <c r="BH18" s="350"/>
      <c r="BI18" s="350"/>
      <c r="BJ18" s="350"/>
      <c r="BK18" s="350">
        <v>9</v>
      </c>
      <c r="BL18" s="350">
        <f>SUM(BB18:BJ18)</f>
        <v>5</v>
      </c>
      <c r="BM18" s="548">
        <f>+BL18/BK18</f>
        <v>0.55555555555555558</v>
      </c>
      <c r="BN18" s="389"/>
      <c r="BO18" s="389"/>
      <c r="BP18" s="389"/>
      <c r="BQ18" s="389"/>
      <c r="BR18" s="549" t="str">
        <f>+AF18</f>
        <v>Se mandó abierto a licencia</v>
      </c>
      <c r="BS18" s="388">
        <f>+AG18</f>
        <v>46328</v>
      </c>
      <c r="BT18" s="536" t="s">
        <v>609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6">
      <c r="A19" s="536">
        <v>4</v>
      </c>
      <c r="B19" s="536">
        <v>1</v>
      </c>
      <c r="C19" s="537">
        <v>46241</v>
      </c>
      <c r="D19" s="536" t="s">
        <v>277</v>
      </c>
      <c r="E19" s="538" t="s">
        <v>1178</v>
      </c>
      <c r="F19" s="350">
        <v>7506110696360</v>
      </c>
      <c r="G19" s="536" t="s">
        <v>1182</v>
      </c>
      <c r="H19" s="536" t="s">
        <v>1183</v>
      </c>
      <c r="I19" s="539" t="s">
        <v>60</v>
      </c>
      <c r="J19" s="536" t="s">
        <v>498</v>
      </c>
      <c r="K19" s="536" t="s">
        <v>1169</v>
      </c>
      <c r="L19" s="536" t="s">
        <v>281</v>
      </c>
      <c r="M19" s="536">
        <v>1</v>
      </c>
      <c r="N19" s="540">
        <f>1/12</f>
        <v>8.3333333333333329E-2</v>
      </c>
      <c r="O19" s="540">
        <f>N19*'Perry Ellis 2026 Fase 2'!$O$19</f>
        <v>0.90958333333333319</v>
      </c>
      <c r="P19" s="540">
        <f>N19*1.1</f>
        <v>9.1666666666666674E-2</v>
      </c>
      <c r="Q19" s="540"/>
      <c r="R19" s="540">
        <f>+N19*$R$15</f>
        <v>1.5416666666666665</v>
      </c>
      <c r="S19" s="540">
        <f>N19*0.25</f>
        <v>2.0833333333333332E-2</v>
      </c>
      <c r="T19" s="540">
        <f>(R19+S19)*7.79%</f>
        <v>0.12171874999999997</v>
      </c>
      <c r="U19" s="541">
        <f>R19+S19+T19</f>
        <v>1.6842187499999997</v>
      </c>
      <c r="V19" s="542">
        <v>29</v>
      </c>
      <c r="W19" s="540">
        <f>+V19/1.16</f>
        <v>25</v>
      </c>
      <c r="X19" s="543">
        <f>+W19*0.6</f>
        <v>15</v>
      </c>
      <c r="Y19" s="544">
        <f>U19/X19</f>
        <v>0.11228124999999997</v>
      </c>
      <c r="Z19" s="546">
        <f>1-U19/X19</f>
        <v>0.88771875</v>
      </c>
      <c r="AA19" s="546">
        <f>1-(X19/(V19/1.16))</f>
        <v>0.4</v>
      </c>
      <c r="AB19" s="536" t="s">
        <v>478</v>
      </c>
      <c r="AC19" s="536" t="s">
        <v>67</v>
      </c>
      <c r="AD19" s="536">
        <v>12</v>
      </c>
      <c r="AE19" s="536">
        <v>480</v>
      </c>
      <c r="AF19" s="536" t="s">
        <v>1181</v>
      </c>
      <c r="AG19" s="388">
        <v>46328</v>
      </c>
      <c r="AH19" s="524"/>
      <c r="AI19" s="547">
        <v>19</v>
      </c>
      <c r="AJ19" s="540">
        <f>AI19/1.16</f>
        <v>16.379310344827587</v>
      </c>
      <c r="AK19" s="351">
        <f>U19/AJ19</f>
        <v>0.10282598684210524</v>
      </c>
      <c r="AL19" s="351">
        <f>1-(U19/AJ19)</f>
        <v>0.8971740131578948</v>
      </c>
      <c r="AM19" s="345">
        <f>1-(AJ19/(AI19/1.16))</f>
        <v>0</v>
      </c>
      <c r="BB19" s="350">
        <v>1</v>
      </c>
      <c r="BC19" s="350">
        <v>1</v>
      </c>
      <c r="BD19" s="350"/>
      <c r="BE19" s="350">
        <v>1</v>
      </c>
      <c r="BF19" s="350">
        <v>1</v>
      </c>
      <c r="BG19" s="350">
        <v>1</v>
      </c>
      <c r="BH19" s="350"/>
      <c r="BI19" s="350"/>
      <c r="BJ19" s="350"/>
      <c r="BK19" s="350">
        <v>9</v>
      </c>
      <c r="BL19" s="350">
        <f>SUM(BB19:BJ19)</f>
        <v>5</v>
      </c>
      <c r="BM19" s="548">
        <f>+BL19/BK19</f>
        <v>0.55555555555555558</v>
      </c>
      <c r="BN19" s="389"/>
      <c r="BO19" s="389"/>
      <c r="BP19" s="389"/>
      <c r="BQ19" s="389"/>
      <c r="BR19" s="549" t="str">
        <f>+AF19</f>
        <v>Se mandó abierto a licencia</v>
      </c>
      <c r="BS19" s="388">
        <f>+AG19</f>
        <v>46328</v>
      </c>
      <c r="BT19" s="536" t="s">
        <v>609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6">
      <c r="A20" s="536">
        <v>5</v>
      </c>
      <c r="B20" s="536">
        <v>1</v>
      </c>
      <c r="C20" s="537">
        <v>46241</v>
      </c>
      <c r="D20" s="536" t="s">
        <v>277</v>
      </c>
      <c r="E20" s="538" t="s">
        <v>1178</v>
      </c>
      <c r="F20" s="350">
        <v>7506110696377</v>
      </c>
      <c r="G20" s="536" t="s">
        <v>1184</v>
      </c>
      <c r="H20" s="536" t="s">
        <v>1185</v>
      </c>
      <c r="I20" s="539" t="s">
        <v>60</v>
      </c>
      <c r="J20" s="536" t="s">
        <v>498</v>
      </c>
      <c r="K20" s="536" t="s">
        <v>1169</v>
      </c>
      <c r="L20" s="536" t="s">
        <v>281</v>
      </c>
      <c r="M20" s="536">
        <v>1</v>
      </c>
      <c r="N20" s="540">
        <f>1/12</f>
        <v>8.3333333333333329E-2</v>
      </c>
      <c r="O20" s="540">
        <f>N20*'Perry Ellis 2026 Fase 2'!$O$19</f>
        <v>0.90958333333333319</v>
      </c>
      <c r="P20" s="540">
        <f>N20*1.1</f>
        <v>9.1666666666666674E-2</v>
      </c>
      <c r="Q20" s="540"/>
      <c r="R20" s="540">
        <f>+N20*$R$15</f>
        <v>1.5416666666666665</v>
      </c>
      <c r="S20" s="540">
        <f>N20*0.25</f>
        <v>2.0833333333333332E-2</v>
      </c>
      <c r="T20" s="540">
        <f>(R20+S20)*7.79%</f>
        <v>0.12171874999999997</v>
      </c>
      <c r="U20" s="541">
        <f>R20+S20+T20</f>
        <v>1.6842187499999997</v>
      </c>
      <c r="V20" s="542">
        <v>29</v>
      </c>
      <c r="W20" s="540">
        <f>+V20/1.16</f>
        <v>25</v>
      </c>
      <c r="X20" s="543">
        <f>+W20*0.6</f>
        <v>15</v>
      </c>
      <c r="Y20" s="544">
        <f>U20/X20</f>
        <v>0.11228124999999997</v>
      </c>
      <c r="Z20" s="546">
        <f>1-U20/X20</f>
        <v>0.88771875</v>
      </c>
      <c r="AA20" s="546">
        <f>1-(X20/(V20/1.16))</f>
        <v>0.4</v>
      </c>
      <c r="AB20" s="536" t="s">
        <v>478</v>
      </c>
      <c r="AC20" s="536" t="s">
        <v>67</v>
      </c>
      <c r="AD20" s="536">
        <v>12</v>
      </c>
      <c r="AE20" s="536">
        <v>480</v>
      </c>
      <c r="AF20" s="536" t="s">
        <v>1181</v>
      </c>
      <c r="AG20" s="388">
        <v>46328</v>
      </c>
      <c r="AH20" s="524"/>
      <c r="AI20" s="547">
        <v>19</v>
      </c>
      <c r="AJ20" s="540">
        <f>AI20/1.16</f>
        <v>16.379310344827587</v>
      </c>
      <c r="AK20" s="351">
        <f>U20/AJ20</f>
        <v>0.10282598684210524</v>
      </c>
      <c r="AL20" s="351">
        <f>1-(U20/AJ20)</f>
        <v>0.8971740131578948</v>
      </c>
      <c r="AM20" s="345">
        <f>1-(AJ20/(AI20/1.16))</f>
        <v>0</v>
      </c>
      <c r="BB20" s="350">
        <v>1</v>
      </c>
      <c r="BC20" s="350">
        <v>1</v>
      </c>
      <c r="BD20" s="350"/>
      <c r="BE20" s="350">
        <v>1</v>
      </c>
      <c r="BF20" s="350">
        <v>1</v>
      </c>
      <c r="BG20" s="350">
        <v>1</v>
      </c>
      <c r="BH20" s="350"/>
      <c r="BI20" s="350"/>
      <c r="BJ20" s="350"/>
      <c r="BK20" s="350">
        <v>9</v>
      </c>
      <c r="BL20" s="350">
        <f>SUM(BB20:BJ20)</f>
        <v>5</v>
      </c>
      <c r="BM20" s="548">
        <f>+BL20/BK20</f>
        <v>0.55555555555555558</v>
      </c>
      <c r="BN20" s="389"/>
      <c r="BO20" s="389"/>
      <c r="BP20" s="389"/>
      <c r="BQ20" s="389"/>
      <c r="BR20" s="549" t="str">
        <f>+AF20</f>
        <v>Se mandó abierto a licencia</v>
      </c>
      <c r="BS20" s="388">
        <f>+AG20</f>
        <v>46328</v>
      </c>
      <c r="BT20" s="536" t="s">
        <v>1186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6">
      <c r="A21" s="536">
        <v>6</v>
      </c>
      <c r="B21" s="536">
        <v>1</v>
      </c>
      <c r="C21" s="537">
        <v>46241</v>
      </c>
      <c r="D21" s="536" t="s">
        <v>277</v>
      </c>
      <c r="E21" s="538" t="s">
        <v>1178</v>
      </c>
      <c r="F21" s="350">
        <v>7506110696384</v>
      </c>
      <c r="G21" s="536" t="s">
        <v>1187</v>
      </c>
      <c r="H21" s="536" t="s">
        <v>1188</v>
      </c>
      <c r="I21" s="539" t="s">
        <v>60</v>
      </c>
      <c r="J21" s="536" t="s">
        <v>498</v>
      </c>
      <c r="K21" s="536" t="s">
        <v>1169</v>
      </c>
      <c r="L21" s="536" t="s">
        <v>281</v>
      </c>
      <c r="M21" s="536">
        <v>1</v>
      </c>
      <c r="N21" s="540">
        <f>1/12</f>
        <v>8.3333333333333329E-2</v>
      </c>
      <c r="O21" s="540">
        <f>N21*'Perry Ellis 2026 Fase 2'!$O$19</f>
        <v>0.90958333333333319</v>
      </c>
      <c r="P21" s="540">
        <f>N21*1.1</f>
        <v>9.1666666666666674E-2</v>
      </c>
      <c r="Q21" s="540"/>
      <c r="R21" s="540">
        <f>+N21*$R$15</f>
        <v>1.5416666666666665</v>
      </c>
      <c r="S21" s="540">
        <f>N21*0.25</f>
        <v>2.0833333333333332E-2</v>
      </c>
      <c r="T21" s="540">
        <f>(R21+S21)*7.79%</f>
        <v>0.12171874999999997</v>
      </c>
      <c r="U21" s="541">
        <f>R21+S21+T21</f>
        <v>1.6842187499999997</v>
      </c>
      <c r="V21" s="542">
        <v>29</v>
      </c>
      <c r="W21" s="540">
        <f>+V21/1.16</f>
        <v>25</v>
      </c>
      <c r="X21" s="543">
        <f>+W21*0.6</f>
        <v>15</v>
      </c>
      <c r="Y21" s="544">
        <f>U21/X21</f>
        <v>0.11228124999999997</v>
      </c>
      <c r="Z21" s="546">
        <f>1-U21/X21</f>
        <v>0.88771875</v>
      </c>
      <c r="AA21" s="546">
        <f>1-(X21/(V21/1.16))</f>
        <v>0.4</v>
      </c>
      <c r="AB21" s="536" t="s">
        <v>478</v>
      </c>
      <c r="AC21" s="536" t="s">
        <v>67</v>
      </c>
      <c r="AD21" s="536">
        <v>12</v>
      </c>
      <c r="AE21" s="536">
        <v>480</v>
      </c>
      <c r="AF21" s="536" t="s">
        <v>1181</v>
      </c>
      <c r="AG21" s="388">
        <v>46328</v>
      </c>
      <c r="AH21" s="524"/>
      <c r="AI21" s="547">
        <v>19</v>
      </c>
      <c r="AJ21" s="540">
        <f>AI21/1.16</f>
        <v>16.379310344827587</v>
      </c>
      <c r="AK21" s="351">
        <f>U21/AJ21</f>
        <v>0.10282598684210524</v>
      </c>
      <c r="AL21" s="351">
        <f>1-(U21/AJ21)</f>
        <v>0.8971740131578948</v>
      </c>
      <c r="AM21" s="345">
        <f>1-(AJ21/(AI21/1.16))</f>
        <v>0</v>
      </c>
      <c r="BB21" s="350">
        <v>1</v>
      </c>
      <c r="BC21" s="350">
        <v>1</v>
      </c>
      <c r="BD21" s="350"/>
      <c r="BE21" s="350">
        <v>1</v>
      </c>
      <c r="BF21" s="350">
        <v>1</v>
      </c>
      <c r="BG21" s="350">
        <v>1</v>
      </c>
      <c r="BH21" s="350"/>
      <c r="BI21" s="350"/>
      <c r="BJ21" s="350"/>
      <c r="BK21" s="350">
        <v>9</v>
      </c>
      <c r="BL21" s="350">
        <f>SUM(BB21:BJ21)</f>
        <v>5</v>
      </c>
      <c r="BM21" s="548">
        <f>+BL21/BK21</f>
        <v>0.55555555555555558</v>
      </c>
      <c r="BN21" s="389"/>
      <c r="BO21" s="389"/>
      <c r="BP21" s="389"/>
      <c r="BQ21" s="389"/>
      <c r="BR21" s="549" t="str">
        <f>+AF21</f>
        <v>Se mandó abierto a licencia</v>
      </c>
      <c r="BS21" s="388">
        <f>+AG21</f>
        <v>46328</v>
      </c>
      <c r="BT21" s="536" t="s">
        <v>1186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17.25">
      <c r="A22" s="536">
        <v>7</v>
      </c>
      <c r="B22" s="536">
        <v>2</v>
      </c>
      <c r="C22" s="537">
        <v>46241</v>
      </c>
      <c r="D22" s="536" t="s">
        <v>277</v>
      </c>
      <c r="E22" s="538" t="s">
        <v>1189</v>
      </c>
      <c r="F22" s="350">
        <v>7506110696391</v>
      </c>
      <c r="G22" s="536" t="s">
        <v>1190</v>
      </c>
      <c r="H22" s="536" t="s">
        <v>1191</v>
      </c>
      <c r="I22" s="539"/>
      <c r="J22" s="536" t="s">
        <v>1192</v>
      </c>
      <c r="K22" s="536" t="s">
        <v>1169</v>
      </c>
      <c r="L22" s="536" t="s">
        <v>281</v>
      </c>
      <c r="M22" s="536">
        <v>1</v>
      </c>
      <c r="N22" s="540">
        <v>0.78</v>
      </c>
      <c r="O22" s="540">
        <f>N22*'Perry Ellis 2026 Fase 2'!$O$19</f>
        <v>8.5137</v>
      </c>
      <c r="P22" s="540" t="e">
        <f>#REF!*1.1</f>
        <v>#REF!</v>
      </c>
      <c r="Q22" s="540"/>
      <c r="R22" s="540">
        <f>+N22*$R$15</f>
        <v>14.43</v>
      </c>
      <c r="S22" s="540">
        <f>N22*0.25</f>
        <v>0.19500000000000001</v>
      </c>
      <c r="T22" s="540">
        <f>(R22+S22)*15.51%</f>
        <v>2.2683374999999999</v>
      </c>
      <c r="U22" s="541">
        <f>R22+S22+T22</f>
        <v>16.893337500000001</v>
      </c>
      <c r="V22" s="542">
        <v>149</v>
      </c>
      <c r="W22" s="540">
        <f>+V22/1.16</f>
        <v>128.44827586206898</v>
      </c>
      <c r="X22" s="543">
        <f>+W22*0.6</f>
        <v>77.068965517241381</v>
      </c>
      <c r="Y22" s="544">
        <f>U22/X22</f>
        <v>0.21919766778523492</v>
      </c>
      <c r="Z22" s="546">
        <f>1-U22/X22</f>
        <v>0.78080233221476503</v>
      </c>
      <c r="AA22" s="546">
        <f>1-(X22/(V22/1.16))</f>
        <v>0.4</v>
      </c>
      <c r="AB22" s="536" t="s">
        <v>607</v>
      </c>
      <c r="AC22" s="536" t="s">
        <v>67</v>
      </c>
      <c r="AD22" s="536">
        <v>4</v>
      </c>
      <c r="AE22" s="536">
        <v>24</v>
      </c>
      <c r="AF22" s="536"/>
      <c r="AG22" s="536"/>
      <c r="AH22" s="524"/>
      <c r="AI22" s="547">
        <v>89</v>
      </c>
      <c r="AJ22" s="540">
        <f>AI22/1.16</f>
        <v>76.724137931034491</v>
      </c>
      <c r="AK22" s="351">
        <f>U22/AJ22</f>
        <v>0.22018282584269663</v>
      </c>
      <c r="AL22" s="351">
        <f>1-(U22/AJ22)</f>
        <v>0.77981717415730334</v>
      </c>
      <c r="AM22" s="345">
        <f>1-(AJ22/(AI22/1.16))</f>
        <v>0</v>
      </c>
      <c r="BB22" s="350">
        <v>1</v>
      </c>
      <c r="BC22" s="350">
        <v>1</v>
      </c>
      <c r="BD22" s="350"/>
      <c r="BE22" s="350">
        <v>1</v>
      </c>
      <c r="BF22" s="350">
        <v>1</v>
      </c>
      <c r="BG22" s="350"/>
      <c r="BH22" s="350"/>
      <c r="BI22" s="350"/>
      <c r="BJ22" s="350"/>
      <c r="BK22" s="350">
        <v>9</v>
      </c>
      <c r="BL22" s="350">
        <f>SUM(BB22:BJ22)</f>
        <v>4</v>
      </c>
      <c r="BM22" s="548">
        <f>+BL22/BK22</f>
        <v>0.44444444444444442</v>
      </c>
      <c r="BN22" s="389"/>
      <c r="BO22" s="389"/>
      <c r="BP22" s="389"/>
      <c r="BQ22" s="389"/>
      <c r="BR22" s="549">
        <f>+AF22</f>
        <v>0</v>
      </c>
      <c r="BS22" s="388">
        <f>+AG22</f>
        <v>0</v>
      </c>
      <c r="BT22" s="536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7.25">
      <c r="A23" s="536">
        <v>8</v>
      </c>
      <c r="B23" s="536"/>
      <c r="C23" s="537">
        <v>46241</v>
      </c>
      <c r="D23" s="536" t="s">
        <v>277</v>
      </c>
      <c r="E23" s="538" t="s">
        <v>1189</v>
      </c>
      <c r="F23" s="350" t="s">
        <v>176</v>
      </c>
      <c r="G23" s="536" t="s">
        <v>1193</v>
      </c>
      <c r="H23" s="536" t="s">
        <v>1191</v>
      </c>
      <c r="I23" s="539"/>
      <c r="J23" s="536" t="s">
        <v>1192</v>
      </c>
      <c r="K23" s="536" t="s">
        <v>1169</v>
      </c>
      <c r="L23" s="536" t="s">
        <v>281</v>
      </c>
      <c r="M23" s="536">
        <v>1</v>
      </c>
      <c r="N23" s="540">
        <v>0.78</v>
      </c>
      <c r="O23" s="540">
        <f>N23*'Perry Ellis 2026 Fase 2'!$O$19</f>
        <v>8.5137</v>
      </c>
      <c r="P23" s="540" t="e">
        <f>#REF!*1.1</f>
        <v>#REF!</v>
      </c>
      <c r="Q23" s="540"/>
      <c r="R23" s="540">
        <f>+N23*$R$15</f>
        <v>14.43</v>
      </c>
      <c r="S23" s="540">
        <f>N23*0.25</f>
        <v>0.19500000000000001</v>
      </c>
      <c r="T23" s="540">
        <f>(R23+S23)*15.51%</f>
        <v>2.2683374999999999</v>
      </c>
      <c r="U23" s="541">
        <f>R23+S23+T23</f>
        <v>16.893337500000001</v>
      </c>
      <c r="V23" s="542">
        <v>149</v>
      </c>
      <c r="W23" s="540">
        <f>+V23/1.16</f>
        <v>128.44827586206898</v>
      </c>
      <c r="X23" s="543">
        <f>+W23*0.6</f>
        <v>77.068965517241381</v>
      </c>
      <c r="Y23" s="544">
        <f>U23/X23</f>
        <v>0.21919766778523492</v>
      </c>
      <c r="Z23" s="546">
        <f>1-U23/X23</f>
        <v>0.78080233221476503</v>
      </c>
      <c r="AA23" s="546">
        <f>1-(X23/(V23/1.16))</f>
        <v>0.4</v>
      </c>
      <c r="AB23" s="536" t="s">
        <v>607</v>
      </c>
      <c r="AC23" s="536" t="s">
        <v>67</v>
      </c>
      <c r="AD23" s="536">
        <v>4</v>
      </c>
      <c r="AE23" s="536">
        <v>24</v>
      </c>
      <c r="AF23" s="536"/>
      <c r="AG23" s="536"/>
      <c r="AH23" s="524"/>
      <c r="AI23" s="547">
        <v>89</v>
      </c>
      <c r="AJ23" s="540">
        <f>AI23/1.16</f>
        <v>76.724137931034491</v>
      </c>
      <c r="AK23" s="351">
        <f>U23/AJ23</f>
        <v>0.22018282584269663</v>
      </c>
      <c r="AL23" s="351">
        <f>1-(U23/AJ23)</f>
        <v>0.77981717415730334</v>
      </c>
      <c r="AM23" s="345">
        <f>1-(AJ23/(AI23/1.16))</f>
        <v>0</v>
      </c>
      <c r="BB23" s="350">
        <v>1</v>
      </c>
      <c r="BC23" s="350">
        <v>1</v>
      </c>
      <c r="BD23" s="350"/>
      <c r="BE23" s="350">
        <v>1</v>
      </c>
      <c r="BF23" s="350">
        <v>1</v>
      </c>
      <c r="BG23" s="350"/>
      <c r="BH23" s="350"/>
      <c r="BI23" s="350"/>
      <c r="BJ23" s="350"/>
      <c r="BK23" s="350">
        <v>9</v>
      </c>
      <c r="BL23" s="350">
        <f>SUM(BB23:BJ23)</f>
        <v>4</v>
      </c>
      <c r="BM23" s="548">
        <f>+BL23/BK23</f>
        <v>0.44444444444444442</v>
      </c>
      <c r="BN23" s="389"/>
      <c r="BO23" s="389"/>
      <c r="BP23" s="389"/>
      <c r="BQ23" s="389"/>
      <c r="BR23" s="549">
        <f>+AF23</f>
        <v>0</v>
      </c>
      <c r="BS23" s="388">
        <f>+AG23</f>
        <v>0</v>
      </c>
      <c r="BT23" s="536"/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7.25">
      <c r="A24" s="536">
        <v>9</v>
      </c>
      <c r="B24" s="536">
        <v>1</v>
      </c>
      <c r="C24" s="537">
        <v>46241</v>
      </c>
      <c r="D24" s="536" t="s">
        <v>277</v>
      </c>
      <c r="E24" s="538" t="s">
        <v>1194</v>
      </c>
      <c r="F24" s="350">
        <v>7506110696407</v>
      </c>
      <c r="G24" s="536" t="s">
        <v>1195</v>
      </c>
      <c r="H24" s="536" t="s">
        <v>1196</v>
      </c>
      <c r="I24" s="539" t="s">
        <v>60</v>
      </c>
      <c r="J24" s="536" t="s">
        <v>482</v>
      </c>
      <c r="K24" s="536" t="s">
        <v>1169</v>
      </c>
      <c r="L24" s="536" t="s">
        <v>281</v>
      </c>
      <c r="M24" s="536">
        <v>1</v>
      </c>
      <c r="N24" s="540">
        <v>0.6</v>
      </c>
      <c r="O24" s="540">
        <f>N24*'Perry Ellis 2026 Fase 2'!$O$19</f>
        <v>6.5489999999999995</v>
      </c>
      <c r="P24" s="540">
        <f>N24*1.1</f>
        <v>0.66</v>
      </c>
      <c r="Q24" s="540"/>
      <c r="R24" s="540">
        <f>+N24*$R$15</f>
        <v>11.1</v>
      </c>
      <c r="S24" s="540">
        <f>N24*0.25</f>
        <v>0.15</v>
      </c>
      <c r="T24" s="540">
        <f>(R24+S24)*11.78%</f>
        <v>1.3252499999999998</v>
      </c>
      <c r="U24" s="541">
        <f>R24+S24+T24</f>
        <v>12.57525</v>
      </c>
      <c r="V24" s="542">
        <v>199</v>
      </c>
      <c r="W24" s="540">
        <f>+V24/1.16</f>
        <v>171.55172413793105</v>
      </c>
      <c r="X24" s="543">
        <f>+W24*0.6</f>
        <v>102.93103448275862</v>
      </c>
      <c r="Y24" s="544">
        <f>U24/X24</f>
        <v>0.12217160804020101</v>
      </c>
      <c r="Z24" s="546">
        <f>1-U24/X24</f>
        <v>0.877828391959799</v>
      </c>
      <c r="AA24" s="546">
        <f>1-(X24/(V24/1.16))</f>
        <v>0.4</v>
      </c>
      <c r="AB24" s="536" t="s">
        <v>478</v>
      </c>
      <c r="AC24" s="536" t="s">
        <v>67</v>
      </c>
      <c r="AD24" s="536">
        <v>4</v>
      </c>
      <c r="AE24" s="536">
        <v>48</v>
      </c>
      <c r="AF24" s="536" t="s">
        <v>1181</v>
      </c>
      <c r="AG24" s="388">
        <v>46328</v>
      </c>
      <c r="AH24" s="524"/>
      <c r="AI24" s="547">
        <v>119</v>
      </c>
      <c r="AJ24" s="540">
        <f>AI24/1.16</f>
        <v>102.58620689655173</v>
      </c>
      <c r="AK24" s="351">
        <f>U24/AJ24</f>
        <v>0.12258226890756302</v>
      </c>
      <c r="AL24" s="351">
        <f>1-(U24/AJ24)</f>
        <v>0.87741773109243693</v>
      </c>
      <c r="AM24" s="345">
        <f>1-(AJ24/(AI24/1.16))</f>
        <v>0</v>
      </c>
      <c r="BB24" s="350">
        <v>1</v>
      </c>
      <c r="BC24" s="350">
        <v>1</v>
      </c>
      <c r="BD24" s="350"/>
      <c r="BE24" s="350">
        <v>1</v>
      </c>
      <c r="BF24" s="350">
        <v>1</v>
      </c>
      <c r="BG24" s="350">
        <v>1</v>
      </c>
      <c r="BH24" s="350"/>
      <c r="BI24" s="350"/>
      <c r="BJ24" s="350"/>
      <c r="BK24" s="350">
        <v>9</v>
      </c>
      <c r="BL24" s="350">
        <f>SUM(BB24:BJ24)</f>
        <v>5</v>
      </c>
      <c r="BM24" s="548">
        <f>+BL24/BK24</f>
        <v>0.55555555555555558</v>
      </c>
      <c r="BN24" s="389"/>
      <c r="BO24" s="389"/>
      <c r="BP24" s="389"/>
      <c r="BQ24" s="389"/>
      <c r="BR24" s="549" t="str">
        <f>+AF24</f>
        <v>Se mandó abierto a licencia</v>
      </c>
      <c r="BS24" s="388">
        <f>+AG24</f>
        <v>46328</v>
      </c>
      <c r="BT24" s="536" t="s">
        <v>1186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7.25">
      <c r="A25" s="536">
        <v>10</v>
      </c>
      <c r="B25" s="536">
        <v>1</v>
      </c>
      <c r="C25" s="537">
        <v>46241</v>
      </c>
      <c r="D25" s="536" t="s">
        <v>277</v>
      </c>
      <c r="E25" s="538" t="s">
        <v>1194</v>
      </c>
      <c r="F25" s="350">
        <v>7506110696414</v>
      </c>
      <c r="G25" s="536" t="s">
        <v>1197</v>
      </c>
      <c r="H25" s="536" t="s">
        <v>1198</v>
      </c>
      <c r="I25" s="539" t="s">
        <v>60</v>
      </c>
      <c r="J25" s="536" t="s">
        <v>482</v>
      </c>
      <c r="K25" s="536" t="s">
        <v>1169</v>
      </c>
      <c r="L25" s="536" t="s">
        <v>281</v>
      </c>
      <c r="M25" s="536">
        <v>1</v>
      </c>
      <c r="N25" s="540">
        <v>0.6</v>
      </c>
      <c r="O25" s="540">
        <f>N25*'Perry Ellis 2026 Fase 2'!$O$19</f>
        <v>6.5489999999999995</v>
      </c>
      <c r="P25" s="540">
        <f>N25*1.1</f>
        <v>0.66</v>
      </c>
      <c r="Q25" s="540"/>
      <c r="R25" s="540">
        <f>+N25*$R$15</f>
        <v>11.1</v>
      </c>
      <c r="S25" s="540">
        <f>N25*0.25</f>
        <v>0.15</v>
      </c>
      <c r="T25" s="540">
        <f>(R25+S25)*11.78%</f>
        <v>1.3252499999999998</v>
      </c>
      <c r="U25" s="541">
        <f>R25+S25+T25</f>
        <v>12.57525</v>
      </c>
      <c r="V25" s="542">
        <v>199</v>
      </c>
      <c r="W25" s="540">
        <f>+V25/1.16</f>
        <v>171.55172413793105</v>
      </c>
      <c r="X25" s="543">
        <f>+W25*0.6</f>
        <v>102.93103448275862</v>
      </c>
      <c r="Y25" s="544">
        <f>U25/X25</f>
        <v>0.12217160804020101</v>
      </c>
      <c r="Z25" s="546">
        <f>1-U25/X25</f>
        <v>0.877828391959799</v>
      </c>
      <c r="AA25" s="546">
        <f>1-(X25/(V25/1.16))</f>
        <v>0.4</v>
      </c>
      <c r="AB25" s="536" t="s">
        <v>478</v>
      </c>
      <c r="AC25" s="536" t="s">
        <v>67</v>
      </c>
      <c r="AD25" s="536">
        <v>4</v>
      </c>
      <c r="AE25" s="536">
        <v>48</v>
      </c>
      <c r="AF25" s="536" t="s">
        <v>1181</v>
      </c>
      <c r="AG25" s="388">
        <v>46328</v>
      </c>
      <c r="AH25" s="524"/>
      <c r="AI25" s="547">
        <v>119</v>
      </c>
      <c r="AJ25" s="540">
        <f>AI25/1.16</f>
        <v>102.58620689655173</v>
      </c>
      <c r="AK25" s="351">
        <f>U25/AJ25</f>
        <v>0.12258226890756302</v>
      </c>
      <c r="AL25" s="351">
        <f>1-(U25/AJ25)</f>
        <v>0.87741773109243693</v>
      </c>
      <c r="AM25" s="345">
        <f>1-(AJ25/(AI25/1.16))</f>
        <v>0</v>
      </c>
      <c r="BB25" s="350">
        <v>1</v>
      </c>
      <c r="BC25" s="350">
        <v>1</v>
      </c>
      <c r="BD25" s="350"/>
      <c r="BE25" s="350">
        <v>1</v>
      </c>
      <c r="BF25" s="350">
        <v>1</v>
      </c>
      <c r="BG25" s="350">
        <v>1</v>
      </c>
      <c r="BH25" s="350"/>
      <c r="BI25" s="350"/>
      <c r="BJ25" s="350"/>
      <c r="BK25" s="350">
        <v>9</v>
      </c>
      <c r="BL25" s="350">
        <f>SUM(BB25:BJ25)</f>
        <v>5</v>
      </c>
      <c r="BM25" s="548">
        <f>+BL25/BK25</f>
        <v>0.55555555555555558</v>
      </c>
      <c r="BN25" s="389"/>
      <c r="BO25" s="389"/>
      <c r="BP25" s="389"/>
      <c r="BQ25" s="389"/>
      <c r="BR25" s="549" t="str">
        <f>+AF25</f>
        <v>Se mandó abierto a licencia</v>
      </c>
      <c r="BS25" s="388">
        <f>+AG25</f>
        <v>46328</v>
      </c>
      <c r="BT25" s="536" t="s">
        <v>1186</v>
      </c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7.25">
      <c r="A26" s="536">
        <v>11</v>
      </c>
      <c r="B26" s="536">
        <v>1</v>
      </c>
      <c r="C26" s="537">
        <v>46241</v>
      </c>
      <c r="D26" s="536" t="s">
        <v>277</v>
      </c>
      <c r="E26" s="538" t="s">
        <v>1194</v>
      </c>
      <c r="F26" s="350">
        <v>7506110696421</v>
      </c>
      <c r="G26" s="536" t="s">
        <v>1199</v>
      </c>
      <c r="H26" s="536" t="s">
        <v>1200</v>
      </c>
      <c r="I26" s="539" t="s">
        <v>60</v>
      </c>
      <c r="J26" s="536" t="s">
        <v>498</v>
      </c>
      <c r="K26" s="536" t="s">
        <v>1169</v>
      </c>
      <c r="L26" s="536" t="s">
        <v>281</v>
      </c>
      <c r="M26" s="536">
        <v>1</v>
      </c>
      <c r="N26" s="540">
        <v>1.1000000000000001</v>
      </c>
      <c r="O26" s="540">
        <f>N26*'Perry Ellis 2026 Fase 2'!$O$19</f>
        <v>12.006500000000001</v>
      </c>
      <c r="P26" s="540">
        <f>N26*1.2</f>
        <v>1.32</v>
      </c>
      <c r="Q26" s="540"/>
      <c r="R26" s="540">
        <f>+N26*$R$15</f>
        <v>20.350000000000001</v>
      </c>
      <c r="S26" s="540">
        <f>R26*0.25</f>
        <v>5.0875000000000004</v>
      </c>
      <c r="T26" s="540">
        <f>(R26+S26)*48.41%</f>
        <v>12.314293749999999</v>
      </c>
      <c r="U26" s="541">
        <f>R26+S26+T26</f>
        <v>37.751793749999997</v>
      </c>
      <c r="V26" s="542">
        <v>199</v>
      </c>
      <c r="W26" s="540">
        <f>+V26/1.16</f>
        <v>171.55172413793105</v>
      </c>
      <c r="X26" s="543">
        <f>+W26*0.6</f>
        <v>102.93103448275862</v>
      </c>
      <c r="Y26" s="544">
        <f>U26/X26</f>
        <v>0.36676784547738689</v>
      </c>
      <c r="Z26" s="546">
        <f>1-U26/X26</f>
        <v>0.63323215452261317</v>
      </c>
      <c r="AA26" s="546">
        <f>1-(X26/(V26/1.16))</f>
        <v>0.4</v>
      </c>
      <c r="AB26" s="536" t="s">
        <v>528</v>
      </c>
      <c r="AC26" s="536" t="s">
        <v>67</v>
      </c>
      <c r="AD26" s="536"/>
      <c r="AE26" s="536"/>
      <c r="AF26" s="536"/>
      <c r="AG26" s="536"/>
      <c r="AH26" s="524"/>
      <c r="AI26" s="547">
        <v>119</v>
      </c>
      <c r="AJ26" s="540">
        <f>AI26/1.16</f>
        <v>102.58620689655173</v>
      </c>
      <c r="AK26" s="351">
        <f>U26/AJ26</f>
        <v>0.36800067857142854</v>
      </c>
      <c r="AL26" s="351">
        <f>1-(U26/AJ26)</f>
        <v>0.63199932142857151</v>
      </c>
      <c r="AM26" s="345">
        <f>1-(AJ26/(AI26/1.16))</f>
        <v>0</v>
      </c>
      <c r="BB26" s="350">
        <v>1</v>
      </c>
      <c r="BC26" s="350">
        <v>1</v>
      </c>
      <c r="BD26" s="350"/>
      <c r="BE26" s="350">
        <v>1</v>
      </c>
      <c r="BF26" s="350">
        <v>1</v>
      </c>
      <c r="BG26" s="350"/>
      <c r="BH26" s="350"/>
      <c r="BI26" s="350"/>
      <c r="BJ26" s="350"/>
      <c r="BK26" s="350">
        <v>9</v>
      </c>
      <c r="BL26" s="350">
        <f>SUM(BB26:BJ26)</f>
        <v>4</v>
      </c>
      <c r="BM26" s="548">
        <f>+BL26/BK26</f>
        <v>0.44444444444444442</v>
      </c>
      <c r="BN26" s="389"/>
      <c r="BO26" s="389"/>
      <c r="BP26" s="389"/>
      <c r="BQ26" s="389"/>
      <c r="BR26" s="549">
        <f>+AF26</f>
        <v>0</v>
      </c>
      <c r="BS26" s="388">
        <f>+AG26</f>
        <v>0</v>
      </c>
      <c r="BT26" s="536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36">
      <c r="A27" s="536">
        <v>12</v>
      </c>
      <c r="B27" s="536">
        <v>1</v>
      </c>
      <c r="C27" s="537">
        <v>46241</v>
      </c>
      <c r="D27" s="536" t="s">
        <v>277</v>
      </c>
      <c r="E27" s="538" t="s">
        <v>1194</v>
      </c>
      <c r="F27" s="350">
        <v>7506110696438</v>
      </c>
      <c r="G27" s="536" t="s">
        <v>1201</v>
      </c>
      <c r="H27" s="536" t="s">
        <v>1202</v>
      </c>
      <c r="I27" s="539"/>
      <c r="J27" s="536" t="s">
        <v>1203</v>
      </c>
      <c r="K27" s="536" t="s">
        <v>1169</v>
      </c>
      <c r="L27" s="536" t="s">
        <v>281</v>
      </c>
      <c r="M27" s="536">
        <v>1</v>
      </c>
      <c r="N27" s="540">
        <v>0.7</v>
      </c>
      <c r="O27" s="540">
        <v>15.09</v>
      </c>
      <c r="P27" s="540">
        <f>N27*1.1</f>
        <v>0.77</v>
      </c>
      <c r="Q27" s="540"/>
      <c r="R27" s="540">
        <f>+N27*$R$15</f>
        <v>12.95</v>
      </c>
      <c r="S27" s="540">
        <f>R27*0.25</f>
        <v>3.2374999999999998</v>
      </c>
      <c r="T27" s="540">
        <f>(R27+S27)*12.25%</f>
        <v>1.9829687499999999</v>
      </c>
      <c r="U27" s="541">
        <f>R27+S27+T27</f>
        <v>18.170468750000001</v>
      </c>
      <c r="V27" s="542">
        <v>159</v>
      </c>
      <c r="W27" s="540">
        <f>+V27/1.16</f>
        <v>137.06896551724139</v>
      </c>
      <c r="X27" s="543">
        <f>+W27*0.6</f>
        <v>82.24137931034484</v>
      </c>
      <c r="Y27" s="544">
        <f>U27/X27</f>
        <v>0.22094071016771485</v>
      </c>
      <c r="Z27" s="546">
        <f>1-U27/X27</f>
        <v>0.77905928983228512</v>
      </c>
      <c r="AA27" s="546">
        <f>1-(X27/(V27/1.16))</f>
        <v>0.4</v>
      </c>
      <c r="AB27" s="536" t="s">
        <v>478</v>
      </c>
      <c r="AC27" s="536" t="s">
        <v>67</v>
      </c>
      <c r="AD27" s="536">
        <v>6</v>
      </c>
      <c r="AE27" s="536">
        <v>6</v>
      </c>
      <c r="AF27" s="536" t="s">
        <v>1204</v>
      </c>
      <c r="AG27" s="388">
        <v>46335</v>
      </c>
      <c r="AH27" s="524"/>
      <c r="AI27" s="547">
        <v>120</v>
      </c>
      <c r="AJ27" s="540">
        <f>AI27/1.16</f>
        <v>103.44827586206897</v>
      </c>
      <c r="AK27" s="351">
        <f>U27/AJ27</f>
        <v>0.17564786458333334</v>
      </c>
      <c r="AL27" s="351">
        <f>1-(U27/AJ27)</f>
        <v>0.82435213541666663</v>
      </c>
      <c r="AM27" s="345">
        <f>1-(AJ27/(AI27/1.16))</f>
        <v>0</v>
      </c>
      <c r="BB27" s="350">
        <v>1</v>
      </c>
      <c r="BC27" s="350">
        <v>1</v>
      </c>
      <c r="BD27" s="350"/>
      <c r="BE27" s="350">
        <v>1</v>
      </c>
      <c r="BF27" s="350">
        <v>1</v>
      </c>
      <c r="BG27" s="350"/>
      <c r="BH27" s="350"/>
      <c r="BI27" s="350"/>
      <c r="BJ27" s="350"/>
      <c r="BK27" s="350">
        <v>9</v>
      </c>
      <c r="BL27" s="350">
        <f>SUM(BB27:BJ27)</f>
        <v>4</v>
      </c>
      <c r="BM27" s="548">
        <f>+BL27/BK27</f>
        <v>0.44444444444444442</v>
      </c>
      <c r="BN27" s="389"/>
      <c r="BO27" s="389"/>
      <c r="BP27" s="389"/>
      <c r="BQ27" s="389"/>
      <c r="BR27" s="549" t="str">
        <f>+AF27</f>
        <v>En elaboración de archivos de impresión</v>
      </c>
      <c r="BS27" s="388">
        <f>+AG27</f>
        <v>46335</v>
      </c>
      <c r="BT27" s="536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6">
      <c r="A28" s="536">
        <v>13</v>
      </c>
      <c r="B28" s="536">
        <v>1</v>
      </c>
      <c r="C28" s="537">
        <v>46241</v>
      </c>
      <c r="D28" s="536" t="s">
        <v>277</v>
      </c>
      <c r="E28" s="538" t="s">
        <v>1194</v>
      </c>
      <c r="F28" s="350">
        <v>7506110696452</v>
      </c>
      <c r="G28" s="536" t="s">
        <v>1205</v>
      </c>
      <c r="H28" s="536" t="s">
        <v>1206</v>
      </c>
      <c r="I28" s="539" t="s">
        <v>60</v>
      </c>
      <c r="J28" s="536" t="s">
        <v>1207</v>
      </c>
      <c r="K28" s="536" t="s">
        <v>1169</v>
      </c>
      <c r="L28" s="536" t="s">
        <v>281</v>
      </c>
      <c r="M28" s="536">
        <v>1</v>
      </c>
      <c r="N28" s="540">
        <v>0.8</v>
      </c>
      <c r="O28" s="540">
        <f>N28*'Perry Ellis 2026 Fase 2'!$O$19</f>
        <v>8.7319999999999993</v>
      </c>
      <c r="P28" s="540">
        <f>N28*1.1</f>
        <v>0.88000000000000012</v>
      </c>
      <c r="Q28" s="540"/>
      <c r="R28" s="540">
        <f>+N28*$R$15</f>
        <v>14.8</v>
      </c>
      <c r="S28" s="540">
        <f>R28*0.25</f>
        <v>3.7</v>
      </c>
      <c r="T28" s="540">
        <f>(R28+S28)*7.67%</f>
        <v>1.4189500000000002</v>
      </c>
      <c r="U28" s="541">
        <f>R28+S28+T28</f>
        <v>19.918949999999999</v>
      </c>
      <c r="V28" s="542">
        <v>199</v>
      </c>
      <c r="W28" s="540">
        <f>+V28/1.16</f>
        <v>171.55172413793105</v>
      </c>
      <c r="X28" s="543">
        <f>+W28*0.6</f>
        <v>102.93103448275862</v>
      </c>
      <c r="Y28" s="544">
        <f>U28/X28</f>
        <v>0.19351743718592965</v>
      </c>
      <c r="Z28" s="546">
        <f>1-U28/X28</f>
        <v>0.80648256281407038</v>
      </c>
      <c r="AA28" s="546">
        <f>1-(X28/(V28/1.16))</f>
        <v>0.4</v>
      </c>
      <c r="AB28" s="536" t="s">
        <v>478</v>
      </c>
      <c r="AC28" s="536" t="s">
        <v>67</v>
      </c>
      <c r="AD28" s="536"/>
      <c r="AE28" s="536"/>
      <c r="AF28" s="536" t="s">
        <v>1204</v>
      </c>
      <c r="AG28" s="388">
        <v>46335</v>
      </c>
      <c r="AH28" s="524"/>
      <c r="AI28" s="547">
        <v>119</v>
      </c>
      <c r="AJ28" s="540">
        <f>AI28/1.16</f>
        <v>102.58620689655173</v>
      </c>
      <c r="AK28" s="351">
        <f>U28/AJ28</f>
        <v>0.19416791596638652</v>
      </c>
      <c r="AL28" s="351">
        <f>1-(U28/AJ28)</f>
        <v>0.8058320840336135</v>
      </c>
      <c r="AM28" s="345">
        <f>1-(AJ28/(AI28/1.16))</f>
        <v>0</v>
      </c>
      <c r="BB28" s="350">
        <v>1</v>
      </c>
      <c r="BC28" s="350">
        <v>1</v>
      </c>
      <c r="BD28" s="350"/>
      <c r="BE28" s="350">
        <v>1</v>
      </c>
      <c r="BF28" s="350">
        <v>1</v>
      </c>
      <c r="BG28" s="350"/>
      <c r="BH28" s="350"/>
      <c r="BI28" s="350"/>
      <c r="BJ28" s="350"/>
      <c r="BK28" s="350">
        <v>9</v>
      </c>
      <c r="BL28" s="350">
        <f>SUM(BB28:BJ28)</f>
        <v>4</v>
      </c>
      <c r="BM28" s="548">
        <f>+BL28/BK28</f>
        <v>0.44444444444444442</v>
      </c>
      <c r="BN28" s="389"/>
      <c r="BO28" s="389"/>
      <c r="BP28" s="389"/>
      <c r="BQ28" s="389"/>
      <c r="BR28" s="549" t="str">
        <f>+AF28</f>
        <v>En elaboración de archivos de impresión</v>
      </c>
      <c r="BS28" s="388">
        <f>+AG28</f>
        <v>46335</v>
      </c>
      <c r="BT28" s="536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6">
      <c r="A29" s="536">
        <v>14</v>
      </c>
      <c r="B29" s="536">
        <v>1</v>
      </c>
      <c r="C29" s="537">
        <v>46241</v>
      </c>
      <c r="D29" s="536" t="s">
        <v>277</v>
      </c>
      <c r="E29" s="538" t="s">
        <v>1194</v>
      </c>
      <c r="F29" s="350">
        <v>7506110696469</v>
      </c>
      <c r="G29" s="536" t="s">
        <v>1208</v>
      </c>
      <c r="H29" s="536" t="s">
        <v>1209</v>
      </c>
      <c r="I29" s="539" t="s">
        <v>60</v>
      </c>
      <c r="J29" s="536" t="s">
        <v>1210</v>
      </c>
      <c r="K29" s="536" t="s">
        <v>1169</v>
      </c>
      <c r="L29" s="536" t="s">
        <v>281</v>
      </c>
      <c r="M29" s="536">
        <v>1</v>
      </c>
      <c r="N29" s="540">
        <v>0.25</v>
      </c>
      <c r="O29" s="540">
        <f>N29*'Perry Ellis 2026 Fase 2'!$O$19</f>
        <v>2.7287499999999998</v>
      </c>
      <c r="P29" s="540">
        <f>N29*1.1</f>
        <v>0.27500000000000002</v>
      </c>
      <c r="Q29" s="540"/>
      <c r="R29" s="540">
        <f>+N29*$R$15</f>
        <v>4.625</v>
      </c>
      <c r="S29" s="540">
        <f>R29*0.36</f>
        <v>1.665</v>
      </c>
      <c r="T29" s="540">
        <f>(R29+S29)*24.03%</f>
        <v>1.511487</v>
      </c>
      <c r="U29" s="541">
        <f>R29+S29+T29</f>
        <v>7.8014869999999998</v>
      </c>
      <c r="V29" s="542">
        <v>69</v>
      </c>
      <c r="W29" s="540">
        <f>+V29/1.16</f>
        <v>59.482758620689658</v>
      </c>
      <c r="X29" s="543">
        <f>+W29*0.6</f>
        <v>35.689655172413794</v>
      </c>
      <c r="Y29" s="544">
        <f>U29/X29</f>
        <v>0.21859238937198067</v>
      </c>
      <c r="Z29" s="546">
        <f>1-U29/X29</f>
        <v>0.78140761062801933</v>
      </c>
      <c r="AA29" s="546">
        <f>1-(X29/(V29/1.16))</f>
        <v>0.4</v>
      </c>
      <c r="AB29" s="536" t="s">
        <v>284</v>
      </c>
      <c r="AC29" s="536" t="s">
        <v>67</v>
      </c>
      <c r="AD29" s="536">
        <v>6</v>
      </c>
      <c r="AE29" s="536">
        <v>144</v>
      </c>
      <c r="AF29" s="536" t="s">
        <v>1204</v>
      </c>
      <c r="AG29" s="388">
        <v>46335</v>
      </c>
      <c r="AH29" s="524"/>
      <c r="AI29" s="547">
        <v>39</v>
      </c>
      <c r="AJ29" s="540">
        <f>AI29/1.16</f>
        <v>33.620689655172413</v>
      </c>
      <c r="AK29" s="351">
        <f>U29/AJ29</f>
        <v>0.23204422871794872</v>
      </c>
      <c r="AL29" s="351">
        <f>1-(U29/AJ29)</f>
        <v>0.76795577128205128</v>
      </c>
      <c r="AM29" s="345">
        <f>1-(AJ29/(AI29/1.16))</f>
        <v>0</v>
      </c>
      <c r="BB29" s="350">
        <v>1</v>
      </c>
      <c r="BC29" s="350">
        <v>1</v>
      </c>
      <c r="BD29" s="350"/>
      <c r="BE29" s="350">
        <v>1</v>
      </c>
      <c r="BF29" s="350">
        <v>1</v>
      </c>
      <c r="BG29" s="350"/>
      <c r="BH29" s="350"/>
      <c r="BI29" s="350"/>
      <c r="BJ29" s="350"/>
      <c r="BK29" s="350">
        <v>9</v>
      </c>
      <c r="BL29" s="350">
        <f>SUM(BB29:BJ29)</f>
        <v>4</v>
      </c>
      <c r="BM29" s="548">
        <f>+BL29/BK29</f>
        <v>0.44444444444444442</v>
      </c>
      <c r="BN29" s="389"/>
      <c r="BO29" s="389"/>
      <c r="BP29" s="389"/>
      <c r="BQ29" s="389"/>
      <c r="BR29" s="549" t="str">
        <f>+AF29</f>
        <v>En elaboración de archivos de impresión</v>
      </c>
      <c r="BS29" s="388">
        <f>+AG29</f>
        <v>46335</v>
      </c>
      <c r="BT29" s="536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17.25">
      <c r="A30" s="536">
        <v>15</v>
      </c>
      <c r="B30" s="536">
        <v>1</v>
      </c>
      <c r="C30" s="537">
        <v>46241</v>
      </c>
      <c r="D30" s="536" t="s">
        <v>277</v>
      </c>
      <c r="E30" s="538" t="s">
        <v>1194</v>
      </c>
      <c r="F30" s="350" t="s">
        <v>176</v>
      </c>
      <c r="G30" s="536" t="s">
        <v>1211</v>
      </c>
      <c r="H30" s="536" t="s">
        <v>1212</v>
      </c>
      <c r="I30" s="539"/>
      <c r="J30" s="536" t="s">
        <v>1213</v>
      </c>
      <c r="K30" s="536" t="s">
        <v>1169</v>
      </c>
      <c r="L30" s="536" t="s">
        <v>281</v>
      </c>
      <c r="M30" s="536" t="s">
        <v>1214</v>
      </c>
      <c r="N30" s="540">
        <v>1.4</v>
      </c>
      <c r="O30" s="540">
        <f>N30*'Perry Ellis 2026 Fase 2'!$O$19</f>
        <v>15.280999999999997</v>
      </c>
      <c r="P30" s="540">
        <f>N30*1.15</f>
        <v>1.6099999999999999</v>
      </c>
      <c r="Q30" s="540"/>
      <c r="R30" s="540">
        <f>+N30*$R$15</f>
        <v>25.9</v>
      </c>
      <c r="S30" s="540">
        <f>R30*0.15</f>
        <v>3.8849999999999998</v>
      </c>
      <c r="T30" s="540">
        <f>(R30+S30)*3.56%</f>
        <v>1.0603459999999998</v>
      </c>
      <c r="U30" s="541">
        <f>R30+S30+T30</f>
        <v>30.845345999999996</v>
      </c>
      <c r="V30" s="542">
        <v>149</v>
      </c>
      <c r="W30" s="540">
        <f>+V30/1.16</f>
        <v>128.44827586206898</v>
      </c>
      <c r="X30" s="543">
        <f>+W30*0.6</f>
        <v>77.068965517241381</v>
      </c>
      <c r="Y30" s="544">
        <f>U30/X30</f>
        <v>0.40023044026845633</v>
      </c>
      <c r="Z30" s="546">
        <f>1-U30/X30</f>
        <v>0.59976955973154367</v>
      </c>
      <c r="AA30" s="546">
        <f>1-(X30/(V30/1.16))</f>
        <v>0.4</v>
      </c>
      <c r="AB30" s="536" t="s">
        <v>528</v>
      </c>
      <c r="AC30" s="536" t="s">
        <v>67</v>
      </c>
      <c r="AD30" s="536"/>
      <c r="AE30" s="536"/>
      <c r="AF30" s="536"/>
      <c r="AG30" s="536"/>
      <c r="AH30" s="524"/>
      <c r="AI30" s="547">
        <v>89</v>
      </c>
      <c r="AJ30" s="540">
        <f>AI30/1.16</f>
        <v>76.724137931034491</v>
      </c>
      <c r="AK30" s="351">
        <f>U30/AJ30</f>
        <v>0.40202922876404484</v>
      </c>
      <c r="AL30" s="351">
        <f>1-(U30/AJ30)</f>
        <v>0.59797077123595521</v>
      </c>
      <c r="AM30" s="345">
        <f>1-(AJ30/(AI30/1.16))</f>
        <v>0</v>
      </c>
      <c r="BB30" s="350">
        <v>1</v>
      </c>
      <c r="BC30" s="350">
        <v>1</v>
      </c>
      <c r="BD30" s="350"/>
      <c r="BE30" s="350">
        <v>1</v>
      </c>
      <c r="BF30" s="350">
        <v>1</v>
      </c>
      <c r="BG30" s="350"/>
      <c r="BH30" s="350"/>
      <c r="BI30" s="350"/>
      <c r="BJ30" s="350"/>
      <c r="BK30" s="350">
        <v>9</v>
      </c>
      <c r="BL30" s="350">
        <f>SUM(BB30:BJ30)</f>
        <v>4</v>
      </c>
      <c r="BM30" s="548">
        <f>+BL30/BK30</f>
        <v>0.44444444444444442</v>
      </c>
      <c r="BN30" s="389"/>
      <c r="BO30" s="389"/>
      <c r="BP30" s="389"/>
      <c r="BQ30" s="389"/>
      <c r="BR30" s="549">
        <f>+AF30</f>
        <v>0</v>
      </c>
      <c r="BS30" s="388">
        <f>+AG30</f>
        <v>0</v>
      </c>
      <c r="BT30" s="536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6">
      <c r="A31" s="536">
        <v>16</v>
      </c>
      <c r="B31" s="536"/>
      <c r="C31" s="537">
        <v>46241</v>
      </c>
      <c r="D31" s="536" t="s">
        <v>277</v>
      </c>
      <c r="E31" s="538" t="s">
        <v>1194</v>
      </c>
      <c r="F31" s="350" t="s">
        <v>176</v>
      </c>
      <c r="G31" s="536" t="s">
        <v>1215</v>
      </c>
      <c r="H31" s="536" t="s">
        <v>1216</v>
      </c>
      <c r="I31" s="539"/>
      <c r="J31" s="536" t="s">
        <v>1217</v>
      </c>
      <c r="K31" s="536" t="s">
        <v>1169</v>
      </c>
      <c r="L31" s="536" t="s">
        <v>281</v>
      </c>
      <c r="M31" s="536" t="s">
        <v>1214</v>
      </c>
      <c r="N31" s="540"/>
      <c r="O31" s="540"/>
      <c r="P31" s="540"/>
      <c r="Q31" s="540"/>
      <c r="R31" s="540"/>
      <c r="S31" s="540"/>
      <c r="T31" s="540"/>
      <c r="U31" s="541"/>
      <c r="V31" s="542"/>
      <c r="W31" s="540"/>
      <c r="X31" s="543"/>
      <c r="Y31" s="544"/>
      <c r="Z31" s="546"/>
      <c r="AA31" s="546"/>
      <c r="AB31" s="536" t="s">
        <v>528</v>
      </c>
      <c r="AC31" s="536" t="s">
        <v>67</v>
      </c>
      <c r="AD31" s="536"/>
      <c r="AE31" s="536"/>
      <c r="AF31" s="536" t="s">
        <v>1204</v>
      </c>
      <c r="AG31" s="388">
        <v>46335</v>
      </c>
      <c r="AH31" s="524"/>
      <c r="AI31" s="547"/>
      <c r="AJ31" s="540">
        <f>AI31/1.16</f>
        <v>0</v>
      </c>
      <c r="AK31" s="351" t="e">
        <f>U31/AJ31</f>
        <v>#DIV/0!</v>
      </c>
      <c r="AL31" s="351" t="e">
        <f>1-(U31/AJ31)</f>
        <v>#DIV/0!</v>
      </c>
      <c r="AM31" s="345" t="e">
        <f>1-(AJ31/(AI31/1.16))</f>
        <v>#DIV/0!</v>
      </c>
      <c r="BB31" s="350">
        <v>1</v>
      </c>
      <c r="BC31" s="350">
        <v>1</v>
      </c>
      <c r="BD31" s="350"/>
      <c r="BE31" s="350">
        <v>1</v>
      </c>
      <c r="BF31" s="350">
        <v>1</v>
      </c>
      <c r="BG31" s="350"/>
      <c r="BH31" s="350"/>
      <c r="BI31" s="350"/>
      <c r="BJ31" s="350"/>
      <c r="BK31" s="350">
        <v>9</v>
      </c>
      <c r="BL31" s="350">
        <f>SUM(BB31:BJ31)</f>
        <v>4</v>
      </c>
      <c r="BM31" s="548">
        <f>+BL31/BK31</f>
        <v>0.44444444444444442</v>
      </c>
      <c r="BN31" s="389"/>
      <c r="BO31" s="389"/>
      <c r="BP31" s="389"/>
      <c r="BQ31" s="389"/>
      <c r="BR31" s="549" t="str">
        <f>+AF31</f>
        <v>En elaboración de archivos de impresión</v>
      </c>
      <c r="BS31" s="388">
        <f>+AG31</f>
        <v>46335</v>
      </c>
      <c r="BT31" s="536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17.25">
      <c r="A32" s="536">
        <v>17</v>
      </c>
      <c r="B32" s="536">
        <v>1</v>
      </c>
      <c r="C32" s="537">
        <v>46241</v>
      </c>
      <c r="D32" s="536" t="s">
        <v>277</v>
      </c>
      <c r="E32" s="538" t="s">
        <v>1194</v>
      </c>
      <c r="F32" s="350">
        <v>7506110696513</v>
      </c>
      <c r="G32" s="536" t="s">
        <v>1218</v>
      </c>
      <c r="H32" s="536" t="s">
        <v>1219</v>
      </c>
      <c r="I32" s="539"/>
      <c r="J32" s="536" t="s">
        <v>1220</v>
      </c>
      <c r="K32" s="536" t="s">
        <v>1169</v>
      </c>
      <c r="L32" s="536" t="s">
        <v>281</v>
      </c>
      <c r="M32" s="536">
        <v>1</v>
      </c>
      <c r="N32" s="540">
        <v>0.5</v>
      </c>
      <c r="O32" s="540">
        <f>N32*'Perry Ellis 2026 Fase 2'!$O$19</f>
        <v>5.4574999999999996</v>
      </c>
      <c r="P32" s="540">
        <f>N32*1.15</f>
        <v>0.57499999999999996</v>
      </c>
      <c r="Q32" s="540"/>
      <c r="R32" s="540">
        <f>N32*$R$17</f>
        <v>0</v>
      </c>
      <c r="S32" s="540">
        <f>R32*0.15</f>
        <v>0</v>
      </c>
      <c r="T32" s="540">
        <f>(R32+S32)*54.88%</f>
        <v>0</v>
      </c>
      <c r="U32" s="541">
        <f>R32+S32+T32</f>
        <v>0</v>
      </c>
      <c r="V32" s="542">
        <v>79</v>
      </c>
      <c r="W32" s="540">
        <f>+V32/1.16</f>
        <v>68.103448275862078</v>
      </c>
      <c r="X32" s="543">
        <f>+W32*0.6</f>
        <v>40.862068965517246</v>
      </c>
      <c r="Y32" s="544">
        <f>U32/X32</f>
        <v>0</v>
      </c>
      <c r="Z32" s="546">
        <f>1-U32/X32</f>
        <v>1</v>
      </c>
      <c r="AA32" s="546">
        <f>1-(X32/(V32/1.16))</f>
        <v>0.4</v>
      </c>
      <c r="AB32" s="536" t="s">
        <v>528</v>
      </c>
      <c r="AC32" s="536" t="s">
        <v>67</v>
      </c>
      <c r="AD32" s="536">
        <v>6</v>
      </c>
      <c r="AE32" s="536">
        <v>48</v>
      </c>
      <c r="AF32" s="536"/>
      <c r="AG32" s="388">
        <v>46335</v>
      </c>
      <c r="AH32" s="524"/>
      <c r="AI32" s="547">
        <v>59</v>
      </c>
      <c r="AJ32" s="540">
        <f>AI32/1.16</f>
        <v>50.862068965517246</v>
      </c>
      <c r="AK32" s="351">
        <f>U32/AJ32</f>
        <v>0</v>
      </c>
      <c r="AL32" s="351">
        <f>1-(U32/AJ32)</f>
        <v>1</v>
      </c>
      <c r="AM32" s="345">
        <f>1-(AJ32/(AI32/1.16))</f>
        <v>0</v>
      </c>
      <c r="BB32" s="350">
        <v>1</v>
      </c>
      <c r="BC32" s="350">
        <v>1</v>
      </c>
      <c r="BD32" s="350"/>
      <c r="BE32" s="350">
        <v>1</v>
      </c>
      <c r="BF32" s="350">
        <v>1</v>
      </c>
      <c r="BG32" s="350"/>
      <c r="BH32" s="350"/>
      <c r="BI32" s="350"/>
      <c r="BJ32" s="350"/>
      <c r="BK32" s="350">
        <v>9</v>
      </c>
      <c r="BL32" s="350">
        <f>SUM(BB32:BJ32)</f>
        <v>4</v>
      </c>
      <c r="BM32" s="548">
        <f>+BL32/BK32</f>
        <v>0.44444444444444442</v>
      </c>
      <c r="BN32" s="389"/>
      <c r="BO32" s="389"/>
      <c r="BP32" s="389"/>
      <c r="BQ32" s="389"/>
      <c r="BR32" s="549">
        <f>+AF32</f>
        <v>0</v>
      </c>
      <c r="BS32" s="388">
        <f>+AG32</f>
        <v>46335</v>
      </c>
      <c r="BT32" s="536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17.25">
      <c r="A33" s="536">
        <v>18</v>
      </c>
      <c r="B33" s="536">
        <v>2</v>
      </c>
      <c r="C33" s="537">
        <v>46241</v>
      </c>
      <c r="D33" s="536" t="s">
        <v>277</v>
      </c>
      <c r="E33" s="538" t="s">
        <v>540</v>
      </c>
      <c r="F33" s="350">
        <v>7506110696551</v>
      </c>
      <c r="G33" s="536" t="s">
        <v>1221</v>
      </c>
      <c r="H33" s="536" t="s">
        <v>1222</v>
      </c>
      <c r="I33" s="539"/>
      <c r="J33" s="536" t="s">
        <v>1223</v>
      </c>
      <c r="K33" s="536" t="s">
        <v>1169</v>
      </c>
      <c r="L33" s="536" t="s">
        <v>281</v>
      </c>
      <c r="M33" s="536">
        <v>1</v>
      </c>
      <c r="N33" s="540">
        <v>3.3</v>
      </c>
      <c r="O33" s="540">
        <f>N33*'Perry Ellis 2026 Fase 2'!$O$19</f>
        <v>36.019499999999994</v>
      </c>
      <c r="P33" s="540">
        <f>N33*1.2</f>
        <v>3.9599999999999995</v>
      </c>
      <c r="Q33" s="540"/>
      <c r="R33" s="540">
        <f>N33*$R$17</f>
        <v>0</v>
      </c>
      <c r="S33" s="540">
        <f>R33*0.15</f>
        <v>0</v>
      </c>
      <c r="T33" s="540">
        <f>(R33+S33)*28.56%</f>
        <v>0</v>
      </c>
      <c r="U33" s="541">
        <f>R33+S33+T33</f>
        <v>0</v>
      </c>
      <c r="V33" s="542">
        <v>499</v>
      </c>
      <c r="W33" s="540">
        <f>+V33/1.16</f>
        <v>430.17241379310349</v>
      </c>
      <c r="X33" s="543">
        <f>+W33*0.6</f>
        <v>258.10344827586209</v>
      </c>
      <c r="Y33" s="351">
        <f>U33/X33</f>
        <v>0</v>
      </c>
      <c r="Z33" s="546">
        <f>1-U33/X33</f>
        <v>1</v>
      </c>
      <c r="AA33" s="550">
        <f>1-(X33/(V33/1.16))</f>
        <v>0.4</v>
      </c>
      <c r="AB33" s="536" t="s">
        <v>528</v>
      </c>
      <c r="AC33" s="536" t="s">
        <v>67</v>
      </c>
      <c r="AD33" s="536">
        <v>6</v>
      </c>
      <c r="AE33" s="536">
        <v>144</v>
      </c>
      <c r="AF33" s="536"/>
      <c r="AG33" s="536"/>
      <c r="AH33" s="524"/>
      <c r="AI33" s="550"/>
      <c r="AJ33" s="540">
        <f>AI33/1.16</f>
        <v>0</v>
      </c>
      <c r="AK33" s="351" t="e">
        <f>U33/AJ33</f>
        <v>#DIV/0!</v>
      </c>
      <c r="AL33" s="351" t="e">
        <f>1-(U33/AJ33)</f>
        <v>#DIV/0!</v>
      </c>
      <c r="AM33" s="345" t="e">
        <f>1-(AJ33/(AI33/1.16))</f>
        <v>#DIV/0!</v>
      </c>
      <c r="BB33" s="350">
        <v>1</v>
      </c>
      <c r="BC33" s="350">
        <v>1</v>
      </c>
      <c r="BD33" s="350"/>
      <c r="BE33" s="350">
        <v>1</v>
      </c>
      <c r="BF33" s="350">
        <v>1</v>
      </c>
      <c r="BG33" s="350"/>
      <c r="BH33" s="350"/>
      <c r="BI33" s="350"/>
      <c r="BJ33" s="350"/>
      <c r="BK33" s="350">
        <v>9</v>
      </c>
      <c r="BL33" s="350">
        <f>SUM(BB33:BJ33)</f>
        <v>4</v>
      </c>
      <c r="BM33" s="548">
        <f>+BL33/BK33</f>
        <v>0.44444444444444442</v>
      </c>
      <c r="BN33" s="389"/>
      <c r="BO33" s="389"/>
      <c r="BP33" s="389"/>
      <c r="BQ33" s="389"/>
      <c r="BR33" s="549">
        <f>+AF33</f>
        <v>0</v>
      </c>
      <c r="BS33" s="388">
        <f>+AG33</f>
        <v>0</v>
      </c>
      <c r="BT33" s="536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7.25">
      <c r="A34" s="536">
        <v>19</v>
      </c>
      <c r="B34" s="536">
        <v>2</v>
      </c>
      <c r="C34" s="537">
        <v>46241</v>
      </c>
      <c r="D34" s="536" t="s">
        <v>277</v>
      </c>
      <c r="E34" s="538" t="s">
        <v>540</v>
      </c>
      <c r="F34" s="350">
        <v>7506110696568</v>
      </c>
      <c r="G34" s="536" t="s">
        <v>1224</v>
      </c>
      <c r="H34" s="536" t="s">
        <v>1225</v>
      </c>
      <c r="I34" s="539"/>
      <c r="J34" s="536" t="s">
        <v>1226</v>
      </c>
      <c r="K34" s="536" t="s">
        <v>1169</v>
      </c>
      <c r="L34" s="536" t="s">
        <v>281</v>
      </c>
      <c r="M34" s="536">
        <v>1</v>
      </c>
      <c r="N34" s="540">
        <v>1.05</v>
      </c>
      <c r="O34" s="540">
        <f>N34*'Perry Ellis 2026 Fase 2'!$O$19</f>
        <v>11.460749999999999</v>
      </c>
      <c r="P34" s="540">
        <f>N34*1.2</f>
        <v>1.26</v>
      </c>
      <c r="Q34" s="540"/>
      <c r="R34" s="540">
        <f>N34*$R$17</f>
        <v>0</v>
      </c>
      <c r="S34" s="540">
        <f>R34*0.15</f>
        <v>0</v>
      </c>
      <c r="T34" s="540">
        <f>(R34+S34)*19.95%</f>
        <v>0</v>
      </c>
      <c r="U34" s="541">
        <f>R34+S34+T34</f>
        <v>0</v>
      </c>
      <c r="V34" s="542">
        <v>199</v>
      </c>
      <c r="W34" s="540">
        <f>+V34/1.16</f>
        <v>171.55172413793105</v>
      </c>
      <c r="X34" s="543">
        <f>+W34*0.6</f>
        <v>102.93103448275862</v>
      </c>
      <c r="Y34" s="351">
        <f>U34/X34</f>
        <v>0</v>
      </c>
      <c r="Z34" s="546">
        <f>1-U34/X34</f>
        <v>1</v>
      </c>
      <c r="AA34" s="550">
        <f>1-(X34/(V34/1.16))</f>
        <v>0.4</v>
      </c>
      <c r="AB34" s="536" t="s">
        <v>528</v>
      </c>
      <c r="AC34" s="536" t="s">
        <v>67</v>
      </c>
      <c r="AD34" s="536">
        <v>6</v>
      </c>
      <c r="AE34" s="536">
        <v>144</v>
      </c>
      <c r="AF34" s="536"/>
      <c r="AG34" s="536"/>
      <c r="AH34" s="524"/>
      <c r="AI34" s="550"/>
      <c r="AJ34" s="540">
        <f>AI34/1.16</f>
        <v>0</v>
      </c>
      <c r="AK34" s="351" t="e">
        <f>U34/AJ34</f>
        <v>#DIV/0!</v>
      </c>
      <c r="AL34" s="351" t="e">
        <f>1-(U34/AJ34)</f>
        <v>#DIV/0!</v>
      </c>
      <c r="AM34" s="345" t="e">
        <f>1-(AJ34/(AI34/1.16))</f>
        <v>#DIV/0!</v>
      </c>
      <c r="BB34" s="350">
        <v>1</v>
      </c>
      <c r="BC34" s="350">
        <v>1</v>
      </c>
      <c r="BD34" s="350"/>
      <c r="BE34" s="350">
        <v>1</v>
      </c>
      <c r="BF34" s="350">
        <v>1</v>
      </c>
      <c r="BG34" s="350"/>
      <c r="BH34" s="350"/>
      <c r="BI34" s="350"/>
      <c r="BJ34" s="350"/>
      <c r="BK34" s="350">
        <v>9</v>
      </c>
      <c r="BL34" s="350">
        <f>SUM(BB34:BJ34)</f>
        <v>4</v>
      </c>
      <c r="BM34" s="548">
        <f>+BL34/BK34</f>
        <v>0.44444444444444442</v>
      </c>
      <c r="BN34" s="389"/>
      <c r="BO34" s="389"/>
      <c r="BP34" s="389"/>
      <c r="BQ34" s="389"/>
      <c r="BR34" s="549">
        <f>+AF34</f>
        <v>0</v>
      </c>
      <c r="BS34" s="388">
        <f>+AG34</f>
        <v>0</v>
      </c>
      <c r="BT34" s="536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7.25">
      <c r="A35" s="536">
        <v>20</v>
      </c>
      <c r="B35" s="536">
        <v>2</v>
      </c>
      <c r="C35" s="537">
        <v>46241</v>
      </c>
      <c r="D35" s="536" t="s">
        <v>277</v>
      </c>
      <c r="E35" s="538" t="s">
        <v>1227</v>
      </c>
      <c r="F35" s="350">
        <v>7506110696575</v>
      </c>
      <c r="G35" s="536" t="s">
        <v>1228</v>
      </c>
      <c r="H35" s="536" t="s">
        <v>1229</v>
      </c>
      <c r="I35" s="539" t="s">
        <v>60</v>
      </c>
      <c r="J35" s="536" t="s">
        <v>1220</v>
      </c>
      <c r="K35" s="536" t="s">
        <v>1169</v>
      </c>
      <c r="L35" s="536" t="s">
        <v>281</v>
      </c>
      <c r="M35" s="536">
        <v>1</v>
      </c>
      <c r="N35" s="540">
        <v>0.17</v>
      </c>
      <c r="O35" s="540">
        <f>N35*'Perry Ellis 2026 Fase 2'!$O$19</f>
        <v>1.85555</v>
      </c>
      <c r="P35" s="540" t="e">
        <f>#REF!</f>
        <v>#REF!</v>
      </c>
      <c r="Q35" s="540"/>
      <c r="R35" s="540">
        <f>N35*$R$17</f>
        <v>0</v>
      </c>
      <c r="S35" s="540">
        <f>R35*0.15</f>
        <v>0</v>
      </c>
      <c r="T35" s="540">
        <f>(R35+S35)*46.2%</f>
        <v>0</v>
      </c>
      <c r="U35" s="541">
        <f>R35+S35+T35</f>
        <v>0</v>
      </c>
      <c r="V35" s="542">
        <v>39</v>
      </c>
      <c r="W35" s="540">
        <f>+V35/1.16</f>
        <v>33.620689655172413</v>
      </c>
      <c r="X35" s="543">
        <f>+W35*0.6</f>
        <v>20.172413793103448</v>
      </c>
      <c r="Y35" s="544">
        <f>U35/X35</f>
        <v>0</v>
      </c>
      <c r="Z35" s="546">
        <f>1-U35/X35</f>
        <v>1</v>
      </c>
      <c r="AA35" s="546">
        <f>1-(X35/(V35/1.16))</f>
        <v>0.4</v>
      </c>
      <c r="AB35" s="536" t="s">
        <v>607</v>
      </c>
      <c r="AC35" s="536" t="s">
        <v>67</v>
      </c>
      <c r="AD35" s="536"/>
      <c r="AE35" s="536"/>
      <c r="AF35" s="536"/>
      <c r="AG35" s="536"/>
      <c r="AH35" s="524"/>
      <c r="AI35" s="547">
        <v>59</v>
      </c>
      <c r="AJ35" s="540">
        <f>AI35/1.16</f>
        <v>50.862068965517246</v>
      </c>
      <c r="AK35" s="351">
        <f>U35/AJ35</f>
        <v>0</v>
      </c>
      <c r="AL35" s="351">
        <f>1-(U35/AJ35)</f>
        <v>1</v>
      </c>
      <c r="AM35" s="345">
        <f>1-(AJ35/(AI35/1.16))</f>
        <v>0</v>
      </c>
      <c r="BB35" s="350">
        <v>1</v>
      </c>
      <c r="BC35" s="350">
        <v>1</v>
      </c>
      <c r="BD35" s="350"/>
      <c r="BE35" s="350">
        <v>1</v>
      </c>
      <c r="BF35" s="350">
        <v>1</v>
      </c>
      <c r="BG35" s="350"/>
      <c r="BH35" s="350"/>
      <c r="BI35" s="350"/>
      <c r="BJ35" s="350"/>
      <c r="BK35" s="350">
        <v>9</v>
      </c>
      <c r="BL35" s="350">
        <f>SUM(BB35:BJ35)</f>
        <v>4</v>
      </c>
      <c r="BM35" s="548">
        <f>+BL35/BK35</f>
        <v>0.44444444444444442</v>
      </c>
      <c r="BN35" s="389"/>
      <c r="BO35" s="389"/>
      <c r="BP35" s="389"/>
      <c r="BQ35" s="389"/>
      <c r="BR35" s="549">
        <f>+AF35</f>
        <v>0</v>
      </c>
      <c r="BS35" s="388">
        <f>+AG35</f>
        <v>0</v>
      </c>
      <c r="BT35" s="536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17.25">
      <c r="A36" s="536">
        <v>21</v>
      </c>
      <c r="B36" s="536"/>
      <c r="C36" s="537">
        <v>46241</v>
      </c>
      <c r="D36" s="536" t="s">
        <v>277</v>
      </c>
      <c r="E36" s="538" t="s">
        <v>1227</v>
      </c>
      <c r="F36" s="350" t="s">
        <v>176</v>
      </c>
      <c r="G36" s="536" t="s">
        <v>1230</v>
      </c>
      <c r="H36" s="536" t="s">
        <v>1231</v>
      </c>
      <c r="I36" s="539"/>
      <c r="J36" s="536" t="s">
        <v>1232</v>
      </c>
      <c r="K36" s="536" t="s">
        <v>1169</v>
      </c>
      <c r="L36" s="536" t="s">
        <v>281</v>
      </c>
      <c r="M36" s="536">
        <v>1</v>
      </c>
      <c r="N36" s="540"/>
      <c r="O36" s="540"/>
      <c r="P36" s="540"/>
      <c r="Q36" s="540"/>
      <c r="R36" s="540"/>
      <c r="S36" s="540">
        <f>R36*0.15</f>
        <v>0</v>
      </c>
      <c r="T36" s="540"/>
      <c r="U36" s="541"/>
      <c r="V36" s="542"/>
      <c r="W36" s="540"/>
      <c r="X36" s="543"/>
      <c r="Y36" s="544"/>
      <c r="Z36" s="546"/>
      <c r="AA36" s="546"/>
      <c r="AB36" s="536" t="s">
        <v>607</v>
      </c>
      <c r="AC36" s="536" t="s">
        <v>67</v>
      </c>
      <c r="AD36" s="536"/>
      <c r="AE36" s="536"/>
      <c r="AF36" s="536"/>
      <c r="AG36" s="536"/>
      <c r="AH36" s="524"/>
      <c r="AI36" s="547"/>
      <c r="AJ36" s="540">
        <f>AI36/1.16</f>
        <v>0</v>
      </c>
      <c r="AK36" s="351" t="e">
        <f>U36/AJ36</f>
        <v>#DIV/0!</v>
      </c>
      <c r="AL36" s="351" t="e">
        <f>1-(U36/AJ36)</f>
        <v>#DIV/0!</v>
      </c>
      <c r="AM36" s="345" t="e">
        <f>1-(AJ36/(AI36/1.16))</f>
        <v>#DIV/0!</v>
      </c>
      <c r="BB36" s="350">
        <v>1</v>
      </c>
      <c r="BC36" s="350">
        <v>1</v>
      </c>
      <c r="BD36" s="350"/>
      <c r="BE36" s="350">
        <v>1</v>
      </c>
      <c r="BF36" s="350">
        <v>1</v>
      </c>
      <c r="BG36" s="350"/>
      <c r="BH36" s="350"/>
      <c r="BI36" s="350"/>
      <c r="BJ36" s="350"/>
      <c r="BK36" s="350">
        <v>9</v>
      </c>
      <c r="BL36" s="350">
        <f>SUM(BB36:BJ36)</f>
        <v>4</v>
      </c>
      <c r="BM36" s="548">
        <f>+BL36/BK36</f>
        <v>0.44444444444444442</v>
      </c>
      <c r="BN36" s="389"/>
      <c r="BO36" s="389"/>
      <c r="BP36" s="389"/>
      <c r="BQ36" s="389"/>
      <c r="BR36" s="549">
        <f>+AF36</f>
        <v>0</v>
      </c>
      <c r="BS36" s="388">
        <f>+AG36</f>
        <v>0</v>
      </c>
      <c r="BT36" s="536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17.25">
      <c r="A37" s="536">
        <v>22</v>
      </c>
      <c r="B37" s="536"/>
      <c r="C37" s="537">
        <v>46241</v>
      </c>
      <c r="D37" s="536" t="s">
        <v>277</v>
      </c>
      <c r="E37" s="538" t="s">
        <v>1227</v>
      </c>
      <c r="F37" s="350" t="s">
        <v>176</v>
      </c>
      <c r="G37" s="536" t="s">
        <v>1233</v>
      </c>
      <c r="H37" s="536" t="s">
        <v>1234</v>
      </c>
      <c r="I37" s="539"/>
      <c r="J37" s="536" t="s">
        <v>1217</v>
      </c>
      <c r="K37" s="536" t="s">
        <v>1169</v>
      </c>
      <c r="L37" s="536" t="s">
        <v>281</v>
      </c>
      <c r="M37" s="536">
        <v>1</v>
      </c>
      <c r="N37" s="540"/>
      <c r="O37" s="540"/>
      <c r="P37" s="540"/>
      <c r="Q37" s="540"/>
      <c r="R37" s="540"/>
      <c r="S37" s="540"/>
      <c r="T37" s="540"/>
      <c r="U37" s="541"/>
      <c r="V37" s="542"/>
      <c r="W37" s="540"/>
      <c r="X37" s="543"/>
      <c r="Y37" s="544"/>
      <c r="Z37" s="546"/>
      <c r="AA37" s="546"/>
      <c r="AB37" s="536" t="s">
        <v>607</v>
      </c>
      <c r="AC37" s="536" t="s">
        <v>67</v>
      </c>
      <c r="AD37" s="536"/>
      <c r="AE37" s="536"/>
      <c r="AF37" s="536"/>
      <c r="AG37" s="536"/>
      <c r="AH37" s="524"/>
      <c r="AI37" s="547"/>
      <c r="AJ37" s="540">
        <f>AI37/1.16</f>
        <v>0</v>
      </c>
      <c r="AK37" s="351" t="e">
        <f>U37/AJ37</f>
        <v>#DIV/0!</v>
      </c>
      <c r="AL37" s="351" t="e">
        <f>1-(U37/AJ37)</f>
        <v>#DIV/0!</v>
      </c>
      <c r="AM37" s="345" t="e">
        <f>1-(AJ37/(AI37/1.16))</f>
        <v>#DIV/0!</v>
      </c>
      <c r="BB37" s="350">
        <v>1</v>
      </c>
      <c r="BC37" s="350">
        <v>1</v>
      </c>
      <c r="BD37" s="350"/>
      <c r="BE37" s="350">
        <v>1</v>
      </c>
      <c r="BF37" s="350">
        <v>1</v>
      </c>
      <c r="BG37" s="350"/>
      <c r="BH37" s="350"/>
      <c r="BI37" s="350"/>
      <c r="BJ37" s="350"/>
      <c r="BK37" s="350">
        <v>9</v>
      </c>
      <c r="BL37" s="350">
        <f>SUM(BB37:BJ37)</f>
        <v>4</v>
      </c>
      <c r="BM37" s="548">
        <f>+BL37/BK37</f>
        <v>0.44444444444444442</v>
      </c>
      <c r="BN37" s="389"/>
      <c r="BO37" s="389"/>
      <c r="BP37" s="389"/>
      <c r="BQ37" s="389"/>
      <c r="BR37" s="549">
        <f>+AF37</f>
        <v>0</v>
      </c>
      <c r="BS37" s="388">
        <f>+AG37</f>
        <v>0</v>
      </c>
      <c r="BT37" s="536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36">
      <c r="A38" s="536">
        <v>23</v>
      </c>
      <c r="B38" s="536">
        <v>1</v>
      </c>
      <c r="C38" s="537">
        <v>46241</v>
      </c>
      <c r="D38" s="536" t="s">
        <v>277</v>
      </c>
      <c r="E38" s="538" t="s">
        <v>1235</v>
      </c>
      <c r="F38" s="350">
        <v>7506110696629</v>
      </c>
      <c r="G38" s="536" t="s">
        <v>1236</v>
      </c>
      <c r="H38" s="536" t="s">
        <v>1237</v>
      </c>
      <c r="I38" s="551" t="s">
        <v>1238</v>
      </c>
      <c r="J38" s="536" t="s">
        <v>964</v>
      </c>
      <c r="K38" s="536" t="s">
        <v>1169</v>
      </c>
      <c r="L38" s="536" t="s">
        <v>281</v>
      </c>
      <c r="M38" s="536">
        <v>1</v>
      </c>
      <c r="N38" s="540">
        <v>0.25</v>
      </c>
      <c r="O38" s="540">
        <f>N38*'Perry Ellis 2026 Fase 2'!$O$19</f>
        <v>2.7287499999999998</v>
      </c>
      <c r="P38" s="540">
        <f>N38*1.1</f>
        <v>0.27500000000000002</v>
      </c>
      <c r="Q38" s="540"/>
      <c r="R38" s="540">
        <f>N38*$R$17</f>
        <v>0</v>
      </c>
      <c r="S38" s="540">
        <f>R38*0.25</f>
        <v>0</v>
      </c>
      <c r="T38" s="540">
        <f>(R38+S38)*8.82%</f>
        <v>0</v>
      </c>
      <c r="U38" s="541">
        <f>R38+S38+T38</f>
        <v>0</v>
      </c>
      <c r="V38" s="542">
        <v>59</v>
      </c>
      <c r="W38" s="540">
        <f>+V38/1.16</f>
        <v>50.862068965517246</v>
      </c>
      <c r="X38" s="543">
        <f>+W38*0.6</f>
        <v>30.517241379310345</v>
      </c>
      <c r="Y38" s="544">
        <f>U38/X38</f>
        <v>0</v>
      </c>
      <c r="Z38" s="545">
        <f>1-U38/X38</f>
        <v>1</v>
      </c>
      <c r="AA38" s="546">
        <f>1-(X38/(V38/1.16))</f>
        <v>0.4</v>
      </c>
      <c r="AB38" s="536" t="s">
        <v>847</v>
      </c>
      <c r="AC38" s="536" t="s">
        <v>67</v>
      </c>
      <c r="AD38" s="536">
        <v>6</v>
      </c>
      <c r="AE38" s="536">
        <v>144</v>
      </c>
      <c r="AF38" s="536" t="s">
        <v>1204</v>
      </c>
      <c r="AG38" s="388">
        <v>46335</v>
      </c>
      <c r="AH38" s="524"/>
      <c r="AI38" s="552">
        <v>39</v>
      </c>
      <c r="AJ38" s="540">
        <f>AI38/1.16</f>
        <v>33.620689655172413</v>
      </c>
      <c r="AK38" s="351">
        <f>U38/AJ38</f>
        <v>0</v>
      </c>
      <c r="AL38" s="351">
        <f>1-(U38/AJ38)</f>
        <v>1</v>
      </c>
      <c r="AM38" s="345">
        <f>1-(AJ38/(AI38/1.16))</f>
        <v>0</v>
      </c>
      <c r="BB38" s="350">
        <v>1</v>
      </c>
      <c r="BC38" s="350">
        <v>1</v>
      </c>
      <c r="BD38" s="350"/>
      <c r="BE38" s="350">
        <v>1</v>
      </c>
      <c r="BF38" s="350">
        <v>1</v>
      </c>
      <c r="BG38" s="350"/>
      <c r="BH38" s="350"/>
      <c r="BI38" s="350"/>
      <c r="BJ38" s="350"/>
      <c r="BK38" s="350">
        <v>9</v>
      </c>
      <c r="BL38" s="350">
        <f>SUM(BB38:BJ38)</f>
        <v>4</v>
      </c>
      <c r="BM38" s="548">
        <f>+BL38/BK38</f>
        <v>0.44444444444444442</v>
      </c>
      <c r="BN38" s="389"/>
      <c r="BO38" s="389"/>
      <c r="BP38" s="389"/>
      <c r="BQ38" s="389"/>
      <c r="BR38" s="549" t="str">
        <f>+AF38</f>
        <v>En elaboración de archivos de impresión</v>
      </c>
      <c r="BS38" s="388">
        <f>+AG38</f>
        <v>46335</v>
      </c>
      <c r="BT38" s="536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36">
      <c r="A39" s="536">
        <v>24</v>
      </c>
      <c r="B39" s="536">
        <v>1</v>
      </c>
      <c r="C39" s="537">
        <v>46241</v>
      </c>
      <c r="D39" s="536" t="s">
        <v>277</v>
      </c>
      <c r="E39" s="538" t="s">
        <v>1235</v>
      </c>
      <c r="F39" s="350" t="s">
        <v>176</v>
      </c>
      <c r="G39" s="536" t="s">
        <v>1239</v>
      </c>
      <c r="H39" s="536" t="s">
        <v>1240</v>
      </c>
      <c r="I39" s="539"/>
      <c r="J39" s="536" t="s">
        <v>964</v>
      </c>
      <c r="K39" s="536" t="s">
        <v>1169</v>
      </c>
      <c r="L39" s="536" t="s">
        <v>281</v>
      </c>
      <c r="M39" s="536">
        <v>1</v>
      </c>
      <c r="N39" s="540">
        <v>0.25</v>
      </c>
      <c r="O39" s="540">
        <f>N39*'Perry Ellis 2026 Fase 2'!$O$19</f>
        <v>2.7287499999999998</v>
      </c>
      <c r="P39" s="540">
        <f>N39*1.1</f>
        <v>0.27500000000000002</v>
      </c>
      <c r="Q39" s="540"/>
      <c r="R39" s="540">
        <f>N39*$R$17</f>
        <v>0</v>
      </c>
      <c r="S39" s="540">
        <f>R39*0.25</f>
        <v>0</v>
      </c>
      <c r="T39" s="540">
        <f>(R39+S39)*8.82%</f>
        <v>0</v>
      </c>
      <c r="U39" s="541">
        <f>R39+S39+T39</f>
        <v>0</v>
      </c>
      <c r="V39" s="542">
        <v>59</v>
      </c>
      <c r="W39" s="540">
        <f>+V39/1.16</f>
        <v>50.862068965517246</v>
      </c>
      <c r="X39" s="543">
        <f>+W39*0.6</f>
        <v>30.517241379310345</v>
      </c>
      <c r="Y39" s="544">
        <f>U39/X39</f>
        <v>0</v>
      </c>
      <c r="Z39" s="546">
        <f>1-U39/X39</f>
        <v>1</v>
      </c>
      <c r="AA39" s="546">
        <f>1-(X39/(V39/1.16))</f>
        <v>0.4</v>
      </c>
      <c r="AB39" s="536" t="s">
        <v>847</v>
      </c>
      <c r="AC39" s="536" t="s">
        <v>67</v>
      </c>
      <c r="AD39" s="536">
        <v>6</v>
      </c>
      <c r="AE39" s="536">
        <v>144</v>
      </c>
      <c r="AF39" s="536" t="s">
        <v>1204</v>
      </c>
      <c r="AG39" s="388">
        <v>46335</v>
      </c>
      <c r="AH39" s="524"/>
      <c r="AI39" s="552">
        <v>39</v>
      </c>
      <c r="AJ39" s="540">
        <f>AI39/1.16</f>
        <v>33.620689655172413</v>
      </c>
      <c r="AK39" s="351">
        <f>U39/AJ39</f>
        <v>0</v>
      </c>
      <c r="AL39" s="351">
        <f>1-(U39/AJ39)</f>
        <v>1</v>
      </c>
      <c r="AM39" s="345">
        <f>1-(AJ39/(AI39/1.16))</f>
        <v>0</v>
      </c>
      <c r="BB39" s="350">
        <v>1</v>
      </c>
      <c r="BC39" s="350">
        <v>1</v>
      </c>
      <c r="BD39" s="350"/>
      <c r="BE39" s="350">
        <v>1</v>
      </c>
      <c r="BF39" s="350">
        <v>1</v>
      </c>
      <c r="BG39" s="350"/>
      <c r="BH39" s="350"/>
      <c r="BI39" s="350"/>
      <c r="BJ39" s="350"/>
      <c r="BK39" s="350">
        <v>9</v>
      </c>
      <c r="BL39" s="350">
        <f>SUM(BB39:BJ39)</f>
        <v>4</v>
      </c>
      <c r="BM39" s="548">
        <f>+BL39/BK39</f>
        <v>0.44444444444444442</v>
      </c>
      <c r="BN39" s="389"/>
      <c r="BO39" s="389"/>
      <c r="BP39" s="389"/>
      <c r="BQ39" s="389"/>
      <c r="BR39" s="549" t="str">
        <f>+AF39</f>
        <v>En elaboración de archivos de impresión</v>
      </c>
      <c r="BS39" s="388">
        <f>+AG39</f>
        <v>46335</v>
      </c>
      <c r="BT39" s="536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36">
      <c r="A40" s="536">
        <v>25</v>
      </c>
      <c r="B40" s="536">
        <v>1</v>
      </c>
      <c r="C40" s="537">
        <v>46241</v>
      </c>
      <c r="D40" s="536" t="s">
        <v>277</v>
      </c>
      <c r="E40" s="538" t="s">
        <v>1235</v>
      </c>
      <c r="F40" s="350" t="s">
        <v>176</v>
      </c>
      <c r="G40" s="536" t="s">
        <v>1241</v>
      </c>
      <c r="H40" s="536" t="s">
        <v>1242</v>
      </c>
      <c r="I40" s="539"/>
      <c r="J40" s="536" t="s">
        <v>964</v>
      </c>
      <c r="K40" s="536" t="s">
        <v>1169</v>
      </c>
      <c r="L40" s="536" t="s">
        <v>281</v>
      </c>
      <c r="M40" s="536">
        <v>1</v>
      </c>
      <c r="N40" s="540">
        <v>0.25</v>
      </c>
      <c r="O40" s="540">
        <f>N40*'Perry Ellis 2026 Fase 2'!$O$19</f>
        <v>2.7287499999999998</v>
      </c>
      <c r="P40" s="540">
        <f>N40*1.1</f>
        <v>0.27500000000000002</v>
      </c>
      <c r="Q40" s="540"/>
      <c r="R40" s="540">
        <f>N40*$R$17</f>
        <v>0</v>
      </c>
      <c r="S40" s="540">
        <f>R40*0.25</f>
        <v>0</v>
      </c>
      <c r="T40" s="540">
        <f>(R40+S40)*8.82%</f>
        <v>0</v>
      </c>
      <c r="U40" s="541">
        <f>R40+S40+T40</f>
        <v>0</v>
      </c>
      <c r="V40" s="542">
        <v>59</v>
      </c>
      <c r="W40" s="540">
        <f>+V40/1.16</f>
        <v>50.862068965517246</v>
      </c>
      <c r="X40" s="543">
        <f>+W40*0.6</f>
        <v>30.517241379310345</v>
      </c>
      <c r="Y40" s="544">
        <f>U40/X40</f>
        <v>0</v>
      </c>
      <c r="Z40" s="546">
        <f>1-U40/X40</f>
        <v>1</v>
      </c>
      <c r="AA40" s="546">
        <f>1-(X40/(V40/1.16))</f>
        <v>0.4</v>
      </c>
      <c r="AB40" s="536" t="s">
        <v>847</v>
      </c>
      <c r="AC40" s="536" t="s">
        <v>67</v>
      </c>
      <c r="AD40" s="536">
        <v>6</v>
      </c>
      <c r="AE40" s="536">
        <v>144</v>
      </c>
      <c r="AF40" s="536" t="s">
        <v>1204</v>
      </c>
      <c r="AG40" s="388">
        <v>46335</v>
      </c>
      <c r="AH40" s="524"/>
      <c r="AI40" s="552">
        <v>39</v>
      </c>
      <c r="AJ40" s="540">
        <f>AI40/1.16</f>
        <v>33.620689655172413</v>
      </c>
      <c r="AK40" s="351">
        <f>U40/AJ40</f>
        <v>0</v>
      </c>
      <c r="AL40" s="351">
        <f>1-(U40/AJ40)</f>
        <v>1</v>
      </c>
      <c r="AM40" s="345">
        <f>1-(AJ40/(AI40/1.16))</f>
        <v>0</v>
      </c>
      <c r="BB40" s="350">
        <v>1</v>
      </c>
      <c r="BC40" s="350">
        <v>1</v>
      </c>
      <c r="BD40" s="350"/>
      <c r="BE40" s="350">
        <v>1</v>
      </c>
      <c r="BF40" s="350">
        <v>1</v>
      </c>
      <c r="BG40" s="350"/>
      <c r="BH40" s="350"/>
      <c r="BI40" s="350"/>
      <c r="BJ40" s="350"/>
      <c r="BK40" s="350">
        <v>9</v>
      </c>
      <c r="BL40" s="350">
        <f>SUM(BB40:BJ40)</f>
        <v>4</v>
      </c>
      <c r="BM40" s="548">
        <f>+BL40/BK40</f>
        <v>0.44444444444444442</v>
      </c>
      <c r="BN40" s="389"/>
      <c r="BO40" s="389"/>
      <c r="BP40" s="389"/>
      <c r="BQ40" s="389"/>
      <c r="BR40" s="549" t="str">
        <f>+AF40</f>
        <v>En elaboración de archivos de impresión</v>
      </c>
      <c r="BS40" s="388">
        <f>+AG40</f>
        <v>46335</v>
      </c>
      <c r="BT40" s="536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36">
      <c r="A41" s="536">
        <v>26</v>
      </c>
      <c r="B41" s="536">
        <v>1</v>
      </c>
      <c r="C41" s="537">
        <v>46241</v>
      </c>
      <c r="D41" s="536" t="s">
        <v>277</v>
      </c>
      <c r="E41" s="538" t="s">
        <v>1235</v>
      </c>
      <c r="F41" s="350" t="s">
        <v>176</v>
      </c>
      <c r="G41" s="536" t="s">
        <v>1243</v>
      </c>
      <c r="H41" s="536" t="s">
        <v>1244</v>
      </c>
      <c r="I41" s="551"/>
      <c r="J41" s="536" t="s">
        <v>964</v>
      </c>
      <c r="K41" s="536" t="s">
        <v>1169</v>
      </c>
      <c r="L41" s="536" t="s">
        <v>281</v>
      </c>
      <c r="M41" s="536">
        <v>1</v>
      </c>
      <c r="N41" s="540">
        <v>0.25</v>
      </c>
      <c r="O41" s="540">
        <f>N41*'Perry Ellis 2026 Fase 2'!$O$19</f>
        <v>2.7287499999999998</v>
      </c>
      <c r="P41" s="540">
        <f>N41*1.1</f>
        <v>0.27500000000000002</v>
      </c>
      <c r="Q41" s="540"/>
      <c r="R41" s="540">
        <f>N41*$R$17</f>
        <v>0</v>
      </c>
      <c r="S41" s="540">
        <f>R41*0.25</f>
        <v>0</v>
      </c>
      <c r="T41" s="540">
        <f>(R41+S41)*8.82%</f>
        <v>0</v>
      </c>
      <c r="U41" s="541">
        <f>R41+S41+T41</f>
        <v>0</v>
      </c>
      <c r="V41" s="542">
        <v>59</v>
      </c>
      <c r="W41" s="540">
        <f>+V41/1.16</f>
        <v>50.862068965517246</v>
      </c>
      <c r="X41" s="543">
        <f>+W41*0.6</f>
        <v>30.517241379310345</v>
      </c>
      <c r="Y41" s="544">
        <f>U41/X41</f>
        <v>0</v>
      </c>
      <c r="Z41" s="546">
        <f>1-U41/X41</f>
        <v>1</v>
      </c>
      <c r="AA41" s="546">
        <f>1-(X41/(V41/1.16))</f>
        <v>0.4</v>
      </c>
      <c r="AB41" s="536" t="s">
        <v>847</v>
      </c>
      <c r="AC41" s="536" t="s">
        <v>67</v>
      </c>
      <c r="AD41" s="536">
        <v>6</v>
      </c>
      <c r="AE41" s="536">
        <v>144</v>
      </c>
      <c r="AF41" s="536" t="s">
        <v>1204</v>
      </c>
      <c r="AG41" s="388">
        <v>46335</v>
      </c>
      <c r="AH41" s="524"/>
      <c r="AI41" s="552">
        <v>39</v>
      </c>
      <c r="AJ41" s="540">
        <f>AI41/1.16</f>
        <v>33.620689655172413</v>
      </c>
      <c r="AK41" s="351">
        <f>U41/AJ41</f>
        <v>0</v>
      </c>
      <c r="AL41" s="351">
        <f>1-(U41/AJ41)</f>
        <v>1</v>
      </c>
      <c r="AM41" s="345">
        <f>1-(AJ41/(AI41/1.16))</f>
        <v>0</v>
      </c>
      <c r="BB41" s="350">
        <v>1</v>
      </c>
      <c r="BC41" s="350">
        <v>1</v>
      </c>
      <c r="BD41" s="350"/>
      <c r="BE41" s="350">
        <v>1</v>
      </c>
      <c r="BF41" s="350">
        <v>1</v>
      </c>
      <c r="BG41" s="350"/>
      <c r="BH41" s="350"/>
      <c r="BI41" s="350"/>
      <c r="BJ41" s="350"/>
      <c r="BK41" s="350">
        <v>9</v>
      </c>
      <c r="BL41" s="350">
        <f>SUM(BB41:BJ41)</f>
        <v>4</v>
      </c>
      <c r="BM41" s="548">
        <f>+BL41/BK41</f>
        <v>0.44444444444444442</v>
      </c>
      <c r="BN41" s="389"/>
      <c r="BO41" s="389"/>
      <c r="BP41" s="389"/>
      <c r="BQ41" s="389"/>
      <c r="BR41" s="549" t="str">
        <f>+AF41</f>
        <v>En elaboración de archivos de impresión</v>
      </c>
      <c r="BS41" s="388">
        <f>+AG41</f>
        <v>46335</v>
      </c>
      <c r="BT41" s="536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6">
      <c r="A42" s="536">
        <v>27</v>
      </c>
      <c r="B42" s="536">
        <v>1</v>
      </c>
      <c r="C42" s="537">
        <v>46241</v>
      </c>
      <c r="D42" s="536" t="s">
        <v>277</v>
      </c>
      <c r="E42" s="538" t="s">
        <v>1235</v>
      </c>
      <c r="F42" s="350" t="s">
        <v>176</v>
      </c>
      <c r="G42" s="536" t="s">
        <v>1245</v>
      </c>
      <c r="H42" s="536" t="s">
        <v>1246</v>
      </c>
      <c r="I42" s="539"/>
      <c r="J42" s="536" t="s">
        <v>964</v>
      </c>
      <c r="K42" s="536" t="s">
        <v>1169</v>
      </c>
      <c r="L42" s="536" t="s">
        <v>281</v>
      </c>
      <c r="M42" s="536">
        <v>1</v>
      </c>
      <c r="N42" s="540">
        <v>0.25</v>
      </c>
      <c r="O42" s="540">
        <f>N42*'Perry Ellis 2026 Fase 2'!$O$19</f>
        <v>2.7287499999999998</v>
      </c>
      <c r="P42" s="540">
        <f>N42*1.1</f>
        <v>0.27500000000000002</v>
      </c>
      <c r="Q42" s="540"/>
      <c r="R42" s="540">
        <f>N42*$R$17</f>
        <v>0</v>
      </c>
      <c r="S42" s="540">
        <f>R42*0.25</f>
        <v>0</v>
      </c>
      <c r="T42" s="540">
        <f>(R42+S42)*8.82%</f>
        <v>0</v>
      </c>
      <c r="U42" s="541">
        <f>R42+S42+T42</f>
        <v>0</v>
      </c>
      <c r="V42" s="542">
        <v>59</v>
      </c>
      <c r="W42" s="540">
        <f>+V42/1.16</f>
        <v>50.862068965517246</v>
      </c>
      <c r="X42" s="543">
        <f>+W42*0.6</f>
        <v>30.517241379310345</v>
      </c>
      <c r="Y42" s="544">
        <f>U42/X42</f>
        <v>0</v>
      </c>
      <c r="Z42" s="546">
        <f>1-U42/X42</f>
        <v>1</v>
      </c>
      <c r="AA42" s="546">
        <f>1-(X42/(V42/1.16))</f>
        <v>0.4</v>
      </c>
      <c r="AB42" s="536" t="s">
        <v>847</v>
      </c>
      <c r="AC42" s="536" t="s">
        <v>67</v>
      </c>
      <c r="AD42" s="536">
        <v>6</v>
      </c>
      <c r="AE42" s="536">
        <v>144</v>
      </c>
      <c r="AF42" s="536" t="s">
        <v>1204</v>
      </c>
      <c r="AG42" s="388">
        <v>46335</v>
      </c>
      <c r="AH42" s="524"/>
      <c r="AI42" s="552">
        <v>40</v>
      </c>
      <c r="AJ42" s="540">
        <f>AI42/1.16</f>
        <v>34.482758620689658</v>
      </c>
      <c r="AK42" s="351">
        <f>U42/AJ42</f>
        <v>0</v>
      </c>
      <c r="AL42" s="351">
        <f>1-(U42/AJ42)</f>
        <v>1</v>
      </c>
      <c r="AM42" s="345">
        <f>1-(AJ42/(AI42/1.16))</f>
        <v>0</v>
      </c>
      <c r="BB42" s="350">
        <v>1</v>
      </c>
      <c r="BC42" s="350">
        <v>1</v>
      </c>
      <c r="BD42" s="350"/>
      <c r="BE42" s="350">
        <v>1</v>
      </c>
      <c r="BF42" s="350">
        <v>1</v>
      </c>
      <c r="BG42" s="350"/>
      <c r="BH42" s="350"/>
      <c r="BI42" s="350"/>
      <c r="BJ42" s="350"/>
      <c r="BK42" s="350">
        <v>9</v>
      </c>
      <c r="BL42" s="350">
        <f>SUM(BB42:BJ42)</f>
        <v>4</v>
      </c>
      <c r="BM42" s="548">
        <f>+BL42/BK42</f>
        <v>0.44444444444444442</v>
      </c>
      <c r="BN42" s="389"/>
      <c r="BO42" s="389"/>
      <c r="BP42" s="389"/>
      <c r="BQ42" s="389"/>
      <c r="BR42" s="549" t="str">
        <f>+AF42</f>
        <v>En elaboración de archivos de impresión</v>
      </c>
      <c r="BS42" s="388">
        <f>+AG42</f>
        <v>46335</v>
      </c>
      <c r="BT42" s="536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17.25">
      <c r="A43" s="536">
        <v>32</v>
      </c>
      <c r="B43" s="536">
        <v>2</v>
      </c>
      <c r="C43" s="537">
        <v>46241</v>
      </c>
      <c r="D43" s="536" t="s">
        <v>277</v>
      </c>
      <c r="E43" s="538" t="s">
        <v>1247</v>
      </c>
      <c r="F43" s="350" t="s">
        <v>176</v>
      </c>
      <c r="G43" s="536" t="s">
        <v>1248</v>
      </c>
      <c r="H43" s="536" t="s">
        <v>1249</v>
      </c>
      <c r="I43" s="551"/>
      <c r="J43" s="536" t="s">
        <v>1192</v>
      </c>
      <c r="K43" s="536" t="s">
        <v>1169</v>
      </c>
      <c r="L43" s="536" t="s">
        <v>281</v>
      </c>
      <c r="M43" s="536">
        <v>2</v>
      </c>
      <c r="N43" s="540">
        <v>0.76</v>
      </c>
      <c r="O43" s="540">
        <f>N43*'Perry Ellis 2026 Fase 2'!$O$19</f>
        <v>8.295399999999999</v>
      </c>
      <c r="P43" s="540">
        <f>N43*1.1</f>
        <v>0.83600000000000008</v>
      </c>
      <c r="Q43" s="540"/>
      <c r="R43" s="540">
        <f>N43*$R$17</f>
        <v>0</v>
      </c>
      <c r="S43" s="540">
        <f>R43*0.35</f>
        <v>0</v>
      </c>
      <c r="T43" s="540">
        <f>(R43+S43)*22.84%</f>
        <v>0</v>
      </c>
      <c r="U43" s="541">
        <f>R43+S43+T43</f>
        <v>0</v>
      </c>
      <c r="V43" s="542">
        <v>89</v>
      </c>
      <c r="W43" s="540">
        <f>+V43/1.16</f>
        <v>76.724137931034491</v>
      </c>
      <c r="X43" s="543">
        <f>+W43*0.6</f>
        <v>46.03448275862069</v>
      </c>
      <c r="Y43" s="544">
        <f>U43/X43</f>
        <v>0</v>
      </c>
      <c r="Z43" s="546">
        <f>1-U43/X43</f>
        <v>1</v>
      </c>
      <c r="AA43" s="546">
        <f>1-(X43/(V43/1.16))</f>
        <v>0.4</v>
      </c>
      <c r="AB43" s="536" t="s">
        <v>607</v>
      </c>
      <c r="AC43" s="536" t="s">
        <v>99</v>
      </c>
      <c r="AD43" s="536"/>
      <c r="AE43" s="536"/>
      <c r="AF43" s="536"/>
      <c r="AG43" s="536"/>
      <c r="AH43" s="524"/>
      <c r="AI43" s="552">
        <v>49</v>
      </c>
      <c r="AJ43" s="540">
        <f>AI43/1.16</f>
        <v>42.241379310344833</v>
      </c>
      <c r="AK43" s="351">
        <f>U43/AJ43</f>
        <v>0</v>
      </c>
      <c r="AL43" s="351">
        <f>1-(U43/AJ43)</f>
        <v>1</v>
      </c>
      <c r="AM43" s="345">
        <f>1-(AJ43/(AI43/1.16))</f>
        <v>0</v>
      </c>
      <c r="BB43" s="350">
        <v>1</v>
      </c>
      <c r="BC43" s="350">
        <v>1</v>
      </c>
      <c r="BD43" s="350"/>
      <c r="BE43" s="350">
        <v>1</v>
      </c>
      <c r="BF43" s="350">
        <v>1</v>
      </c>
      <c r="BG43" s="350"/>
      <c r="BH43" s="350"/>
      <c r="BI43" s="350"/>
      <c r="BJ43" s="350"/>
      <c r="BK43" s="350">
        <v>9</v>
      </c>
      <c r="BL43" s="350">
        <f>SUM(BB43:BJ43)</f>
        <v>4</v>
      </c>
      <c r="BM43" s="548">
        <f>+BL43/BK43</f>
        <v>0.44444444444444442</v>
      </c>
      <c r="BN43" s="389"/>
      <c r="BO43" s="389"/>
      <c r="BP43" s="389"/>
      <c r="BQ43" s="389"/>
      <c r="BR43" s="549">
        <f>+AF43</f>
        <v>0</v>
      </c>
      <c r="BS43" s="388">
        <f>+AG43</f>
        <v>0</v>
      </c>
      <c r="BT43" s="536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36">
      <c r="A44" s="536">
        <v>33</v>
      </c>
      <c r="B44" s="536">
        <v>2</v>
      </c>
      <c r="C44" s="537">
        <v>46241</v>
      </c>
      <c r="D44" s="536" t="s">
        <v>277</v>
      </c>
      <c r="E44" s="538" t="s">
        <v>1194</v>
      </c>
      <c r="F44" s="350" t="s">
        <v>176</v>
      </c>
      <c r="G44" s="536" t="s">
        <v>1250</v>
      </c>
      <c r="H44" s="536" t="s">
        <v>1251</v>
      </c>
      <c r="I44" s="539"/>
      <c r="J44" s="536" t="s">
        <v>1252</v>
      </c>
      <c r="K44" s="536" t="s">
        <v>1169</v>
      </c>
      <c r="L44" s="536" t="s">
        <v>281</v>
      </c>
      <c r="M44" s="536">
        <v>1</v>
      </c>
      <c r="N44" s="540">
        <v>0.25</v>
      </c>
      <c r="O44" s="540">
        <f>N44*'Perry Ellis 2026 Fase 2'!$O$19</f>
        <v>2.7287499999999998</v>
      </c>
      <c r="P44" s="540">
        <f>N44*1.15</f>
        <v>0.28749999999999998</v>
      </c>
      <c r="Q44" s="540"/>
      <c r="R44" s="540">
        <f>N44*$R$17</f>
        <v>0</v>
      </c>
      <c r="S44" s="540">
        <f>R44*0.07</f>
        <v>0</v>
      </c>
      <c r="T44" s="540">
        <f>(R44+S44)*30.01%</f>
        <v>0</v>
      </c>
      <c r="U44" s="541">
        <f>R44+S44+T44</f>
        <v>0</v>
      </c>
      <c r="V44" s="542">
        <v>79</v>
      </c>
      <c r="W44" s="540">
        <f>+V44/1.16</f>
        <v>68.103448275862078</v>
      </c>
      <c r="X44" s="543">
        <f>+W44*0.6</f>
        <v>40.862068965517246</v>
      </c>
      <c r="Y44" s="544">
        <f>U44/X44</f>
        <v>0</v>
      </c>
      <c r="Z44" s="546">
        <f>1-U44/X44</f>
        <v>1</v>
      </c>
      <c r="AA44" s="546">
        <f>1-(X44/(V44/1.16))</f>
        <v>0.4</v>
      </c>
      <c r="AB44" s="536" t="s">
        <v>528</v>
      </c>
      <c r="AC44" s="536" t="s">
        <v>67</v>
      </c>
      <c r="AD44" s="536">
        <v>6</v>
      </c>
      <c r="AE44" s="536">
        <v>144</v>
      </c>
      <c r="AF44" s="536" t="s">
        <v>1204</v>
      </c>
      <c r="AG44" s="388">
        <v>46335</v>
      </c>
      <c r="AH44" s="524"/>
      <c r="AI44" s="552">
        <v>49</v>
      </c>
      <c r="AJ44" s="540">
        <f>AI44/1.16</f>
        <v>42.241379310344833</v>
      </c>
      <c r="AK44" s="351">
        <f>U44/AJ44</f>
        <v>0</v>
      </c>
      <c r="AL44" s="351">
        <f>1-(U44/AJ44)</f>
        <v>1</v>
      </c>
      <c r="AM44" s="345">
        <f>1-(AJ44/(AI44/1.16))</f>
        <v>0</v>
      </c>
      <c r="BB44" s="350">
        <v>1</v>
      </c>
      <c r="BC44" s="350">
        <v>1</v>
      </c>
      <c r="BD44" s="350"/>
      <c r="BE44" s="350">
        <v>1</v>
      </c>
      <c r="BF44" s="350">
        <v>1</v>
      </c>
      <c r="BG44" s="350"/>
      <c r="BH44" s="350"/>
      <c r="BI44" s="350"/>
      <c r="BJ44" s="350"/>
      <c r="BK44" s="350">
        <v>9</v>
      </c>
      <c r="BL44" s="350">
        <f>SUM(BB44:BJ44)</f>
        <v>4</v>
      </c>
      <c r="BM44" s="548">
        <f>+BL44/BK44</f>
        <v>0.44444444444444442</v>
      </c>
      <c r="BN44" s="389"/>
      <c r="BO44" s="389"/>
      <c r="BP44" s="389"/>
      <c r="BQ44" s="389"/>
      <c r="BR44" s="549" t="str">
        <f>+AF44</f>
        <v>En elaboración de archivos de impresión</v>
      </c>
      <c r="BS44" s="388">
        <f>+AG44</f>
        <v>46335</v>
      </c>
      <c r="BT44" s="536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36">
      <c r="A45" s="536">
        <v>36</v>
      </c>
      <c r="B45" s="536">
        <v>1</v>
      </c>
      <c r="C45" s="537">
        <v>46241</v>
      </c>
      <c r="D45" s="536" t="s">
        <v>277</v>
      </c>
      <c r="E45" s="538" t="s">
        <v>1253</v>
      </c>
      <c r="F45" s="350" t="s">
        <v>176</v>
      </c>
      <c r="G45" s="536" t="s">
        <v>1254</v>
      </c>
      <c r="H45" s="536" t="s">
        <v>1255</v>
      </c>
      <c r="I45" s="539"/>
      <c r="J45" s="536" t="s">
        <v>375</v>
      </c>
      <c r="K45" s="536" t="s">
        <v>1169</v>
      </c>
      <c r="L45" s="536" t="s">
        <v>281</v>
      </c>
      <c r="M45" s="536">
        <v>1</v>
      </c>
      <c r="N45" s="540">
        <v>0.35</v>
      </c>
      <c r="O45" s="540">
        <f>N45*'Perry Ellis 2026 Fase 2'!$O$19</f>
        <v>3.8202499999999993</v>
      </c>
      <c r="P45" s="540">
        <f>N45*1.1</f>
        <v>0.38500000000000001</v>
      </c>
      <c r="Q45" s="540"/>
      <c r="R45" s="540">
        <f>N45*$R$17</f>
        <v>0</v>
      </c>
      <c r="S45" s="540">
        <f t="shared" ref="S45:S57" si="0">R45*0.36</f>
        <v>0</v>
      </c>
      <c r="T45" s="540">
        <f t="shared" ref="T45:T53" si="1">(R45+S45)*4%</f>
        <v>0</v>
      </c>
      <c r="U45" s="541">
        <f>R45+S45+T45</f>
        <v>0</v>
      </c>
      <c r="V45" s="542">
        <v>159</v>
      </c>
      <c r="W45" s="540">
        <f>+V45/1.16</f>
        <v>137.06896551724139</v>
      </c>
      <c r="X45" s="543">
        <f>+W45*0.6</f>
        <v>82.24137931034484</v>
      </c>
      <c r="Y45" s="544">
        <f>U45/X45</f>
        <v>0</v>
      </c>
      <c r="Z45" s="553">
        <f>1-U45/X45</f>
        <v>1</v>
      </c>
      <c r="AA45" s="553">
        <f>1-(X45/(V45/1.16))</f>
        <v>0.4</v>
      </c>
      <c r="AB45" s="536" t="s">
        <v>284</v>
      </c>
      <c r="AC45" s="536" t="s">
        <v>67</v>
      </c>
      <c r="AD45" s="536">
        <v>6</v>
      </c>
      <c r="AE45" s="536">
        <v>144</v>
      </c>
      <c r="AF45" s="536" t="s">
        <v>1256</v>
      </c>
      <c r="AG45" s="388">
        <v>46342</v>
      </c>
      <c r="AH45" s="524"/>
      <c r="AI45" s="552">
        <v>109</v>
      </c>
      <c r="AJ45" s="540">
        <f>AI45/1.16</f>
        <v>93.965517241379317</v>
      </c>
      <c r="AK45" s="351">
        <f>U45/AJ45</f>
        <v>0</v>
      </c>
      <c r="AL45" s="351">
        <f>1-(U45/AJ45)</f>
        <v>1</v>
      </c>
      <c r="AM45" s="345">
        <f>1-(AJ45/(AI45/1.16))</f>
        <v>0</v>
      </c>
      <c r="BB45" s="350">
        <v>1</v>
      </c>
      <c r="BC45" s="350">
        <v>1</v>
      </c>
      <c r="BD45" s="350"/>
      <c r="BE45" s="350">
        <v>1</v>
      </c>
      <c r="BF45" s="350">
        <v>1</v>
      </c>
      <c r="BG45" s="350"/>
      <c r="BH45" s="350"/>
      <c r="BI45" s="350"/>
      <c r="BJ45" s="350"/>
      <c r="BK45" s="350">
        <v>9</v>
      </c>
      <c r="BL45" s="350">
        <f>SUM(BB45:BJ45)</f>
        <v>4</v>
      </c>
      <c r="BM45" s="548">
        <f>+BL45/BK45</f>
        <v>0.44444444444444442</v>
      </c>
      <c r="BN45" s="389"/>
      <c r="BO45" s="389"/>
      <c r="BP45" s="389"/>
      <c r="BQ45" s="389"/>
      <c r="BR45" s="549" t="str">
        <f>+AF45</f>
        <v>PENDIENTE INFORMACION DE PROVEEDOR</v>
      </c>
      <c r="BS45" s="388">
        <f>+AG45</f>
        <v>46342</v>
      </c>
      <c r="BT45" s="536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36">
      <c r="A46" s="536">
        <v>37</v>
      </c>
      <c r="B46" s="536">
        <v>1</v>
      </c>
      <c r="C46" s="537">
        <v>46241</v>
      </c>
      <c r="D46" s="536" t="s">
        <v>277</v>
      </c>
      <c r="E46" s="538" t="s">
        <v>1253</v>
      </c>
      <c r="F46" s="350" t="s">
        <v>176</v>
      </c>
      <c r="G46" s="536" t="s">
        <v>1257</v>
      </c>
      <c r="H46" s="536" t="s">
        <v>1258</v>
      </c>
      <c r="I46" s="539"/>
      <c r="J46" s="536" t="s">
        <v>375</v>
      </c>
      <c r="K46" s="536" t="s">
        <v>1169</v>
      </c>
      <c r="L46" s="536" t="s">
        <v>281</v>
      </c>
      <c r="M46" s="536">
        <v>1</v>
      </c>
      <c r="N46" s="540">
        <v>0.35</v>
      </c>
      <c r="O46" s="540">
        <f>N46*'Perry Ellis 2026 Fase 2'!$O$19</f>
        <v>3.8202499999999993</v>
      </c>
      <c r="P46" s="540">
        <f>N46*1.1</f>
        <v>0.38500000000000001</v>
      </c>
      <c r="Q46" s="540"/>
      <c r="R46" s="540">
        <f>N46*$R$17</f>
        <v>0</v>
      </c>
      <c r="S46" s="540">
        <f t="shared" si="0"/>
        <v>0</v>
      </c>
      <c r="T46" s="540">
        <f t="shared" si="1"/>
        <v>0</v>
      </c>
      <c r="U46" s="541">
        <f>R46+S46+T46</f>
        <v>0</v>
      </c>
      <c r="V46" s="542">
        <v>159</v>
      </c>
      <c r="W46" s="540">
        <f>+V46/1.16</f>
        <v>137.06896551724139</v>
      </c>
      <c r="X46" s="543">
        <f>+W46*0.6</f>
        <v>82.24137931034484</v>
      </c>
      <c r="Y46" s="544">
        <f>U46/X46</f>
        <v>0</v>
      </c>
      <c r="Z46" s="546">
        <f>1-U46/X46</f>
        <v>1</v>
      </c>
      <c r="AA46" s="546">
        <f>1-(X46/(V46/1.16))</f>
        <v>0.4</v>
      </c>
      <c r="AB46" s="536" t="s">
        <v>284</v>
      </c>
      <c r="AC46" s="536" t="s">
        <v>67</v>
      </c>
      <c r="AD46" s="536">
        <v>6</v>
      </c>
      <c r="AE46" s="536">
        <v>144</v>
      </c>
      <c r="AF46" s="536" t="s">
        <v>1256</v>
      </c>
      <c r="AG46" s="388">
        <v>46342</v>
      </c>
      <c r="AH46" s="524"/>
      <c r="AI46" s="552">
        <v>109</v>
      </c>
      <c r="AJ46" s="540">
        <f>AI46/1.16</f>
        <v>93.965517241379317</v>
      </c>
      <c r="AK46" s="351">
        <f>U46/AJ46</f>
        <v>0</v>
      </c>
      <c r="AL46" s="351">
        <f>1-(U46/AJ46)</f>
        <v>1</v>
      </c>
      <c r="AM46" s="345">
        <f>1-(AJ46/(AI46/1.16))</f>
        <v>0</v>
      </c>
      <c r="BB46" s="350">
        <v>1</v>
      </c>
      <c r="BC46" s="350">
        <v>1</v>
      </c>
      <c r="BD46" s="350"/>
      <c r="BE46" s="350">
        <v>1</v>
      </c>
      <c r="BF46" s="350">
        <v>1</v>
      </c>
      <c r="BG46" s="350"/>
      <c r="BH46" s="350"/>
      <c r="BI46" s="350"/>
      <c r="BJ46" s="350"/>
      <c r="BK46" s="350">
        <v>9</v>
      </c>
      <c r="BL46" s="350">
        <f>SUM(BB46:BJ46)</f>
        <v>4</v>
      </c>
      <c r="BM46" s="548">
        <f>+BL46/BK46</f>
        <v>0.44444444444444442</v>
      </c>
      <c r="BN46" s="389"/>
      <c r="BO46" s="389"/>
      <c r="BP46" s="389"/>
      <c r="BQ46" s="389"/>
      <c r="BR46" s="549" t="str">
        <f>+AF46</f>
        <v>PENDIENTE INFORMACION DE PROVEEDOR</v>
      </c>
      <c r="BS46" s="388">
        <f>+AG46</f>
        <v>46342</v>
      </c>
      <c r="BT46" s="536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36">
      <c r="A47" s="536">
        <v>38</v>
      </c>
      <c r="B47" s="536">
        <v>1</v>
      </c>
      <c r="C47" s="537">
        <v>46241</v>
      </c>
      <c r="D47" s="536" t="s">
        <v>277</v>
      </c>
      <c r="E47" s="538" t="s">
        <v>1253</v>
      </c>
      <c r="F47" s="350" t="s">
        <v>176</v>
      </c>
      <c r="G47" s="536" t="s">
        <v>1259</v>
      </c>
      <c r="H47" s="536" t="s">
        <v>1260</v>
      </c>
      <c r="I47" s="539"/>
      <c r="J47" s="536" t="s">
        <v>375</v>
      </c>
      <c r="K47" s="536" t="s">
        <v>1169</v>
      </c>
      <c r="L47" s="536" t="s">
        <v>281</v>
      </c>
      <c r="M47" s="536">
        <v>1</v>
      </c>
      <c r="N47" s="540">
        <v>0.35</v>
      </c>
      <c r="O47" s="540">
        <f>N47*'Perry Ellis 2026 Fase 2'!$O$19</f>
        <v>3.8202499999999993</v>
      </c>
      <c r="P47" s="540">
        <f>N47*1.1</f>
        <v>0.38500000000000001</v>
      </c>
      <c r="Q47" s="540"/>
      <c r="R47" s="540">
        <f>N47*$R$17</f>
        <v>0</v>
      </c>
      <c r="S47" s="540">
        <f t="shared" si="0"/>
        <v>0</v>
      </c>
      <c r="T47" s="540">
        <f t="shared" si="1"/>
        <v>0</v>
      </c>
      <c r="U47" s="541">
        <f>R47+S47+T47</f>
        <v>0</v>
      </c>
      <c r="V47" s="542">
        <v>159</v>
      </c>
      <c r="W47" s="540">
        <f>+V47/1.16</f>
        <v>137.06896551724139</v>
      </c>
      <c r="X47" s="543">
        <f>+W47*0.6</f>
        <v>82.24137931034484</v>
      </c>
      <c r="Y47" s="544">
        <f>U47/X47</f>
        <v>0</v>
      </c>
      <c r="Z47" s="546">
        <f>1-U47/X47</f>
        <v>1</v>
      </c>
      <c r="AA47" s="546">
        <f>1-(X47/(V47/1.16))</f>
        <v>0.4</v>
      </c>
      <c r="AB47" s="536" t="s">
        <v>284</v>
      </c>
      <c r="AC47" s="536" t="s">
        <v>67</v>
      </c>
      <c r="AD47" s="536">
        <v>6</v>
      </c>
      <c r="AE47" s="536">
        <v>144</v>
      </c>
      <c r="AF47" s="536" t="s">
        <v>1256</v>
      </c>
      <c r="AG47" s="388">
        <v>46342</v>
      </c>
      <c r="AH47" s="524"/>
      <c r="AI47" s="552">
        <v>109</v>
      </c>
      <c r="AJ47" s="540">
        <f>AI47/1.16</f>
        <v>93.965517241379317</v>
      </c>
      <c r="AK47" s="351">
        <f>U47/AJ47</f>
        <v>0</v>
      </c>
      <c r="AL47" s="351">
        <f>1-(U47/AJ47)</f>
        <v>1</v>
      </c>
      <c r="AM47" s="345">
        <f>1-(AJ47/(AI47/1.16))</f>
        <v>0</v>
      </c>
      <c r="BB47" s="350">
        <v>1</v>
      </c>
      <c r="BC47" s="350">
        <v>1</v>
      </c>
      <c r="BD47" s="350"/>
      <c r="BE47" s="350">
        <v>1</v>
      </c>
      <c r="BF47" s="350">
        <v>1</v>
      </c>
      <c r="BG47" s="350"/>
      <c r="BH47" s="350"/>
      <c r="BI47" s="350"/>
      <c r="BJ47" s="350"/>
      <c r="BK47" s="350">
        <v>9</v>
      </c>
      <c r="BL47" s="350">
        <f>SUM(BB47:BJ47)</f>
        <v>4</v>
      </c>
      <c r="BM47" s="548">
        <f>+BL47/BK47</f>
        <v>0.44444444444444442</v>
      </c>
      <c r="BN47" s="389"/>
      <c r="BO47" s="389"/>
      <c r="BP47" s="389"/>
      <c r="BQ47" s="389"/>
      <c r="BR47" s="549" t="str">
        <f>+AF47</f>
        <v>PENDIENTE INFORMACION DE PROVEEDOR</v>
      </c>
      <c r="BS47" s="388">
        <f>+AG47</f>
        <v>46342</v>
      </c>
      <c r="BT47" s="536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36">
      <c r="A48" s="536">
        <v>39</v>
      </c>
      <c r="B48" s="536">
        <v>1</v>
      </c>
      <c r="C48" s="537">
        <v>46241</v>
      </c>
      <c r="D48" s="536" t="s">
        <v>277</v>
      </c>
      <c r="E48" s="538" t="s">
        <v>1253</v>
      </c>
      <c r="F48" s="350" t="s">
        <v>176</v>
      </c>
      <c r="G48" s="536" t="s">
        <v>1261</v>
      </c>
      <c r="H48" s="536" t="s">
        <v>1262</v>
      </c>
      <c r="I48" s="539" t="s">
        <v>1238</v>
      </c>
      <c r="J48" s="536" t="s">
        <v>375</v>
      </c>
      <c r="K48" s="536" t="s">
        <v>1169</v>
      </c>
      <c r="L48" s="536" t="s">
        <v>281</v>
      </c>
      <c r="M48" s="536">
        <v>1</v>
      </c>
      <c r="N48" s="540">
        <v>0.35</v>
      </c>
      <c r="O48" s="540">
        <f>N48*'Perry Ellis 2026 Fase 2'!$O$19</f>
        <v>3.8202499999999993</v>
      </c>
      <c r="P48" s="540">
        <f>N48*1.1</f>
        <v>0.38500000000000001</v>
      </c>
      <c r="Q48" s="540"/>
      <c r="R48" s="540">
        <f>N48*$R$17</f>
        <v>0</v>
      </c>
      <c r="S48" s="540">
        <f t="shared" si="0"/>
        <v>0</v>
      </c>
      <c r="T48" s="540">
        <f t="shared" si="1"/>
        <v>0</v>
      </c>
      <c r="U48" s="541">
        <f>R48+S48+T48</f>
        <v>0</v>
      </c>
      <c r="V48" s="542">
        <v>159</v>
      </c>
      <c r="W48" s="540">
        <f>+V48/1.16</f>
        <v>137.06896551724139</v>
      </c>
      <c r="X48" s="543">
        <f>+W48*0.6</f>
        <v>82.24137931034484</v>
      </c>
      <c r="Y48" s="544">
        <f>U48/X48</f>
        <v>0</v>
      </c>
      <c r="Z48" s="546">
        <f>1-U48/X48</f>
        <v>1</v>
      </c>
      <c r="AA48" s="546">
        <f>1-(X48/(V48/1.16))</f>
        <v>0.4</v>
      </c>
      <c r="AB48" s="536" t="s">
        <v>284</v>
      </c>
      <c r="AC48" s="536" t="s">
        <v>67</v>
      </c>
      <c r="AD48" s="536">
        <v>6</v>
      </c>
      <c r="AE48" s="536">
        <v>144</v>
      </c>
      <c r="AF48" s="536" t="s">
        <v>1256</v>
      </c>
      <c r="AG48" s="388">
        <v>46342</v>
      </c>
      <c r="AH48" s="524"/>
      <c r="AI48" s="552">
        <v>109</v>
      </c>
      <c r="AJ48" s="540">
        <f>AI48/1.16</f>
        <v>93.965517241379317</v>
      </c>
      <c r="AK48" s="351">
        <f>U48/AJ48</f>
        <v>0</v>
      </c>
      <c r="AL48" s="351">
        <f>1-(U48/AJ48)</f>
        <v>1</v>
      </c>
      <c r="AM48" s="345">
        <f>1-(AJ48/(AI48/1.16))</f>
        <v>0</v>
      </c>
      <c r="BB48" s="350">
        <v>1</v>
      </c>
      <c r="BC48" s="350">
        <v>1</v>
      </c>
      <c r="BD48" s="350"/>
      <c r="BE48" s="350">
        <v>1</v>
      </c>
      <c r="BF48" s="350">
        <v>1</v>
      </c>
      <c r="BG48" s="350"/>
      <c r="BH48" s="350"/>
      <c r="BI48" s="350"/>
      <c r="BJ48" s="350"/>
      <c r="BK48" s="350">
        <v>9</v>
      </c>
      <c r="BL48" s="350">
        <f>SUM(BB48:BJ48)</f>
        <v>4</v>
      </c>
      <c r="BM48" s="548">
        <f>+BL48/BK48</f>
        <v>0.44444444444444442</v>
      </c>
      <c r="BN48" s="389"/>
      <c r="BO48" s="389"/>
      <c r="BP48" s="389"/>
      <c r="BQ48" s="389"/>
      <c r="BR48" s="549" t="str">
        <f>+AF48</f>
        <v>PENDIENTE INFORMACION DE PROVEEDOR</v>
      </c>
      <c r="BS48" s="388">
        <f>+AG48</f>
        <v>46342</v>
      </c>
      <c r="BT48" s="536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36">
      <c r="A49" s="536">
        <v>40</v>
      </c>
      <c r="B49" s="536">
        <v>1</v>
      </c>
      <c r="C49" s="537">
        <v>46241</v>
      </c>
      <c r="D49" s="536" t="s">
        <v>277</v>
      </c>
      <c r="E49" s="538" t="s">
        <v>1253</v>
      </c>
      <c r="F49" s="350" t="s">
        <v>176</v>
      </c>
      <c r="G49" s="536" t="s">
        <v>1263</v>
      </c>
      <c r="H49" s="536" t="s">
        <v>1264</v>
      </c>
      <c r="I49" s="539"/>
      <c r="J49" s="536" t="s">
        <v>375</v>
      </c>
      <c r="K49" s="536" t="s">
        <v>1169</v>
      </c>
      <c r="L49" s="536" t="s">
        <v>281</v>
      </c>
      <c r="M49" s="536">
        <v>1</v>
      </c>
      <c r="N49" s="540">
        <v>0.35</v>
      </c>
      <c r="O49" s="540">
        <f>N49*'Perry Ellis 2026 Fase 2'!$O$19</f>
        <v>3.8202499999999993</v>
      </c>
      <c r="P49" s="540">
        <f>N49*1.1</f>
        <v>0.38500000000000001</v>
      </c>
      <c r="Q49" s="540"/>
      <c r="R49" s="540">
        <f>N49*$R$17</f>
        <v>0</v>
      </c>
      <c r="S49" s="540">
        <f t="shared" si="0"/>
        <v>0</v>
      </c>
      <c r="T49" s="540">
        <f t="shared" si="1"/>
        <v>0</v>
      </c>
      <c r="U49" s="541">
        <f>R49+S49+T49</f>
        <v>0</v>
      </c>
      <c r="V49" s="542">
        <v>159</v>
      </c>
      <c r="W49" s="540">
        <f>+V49/1.16</f>
        <v>137.06896551724139</v>
      </c>
      <c r="X49" s="543">
        <f>+W49*0.6</f>
        <v>82.24137931034484</v>
      </c>
      <c r="Y49" s="544">
        <f>U49/X49</f>
        <v>0</v>
      </c>
      <c r="Z49" s="546">
        <f>1-U49/X49</f>
        <v>1</v>
      </c>
      <c r="AA49" s="546">
        <f>1-(X49/(V49/1.16))</f>
        <v>0.4</v>
      </c>
      <c r="AB49" s="536" t="s">
        <v>284</v>
      </c>
      <c r="AC49" s="536" t="s">
        <v>67</v>
      </c>
      <c r="AD49" s="536">
        <v>6</v>
      </c>
      <c r="AE49" s="536">
        <v>144</v>
      </c>
      <c r="AF49" s="536" t="s">
        <v>1256</v>
      </c>
      <c r="AG49" s="388">
        <v>46342</v>
      </c>
      <c r="AH49" s="524"/>
      <c r="AI49" s="552">
        <v>109</v>
      </c>
      <c r="AJ49" s="540">
        <f>AI49/1.16</f>
        <v>93.965517241379317</v>
      </c>
      <c r="AK49" s="351">
        <f>U49/AJ49</f>
        <v>0</v>
      </c>
      <c r="AL49" s="351">
        <f>1-(U49/AJ49)</f>
        <v>1</v>
      </c>
      <c r="AM49" s="345">
        <f>1-(AJ49/(AI49/1.16))</f>
        <v>0</v>
      </c>
      <c r="BB49" s="350">
        <v>1</v>
      </c>
      <c r="BC49" s="350">
        <v>1</v>
      </c>
      <c r="BD49" s="350"/>
      <c r="BE49" s="350">
        <v>1</v>
      </c>
      <c r="BF49" s="350">
        <v>1</v>
      </c>
      <c r="BG49" s="350"/>
      <c r="BH49" s="350"/>
      <c r="BI49" s="350"/>
      <c r="BJ49" s="350"/>
      <c r="BK49" s="350">
        <v>9</v>
      </c>
      <c r="BL49" s="350">
        <f>SUM(BB49:BJ49)</f>
        <v>4</v>
      </c>
      <c r="BM49" s="548">
        <f>+BL49/BK49</f>
        <v>0.44444444444444442</v>
      </c>
      <c r="BN49" s="389"/>
      <c r="BO49" s="389"/>
      <c r="BP49" s="389"/>
      <c r="BQ49" s="389"/>
      <c r="BR49" s="549" t="str">
        <f>+AF49</f>
        <v>PENDIENTE INFORMACION DE PROVEEDOR</v>
      </c>
      <c r="BS49" s="388">
        <f>+AG49</f>
        <v>46342</v>
      </c>
      <c r="BT49" s="536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36">
      <c r="A50" s="536">
        <v>41</v>
      </c>
      <c r="B50" s="536">
        <v>1</v>
      </c>
      <c r="C50" s="537">
        <v>46241</v>
      </c>
      <c r="D50" s="536" t="s">
        <v>277</v>
      </c>
      <c r="E50" s="538" t="s">
        <v>1253</v>
      </c>
      <c r="F50" s="350" t="s">
        <v>176</v>
      </c>
      <c r="G50" s="536" t="s">
        <v>1265</v>
      </c>
      <c r="H50" s="536" t="s">
        <v>1266</v>
      </c>
      <c r="I50" s="539" t="s">
        <v>1238</v>
      </c>
      <c r="J50" s="536" t="s">
        <v>375</v>
      </c>
      <c r="K50" s="536" t="s">
        <v>1169</v>
      </c>
      <c r="L50" s="536" t="s">
        <v>281</v>
      </c>
      <c r="M50" s="536">
        <v>1</v>
      </c>
      <c r="N50" s="540">
        <v>0.35</v>
      </c>
      <c r="O50" s="540">
        <f>N50*'Perry Ellis 2026 Fase 2'!$O$19</f>
        <v>3.8202499999999993</v>
      </c>
      <c r="P50" s="540">
        <f>N50*1.1</f>
        <v>0.38500000000000001</v>
      </c>
      <c r="Q50" s="540"/>
      <c r="R50" s="540">
        <f>N50*$R$17</f>
        <v>0</v>
      </c>
      <c r="S50" s="540">
        <f t="shared" si="0"/>
        <v>0</v>
      </c>
      <c r="T50" s="540">
        <f t="shared" si="1"/>
        <v>0</v>
      </c>
      <c r="U50" s="541">
        <f>R50+S50+T50</f>
        <v>0</v>
      </c>
      <c r="V50" s="542">
        <v>119</v>
      </c>
      <c r="W50" s="540">
        <f>+V50/1.16</f>
        <v>102.58620689655173</v>
      </c>
      <c r="X50" s="543">
        <f>+W50*0.6</f>
        <v>61.551724137931032</v>
      </c>
      <c r="Y50" s="544">
        <f>U50/X50</f>
        <v>0</v>
      </c>
      <c r="Z50" s="546">
        <f>1-U50/X50</f>
        <v>1</v>
      </c>
      <c r="AA50" s="546">
        <f>1-(X50/(V50/1.16))</f>
        <v>0.4</v>
      </c>
      <c r="AB50" s="536" t="s">
        <v>284</v>
      </c>
      <c r="AC50" s="536" t="s">
        <v>67</v>
      </c>
      <c r="AD50" s="536">
        <v>6</v>
      </c>
      <c r="AE50" s="536">
        <v>144</v>
      </c>
      <c r="AF50" s="536" t="s">
        <v>1256</v>
      </c>
      <c r="AG50" s="388">
        <v>46342</v>
      </c>
      <c r="AH50" s="524"/>
      <c r="AI50" s="552">
        <v>69</v>
      </c>
      <c r="AJ50" s="540">
        <f>AI50/1.16</f>
        <v>59.482758620689658</v>
      </c>
      <c r="AK50" s="351">
        <f>U50/AJ50</f>
        <v>0</v>
      </c>
      <c r="AL50" s="351">
        <f>1-(U50/AJ50)</f>
        <v>1</v>
      </c>
      <c r="AM50" s="345">
        <f>1-(AJ50/(AI50/1.16))</f>
        <v>0</v>
      </c>
      <c r="BB50" s="350">
        <v>1</v>
      </c>
      <c r="BC50" s="350">
        <v>1</v>
      </c>
      <c r="BD50" s="350"/>
      <c r="BE50" s="350">
        <v>1</v>
      </c>
      <c r="BF50" s="350">
        <v>1</v>
      </c>
      <c r="BG50" s="350"/>
      <c r="BH50" s="350"/>
      <c r="BI50" s="350"/>
      <c r="BJ50" s="350"/>
      <c r="BK50" s="350">
        <v>9</v>
      </c>
      <c r="BL50" s="350">
        <f>SUM(BB50:BJ50)</f>
        <v>4</v>
      </c>
      <c r="BM50" s="548">
        <f>+BL50/BK50</f>
        <v>0.44444444444444442</v>
      </c>
      <c r="BN50" s="389"/>
      <c r="BO50" s="389"/>
      <c r="BP50" s="389"/>
      <c r="BQ50" s="389"/>
      <c r="BR50" s="549" t="str">
        <f>+AF50</f>
        <v>PENDIENTE INFORMACION DE PROVEEDOR</v>
      </c>
      <c r="BS50" s="388">
        <f>+AG50</f>
        <v>46342</v>
      </c>
      <c r="BT50" s="536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36">
      <c r="A51" s="536">
        <v>42</v>
      </c>
      <c r="B51" s="536">
        <v>1</v>
      </c>
      <c r="C51" s="537">
        <v>46241</v>
      </c>
      <c r="D51" s="536" t="s">
        <v>277</v>
      </c>
      <c r="E51" s="538" t="s">
        <v>1253</v>
      </c>
      <c r="F51" s="350" t="s">
        <v>176</v>
      </c>
      <c r="G51" s="536" t="s">
        <v>1267</v>
      </c>
      <c r="H51" s="536" t="s">
        <v>1268</v>
      </c>
      <c r="I51" s="539"/>
      <c r="J51" s="536" t="s">
        <v>375</v>
      </c>
      <c r="K51" s="536" t="s">
        <v>1169</v>
      </c>
      <c r="L51" s="536" t="s">
        <v>281</v>
      </c>
      <c r="M51" s="536">
        <v>1</v>
      </c>
      <c r="N51" s="540">
        <v>0.35</v>
      </c>
      <c r="O51" s="540">
        <f>N51*'Perry Ellis 2026 Fase 2'!$O$19</f>
        <v>3.8202499999999993</v>
      </c>
      <c r="P51" s="540">
        <f>N51*1.1</f>
        <v>0.38500000000000001</v>
      </c>
      <c r="Q51" s="540"/>
      <c r="R51" s="540">
        <f>N51*$R$17</f>
        <v>0</v>
      </c>
      <c r="S51" s="540">
        <f t="shared" si="0"/>
        <v>0</v>
      </c>
      <c r="T51" s="540">
        <f t="shared" si="1"/>
        <v>0</v>
      </c>
      <c r="U51" s="541">
        <f>R51+S51+T51</f>
        <v>0</v>
      </c>
      <c r="V51" s="542">
        <v>119</v>
      </c>
      <c r="W51" s="540">
        <f>+V51/1.16</f>
        <v>102.58620689655173</v>
      </c>
      <c r="X51" s="543">
        <f>+W51*0.6</f>
        <v>61.551724137931032</v>
      </c>
      <c r="Y51" s="544">
        <f>U51/X51</f>
        <v>0</v>
      </c>
      <c r="Z51" s="546">
        <f>1-U51/X51</f>
        <v>1</v>
      </c>
      <c r="AA51" s="546">
        <f>1-(X51/(V51/1.16))</f>
        <v>0.4</v>
      </c>
      <c r="AB51" s="536" t="s">
        <v>284</v>
      </c>
      <c r="AC51" s="536" t="s">
        <v>67</v>
      </c>
      <c r="AD51" s="536">
        <v>6</v>
      </c>
      <c r="AE51" s="536">
        <v>144</v>
      </c>
      <c r="AF51" s="536" t="s">
        <v>1256</v>
      </c>
      <c r="AG51" s="388">
        <v>46342</v>
      </c>
      <c r="AH51" s="524"/>
      <c r="AI51" s="552">
        <v>69</v>
      </c>
      <c r="AJ51" s="540">
        <f>AI51/1.16</f>
        <v>59.482758620689658</v>
      </c>
      <c r="AK51" s="351">
        <f>U51/AJ51</f>
        <v>0</v>
      </c>
      <c r="AL51" s="351">
        <f>1-(U51/AJ51)</f>
        <v>1</v>
      </c>
      <c r="AM51" s="345">
        <f>1-(AJ51/(AI51/1.16))</f>
        <v>0</v>
      </c>
      <c r="BB51" s="350">
        <v>1</v>
      </c>
      <c r="BC51" s="350">
        <v>1</v>
      </c>
      <c r="BD51" s="350"/>
      <c r="BE51" s="350">
        <v>1</v>
      </c>
      <c r="BF51" s="350">
        <v>1</v>
      </c>
      <c r="BG51" s="350"/>
      <c r="BH51" s="350"/>
      <c r="BI51" s="350"/>
      <c r="BJ51" s="350"/>
      <c r="BK51" s="350">
        <v>9</v>
      </c>
      <c r="BL51" s="350">
        <f>SUM(BB51:BJ51)</f>
        <v>4</v>
      </c>
      <c r="BM51" s="548">
        <f>+BL51/BK51</f>
        <v>0.44444444444444442</v>
      </c>
      <c r="BN51" s="389"/>
      <c r="BO51" s="389"/>
      <c r="BP51" s="389"/>
      <c r="BQ51" s="389"/>
      <c r="BR51" s="549" t="str">
        <f>+AF51</f>
        <v>PENDIENTE INFORMACION DE PROVEEDOR</v>
      </c>
      <c r="BS51" s="388">
        <f>+AG51</f>
        <v>46342</v>
      </c>
      <c r="BT51" s="536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36">
      <c r="A52" s="536">
        <v>43</v>
      </c>
      <c r="B52" s="536">
        <v>1</v>
      </c>
      <c r="C52" s="537">
        <v>46241</v>
      </c>
      <c r="D52" s="536" t="s">
        <v>277</v>
      </c>
      <c r="E52" s="538" t="s">
        <v>1253</v>
      </c>
      <c r="F52" s="350" t="s">
        <v>176</v>
      </c>
      <c r="G52" s="536" t="s">
        <v>1269</v>
      </c>
      <c r="H52" s="536" t="s">
        <v>1270</v>
      </c>
      <c r="I52" s="539"/>
      <c r="J52" s="536" t="s">
        <v>375</v>
      </c>
      <c r="K52" s="536" t="s">
        <v>1169</v>
      </c>
      <c r="L52" s="536" t="s">
        <v>281</v>
      </c>
      <c r="M52" s="536">
        <v>1</v>
      </c>
      <c r="N52" s="540">
        <v>0.35</v>
      </c>
      <c r="O52" s="540">
        <f>N52*'Perry Ellis 2026 Fase 2'!$O$19</f>
        <v>3.8202499999999993</v>
      </c>
      <c r="P52" s="540">
        <f>N52*1.1</f>
        <v>0.38500000000000001</v>
      </c>
      <c r="Q52" s="540"/>
      <c r="R52" s="540">
        <f>N52*$R$17</f>
        <v>0</v>
      </c>
      <c r="S52" s="540">
        <f t="shared" si="0"/>
        <v>0</v>
      </c>
      <c r="T52" s="540">
        <f t="shared" si="1"/>
        <v>0</v>
      </c>
      <c r="U52" s="541">
        <f>R52+S52+T52</f>
        <v>0</v>
      </c>
      <c r="V52" s="542">
        <v>119</v>
      </c>
      <c r="W52" s="540">
        <f>+V52/1.16</f>
        <v>102.58620689655173</v>
      </c>
      <c r="X52" s="543">
        <f>+W52*0.6</f>
        <v>61.551724137931032</v>
      </c>
      <c r="Y52" s="544">
        <f>U52/X52</f>
        <v>0</v>
      </c>
      <c r="Z52" s="546">
        <f>1-U52/X52</f>
        <v>1</v>
      </c>
      <c r="AA52" s="546">
        <f>1-(X52/(V52/1.16))</f>
        <v>0.4</v>
      </c>
      <c r="AB52" s="536" t="s">
        <v>284</v>
      </c>
      <c r="AC52" s="536" t="s">
        <v>67</v>
      </c>
      <c r="AD52" s="536">
        <v>6</v>
      </c>
      <c r="AE52" s="536">
        <v>144</v>
      </c>
      <c r="AF52" s="536" t="s">
        <v>1256</v>
      </c>
      <c r="AG52" s="388">
        <v>46342</v>
      </c>
      <c r="AH52" s="524"/>
      <c r="AI52" s="552">
        <v>69</v>
      </c>
      <c r="AJ52" s="540">
        <f>AI52/1.16</f>
        <v>59.482758620689658</v>
      </c>
      <c r="AK52" s="351">
        <f>U52/AJ52</f>
        <v>0</v>
      </c>
      <c r="AL52" s="351">
        <f>1-(U52/AJ52)</f>
        <v>1</v>
      </c>
      <c r="AM52" s="345">
        <f>1-(AJ52/(AI52/1.16))</f>
        <v>0</v>
      </c>
      <c r="BB52" s="350">
        <v>1</v>
      </c>
      <c r="BC52" s="350">
        <v>1</v>
      </c>
      <c r="BD52" s="350"/>
      <c r="BE52" s="350">
        <v>1</v>
      </c>
      <c r="BF52" s="350">
        <v>1</v>
      </c>
      <c r="BG52" s="350"/>
      <c r="BH52" s="350"/>
      <c r="BI52" s="350"/>
      <c r="BJ52" s="350"/>
      <c r="BK52" s="350">
        <v>9</v>
      </c>
      <c r="BL52" s="350">
        <f>SUM(BB52:BJ52)</f>
        <v>4</v>
      </c>
      <c r="BM52" s="548">
        <f>+BL52/BK52</f>
        <v>0.44444444444444442</v>
      </c>
      <c r="BN52" s="389"/>
      <c r="BO52" s="389"/>
      <c r="BP52" s="389"/>
      <c r="BQ52" s="389"/>
      <c r="BR52" s="549" t="str">
        <f>+AF52</f>
        <v>PENDIENTE INFORMACION DE PROVEEDOR</v>
      </c>
      <c r="BS52" s="388">
        <f>+AG52</f>
        <v>46342</v>
      </c>
      <c r="BT52" s="536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36">
      <c r="A53" s="536">
        <v>44</v>
      </c>
      <c r="B53" s="536">
        <v>1</v>
      </c>
      <c r="C53" s="537">
        <v>46241</v>
      </c>
      <c r="D53" s="536" t="s">
        <v>277</v>
      </c>
      <c r="E53" s="538" t="s">
        <v>1253</v>
      </c>
      <c r="F53" s="350" t="s">
        <v>176</v>
      </c>
      <c r="G53" s="536" t="s">
        <v>1271</v>
      </c>
      <c r="H53" s="536" t="s">
        <v>1272</v>
      </c>
      <c r="I53" s="539"/>
      <c r="J53" s="536" t="s">
        <v>375</v>
      </c>
      <c r="K53" s="536" t="s">
        <v>1169</v>
      </c>
      <c r="L53" s="536" t="s">
        <v>281</v>
      </c>
      <c r="M53" s="536">
        <v>1</v>
      </c>
      <c r="N53" s="540">
        <v>0.35</v>
      </c>
      <c r="O53" s="540">
        <f>N53*'Perry Ellis 2026 Fase 2'!$O$19</f>
        <v>3.8202499999999993</v>
      </c>
      <c r="P53" s="540">
        <f>N53*1.1</f>
        <v>0.38500000000000001</v>
      </c>
      <c r="Q53" s="540"/>
      <c r="R53" s="540">
        <f>N53*$R$17</f>
        <v>0</v>
      </c>
      <c r="S53" s="540">
        <f t="shared" si="0"/>
        <v>0</v>
      </c>
      <c r="T53" s="540">
        <f t="shared" si="1"/>
        <v>0</v>
      </c>
      <c r="U53" s="541">
        <f>R53+S53+T53</f>
        <v>0</v>
      </c>
      <c r="V53" s="542">
        <v>119</v>
      </c>
      <c r="W53" s="540">
        <f>+V53/1.16</f>
        <v>102.58620689655173</v>
      </c>
      <c r="X53" s="543">
        <f>+W53*0.6</f>
        <v>61.551724137931032</v>
      </c>
      <c r="Y53" s="544">
        <f>U53/X53</f>
        <v>0</v>
      </c>
      <c r="Z53" s="546">
        <f>1-U53/X53</f>
        <v>1</v>
      </c>
      <c r="AA53" s="546">
        <f>1-(X53/(V53/1.16))</f>
        <v>0.4</v>
      </c>
      <c r="AB53" s="536" t="s">
        <v>284</v>
      </c>
      <c r="AC53" s="536" t="s">
        <v>67</v>
      </c>
      <c r="AD53" s="536">
        <v>6</v>
      </c>
      <c r="AE53" s="536">
        <v>144</v>
      </c>
      <c r="AF53" s="536" t="s">
        <v>1256</v>
      </c>
      <c r="AG53" s="388">
        <v>46342</v>
      </c>
      <c r="AH53" s="524"/>
      <c r="AI53" s="552">
        <v>69</v>
      </c>
      <c r="AJ53" s="540">
        <f>AI53/1.16</f>
        <v>59.482758620689658</v>
      </c>
      <c r="AK53" s="351">
        <f>U53/AJ53</f>
        <v>0</v>
      </c>
      <c r="AL53" s="351">
        <f>1-(U53/AJ53)</f>
        <v>1</v>
      </c>
      <c r="AM53" s="345">
        <f>1-(AJ53/(AI53/1.16))</f>
        <v>0</v>
      </c>
      <c r="BB53" s="350">
        <v>1</v>
      </c>
      <c r="BC53" s="350">
        <v>1</v>
      </c>
      <c r="BD53" s="350"/>
      <c r="BE53" s="350">
        <v>1</v>
      </c>
      <c r="BF53" s="350">
        <v>1</v>
      </c>
      <c r="BG53" s="350"/>
      <c r="BH53" s="350"/>
      <c r="BI53" s="350"/>
      <c r="BJ53" s="350"/>
      <c r="BK53" s="350">
        <v>9</v>
      </c>
      <c r="BL53" s="350">
        <f>SUM(BB53:BJ53)</f>
        <v>4</v>
      </c>
      <c r="BM53" s="548">
        <f>+BL53/BK53</f>
        <v>0.44444444444444442</v>
      </c>
      <c r="BN53" s="389"/>
      <c r="BO53" s="389"/>
      <c r="BP53" s="389"/>
      <c r="BQ53" s="389"/>
      <c r="BR53" s="549" t="str">
        <f>+AF53</f>
        <v>PENDIENTE INFORMACION DE PROVEEDOR</v>
      </c>
      <c r="BS53" s="388">
        <f>+AG53</f>
        <v>46342</v>
      </c>
      <c r="BT53" s="536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36">
      <c r="A54" s="536">
        <v>45</v>
      </c>
      <c r="B54" s="536">
        <v>1</v>
      </c>
      <c r="C54" s="537">
        <v>46241</v>
      </c>
      <c r="D54" s="536" t="s">
        <v>277</v>
      </c>
      <c r="E54" s="538" t="s">
        <v>1253</v>
      </c>
      <c r="F54" s="350" t="s">
        <v>176</v>
      </c>
      <c r="G54" s="536" t="s">
        <v>1273</v>
      </c>
      <c r="H54" s="536" t="s">
        <v>1274</v>
      </c>
      <c r="I54" s="539" t="s">
        <v>1238</v>
      </c>
      <c r="J54" s="536" t="s">
        <v>375</v>
      </c>
      <c r="K54" s="536" t="s">
        <v>1169</v>
      </c>
      <c r="L54" s="536" t="s">
        <v>281</v>
      </c>
      <c r="M54" s="536">
        <v>1</v>
      </c>
      <c r="N54" s="540">
        <v>0.35</v>
      </c>
      <c r="O54" s="540">
        <f>N54*'Perry Ellis 2026 Fase 2'!$O$19</f>
        <v>3.8202499999999993</v>
      </c>
      <c r="P54" s="540">
        <f>N54*1.1</f>
        <v>0.38500000000000001</v>
      </c>
      <c r="Q54" s="540"/>
      <c r="R54" s="540">
        <f>N54*$R$17</f>
        <v>0</v>
      </c>
      <c r="S54" s="540">
        <f t="shared" si="0"/>
        <v>0</v>
      </c>
      <c r="T54" s="540">
        <f>(R54+S54)*23.37%</f>
        <v>0</v>
      </c>
      <c r="U54" s="541">
        <f>R54+S54+T54</f>
        <v>0</v>
      </c>
      <c r="V54" s="542">
        <v>149</v>
      </c>
      <c r="W54" s="540">
        <f>+V54/1.16</f>
        <v>128.44827586206898</v>
      </c>
      <c r="X54" s="543">
        <f>+W54*0.6</f>
        <v>77.068965517241381</v>
      </c>
      <c r="Y54" s="544">
        <f>U54/X54</f>
        <v>0</v>
      </c>
      <c r="Z54" s="546">
        <f>1-U54/X54</f>
        <v>1</v>
      </c>
      <c r="AA54" s="546">
        <f>1-(X54/(V54/1.16))</f>
        <v>0.4</v>
      </c>
      <c r="AB54" s="536" t="s">
        <v>284</v>
      </c>
      <c r="AC54" s="536" t="s">
        <v>67</v>
      </c>
      <c r="AD54" s="536">
        <v>6</v>
      </c>
      <c r="AE54" s="536">
        <v>144</v>
      </c>
      <c r="AF54" s="536" t="s">
        <v>1256</v>
      </c>
      <c r="AG54" s="388">
        <v>46342</v>
      </c>
      <c r="AH54" s="524"/>
      <c r="AI54" s="552">
        <f>V54*0.6</f>
        <v>89.399999999999991</v>
      </c>
      <c r="AJ54" s="540">
        <f>AI54/1.16</f>
        <v>77.068965517241381</v>
      </c>
      <c r="AK54" s="351">
        <f>U54/AJ54</f>
        <v>0</v>
      </c>
      <c r="AL54" s="351">
        <f>1-(U54/AJ54)</f>
        <v>1</v>
      </c>
      <c r="AM54" s="345">
        <f>1-(AJ54/(AI54/1.16))</f>
        <v>0</v>
      </c>
      <c r="BB54" s="350">
        <v>1</v>
      </c>
      <c r="BC54" s="350">
        <v>1</v>
      </c>
      <c r="BD54" s="350"/>
      <c r="BE54" s="350">
        <v>1</v>
      </c>
      <c r="BF54" s="350">
        <v>1</v>
      </c>
      <c r="BG54" s="350"/>
      <c r="BH54" s="350"/>
      <c r="BI54" s="350"/>
      <c r="BJ54" s="350"/>
      <c r="BK54" s="350">
        <v>9</v>
      </c>
      <c r="BL54" s="350">
        <f>SUM(BB54:BJ54)</f>
        <v>4</v>
      </c>
      <c r="BM54" s="548">
        <f>+BL54/BK54</f>
        <v>0.44444444444444442</v>
      </c>
      <c r="BN54" s="389"/>
      <c r="BO54" s="389"/>
      <c r="BP54" s="389"/>
      <c r="BQ54" s="389"/>
      <c r="BR54" s="549" t="str">
        <f>+AF54</f>
        <v>PENDIENTE INFORMACION DE PROVEEDOR</v>
      </c>
      <c r="BS54" s="388">
        <f>+AG54</f>
        <v>46342</v>
      </c>
      <c r="BT54" s="536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36">
      <c r="A55" s="536">
        <v>46</v>
      </c>
      <c r="B55" s="536">
        <v>1</v>
      </c>
      <c r="C55" s="537">
        <v>46241</v>
      </c>
      <c r="D55" s="536" t="s">
        <v>277</v>
      </c>
      <c r="E55" s="538" t="s">
        <v>1253</v>
      </c>
      <c r="F55" s="350" t="s">
        <v>176</v>
      </c>
      <c r="G55" s="536" t="s">
        <v>1275</v>
      </c>
      <c r="H55" s="536" t="s">
        <v>1276</v>
      </c>
      <c r="I55" s="539"/>
      <c r="J55" s="536" t="s">
        <v>375</v>
      </c>
      <c r="K55" s="536" t="s">
        <v>1169</v>
      </c>
      <c r="L55" s="536" t="s">
        <v>281</v>
      </c>
      <c r="M55" s="536">
        <v>1</v>
      </c>
      <c r="N55" s="540">
        <v>0.35</v>
      </c>
      <c r="O55" s="540">
        <f>N55*'Perry Ellis 2026 Fase 2'!$O$19</f>
        <v>3.8202499999999993</v>
      </c>
      <c r="P55" s="540">
        <f>N55*1.1</f>
        <v>0.38500000000000001</v>
      </c>
      <c r="Q55" s="540"/>
      <c r="R55" s="540">
        <f>N55*$R$17</f>
        <v>0</v>
      </c>
      <c r="S55" s="540">
        <f t="shared" si="0"/>
        <v>0</v>
      </c>
      <c r="T55" s="540">
        <f>(R55+S55)*23.37%</f>
        <v>0</v>
      </c>
      <c r="U55" s="541">
        <f>R55+S55+T55</f>
        <v>0</v>
      </c>
      <c r="V55" s="542">
        <v>149</v>
      </c>
      <c r="W55" s="540">
        <f>+V55/1.16</f>
        <v>128.44827586206898</v>
      </c>
      <c r="X55" s="543">
        <f>+W55*0.6</f>
        <v>77.068965517241381</v>
      </c>
      <c r="Y55" s="544">
        <f>U55/X55</f>
        <v>0</v>
      </c>
      <c r="Z55" s="546">
        <f>1-U55/X55</f>
        <v>1</v>
      </c>
      <c r="AA55" s="546">
        <f>1-(X55/(V55/1.16))</f>
        <v>0.4</v>
      </c>
      <c r="AB55" s="536" t="s">
        <v>284</v>
      </c>
      <c r="AC55" s="536" t="s">
        <v>67</v>
      </c>
      <c r="AD55" s="536">
        <v>6</v>
      </c>
      <c r="AE55" s="536">
        <v>144</v>
      </c>
      <c r="AF55" s="536" t="s">
        <v>1256</v>
      </c>
      <c r="AG55" s="388">
        <v>46342</v>
      </c>
      <c r="AH55" s="524"/>
      <c r="AI55" s="552">
        <f>V55*0.6</f>
        <v>89.399999999999991</v>
      </c>
      <c r="AJ55" s="540">
        <f>AI55/1.16</f>
        <v>77.068965517241381</v>
      </c>
      <c r="AK55" s="351">
        <f>U55/AJ55</f>
        <v>0</v>
      </c>
      <c r="AL55" s="351">
        <f>1-(U55/AJ55)</f>
        <v>1</v>
      </c>
      <c r="AM55" s="345">
        <f>1-(AJ55/(AI55/1.16))</f>
        <v>0</v>
      </c>
      <c r="BB55" s="350">
        <v>1</v>
      </c>
      <c r="BC55" s="350">
        <v>1</v>
      </c>
      <c r="BD55" s="350"/>
      <c r="BE55" s="350">
        <v>1</v>
      </c>
      <c r="BF55" s="350">
        <v>1</v>
      </c>
      <c r="BG55" s="350"/>
      <c r="BH55" s="350"/>
      <c r="BI55" s="350"/>
      <c r="BJ55" s="350"/>
      <c r="BK55" s="350">
        <v>9</v>
      </c>
      <c r="BL55" s="350">
        <f>SUM(BB55:BJ55)</f>
        <v>4</v>
      </c>
      <c r="BM55" s="548">
        <f>+BL55/BK55</f>
        <v>0.44444444444444442</v>
      </c>
      <c r="BN55" s="389"/>
      <c r="BO55" s="389"/>
      <c r="BP55" s="389"/>
      <c r="BQ55" s="389"/>
      <c r="BR55" s="549" t="str">
        <f>+AF55</f>
        <v>PENDIENTE INFORMACION DE PROVEEDOR</v>
      </c>
      <c r="BS55" s="388">
        <f>+AG55</f>
        <v>46342</v>
      </c>
      <c r="BT55" s="536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36">
      <c r="A56" s="536">
        <v>47</v>
      </c>
      <c r="B56" s="536">
        <v>1</v>
      </c>
      <c r="C56" s="537">
        <v>46241</v>
      </c>
      <c r="D56" s="536" t="s">
        <v>277</v>
      </c>
      <c r="E56" s="538" t="s">
        <v>1253</v>
      </c>
      <c r="F56" s="350" t="s">
        <v>176</v>
      </c>
      <c r="G56" s="536" t="s">
        <v>1277</v>
      </c>
      <c r="H56" s="536" t="s">
        <v>1278</v>
      </c>
      <c r="I56" s="539"/>
      <c r="J56" s="536" t="s">
        <v>375</v>
      </c>
      <c r="K56" s="536" t="s">
        <v>1169</v>
      </c>
      <c r="L56" s="536" t="s">
        <v>281</v>
      </c>
      <c r="M56" s="536">
        <v>1</v>
      </c>
      <c r="N56" s="540">
        <v>0.35</v>
      </c>
      <c r="O56" s="540">
        <f>N56*'Perry Ellis 2026 Fase 2'!$O$19</f>
        <v>3.8202499999999993</v>
      </c>
      <c r="P56" s="540">
        <f>N56*1.1</f>
        <v>0.38500000000000001</v>
      </c>
      <c r="Q56" s="540"/>
      <c r="R56" s="540">
        <f>N56*$R$17</f>
        <v>0</v>
      </c>
      <c r="S56" s="540">
        <f t="shared" si="0"/>
        <v>0</v>
      </c>
      <c r="T56" s="540">
        <f>(R56+S56)*23.37%</f>
        <v>0</v>
      </c>
      <c r="U56" s="541">
        <f>R56+S56+T56</f>
        <v>0</v>
      </c>
      <c r="V56" s="542">
        <v>149</v>
      </c>
      <c r="W56" s="540">
        <f>+V56/1.16</f>
        <v>128.44827586206898</v>
      </c>
      <c r="X56" s="543">
        <f>+W56*0.6</f>
        <v>77.068965517241381</v>
      </c>
      <c r="Y56" s="544">
        <f>U56/X56</f>
        <v>0</v>
      </c>
      <c r="Z56" s="546">
        <f>1-U56/X56</f>
        <v>1</v>
      </c>
      <c r="AA56" s="546">
        <f>1-(X56/(V56/1.16))</f>
        <v>0.4</v>
      </c>
      <c r="AB56" s="536" t="s">
        <v>284</v>
      </c>
      <c r="AC56" s="536" t="s">
        <v>67</v>
      </c>
      <c r="AD56" s="536">
        <v>6</v>
      </c>
      <c r="AE56" s="536">
        <v>144</v>
      </c>
      <c r="AF56" s="536" t="s">
        <v>1256</v>
      </c>
      <c r="AG56" s="388">
        <v>46342</v>
      </c>
      <c r="AH56" s="524"/>
      <c r="AI56" s="552">
        <f>V56*0.6</f>
        <v>89.399999999999991</v>
      </c>
      <c r="AJ56" s="540">
        <f>AI56/1.16</f>
        <v>77.068965517241381</v>
      </c>
      <c r="AK56" s="351">
        <f>U56/AJ56</f>
        <v>0</v>
      </c>
      <c r="AL56" s="351">
        <f>1-(U56/AJ56)</f>
        <v>1</v>
      </c>
      <c r="AM56" s="345">
        <f>1-(AJ56/(AI56/1.16))</f>
        <v>0</v>
      </c>
      <c r="BB56" s="350">
        <v>1</v>
      </c>
      <c r="BC56" s="350">
        <v>1</v>
      </c>
      <c r="BD56" s="350"/>
      <c r="BE56" s="350">
        <v>1</v>
      </c>
      <c r="BF56" s="350">
        <v>1</v>
      </c>
      <c r="BG56" s="350"/>
      <c r="BH56" s="350"/>
      <c r="BI56" s="350"/>
      <c r="BJ56" s="350"/>
      <c r="BK56" s="350">
        <v>9</v>
      </c>
      <c r="BL56" s="350">
        <f>SUM(BB56:BJ56)</f>
        <v>4</v>
      </c>
      <c r="BM56" s="548">
        <f>+BL56/BK56</f>
        <v>0.44444444444444442</v>
      </c>
      <c r="BN56" s="389"/>
      <c r="BO56" s="389"/>
      <c r="BP56" s="389"/>
      <c r="BQ56" s="389"/>
      <c r="BR56" s="549" t="str">
        <f>+AF56</f>
        <v>PENDIENTE INFORMACION DE PROVEEDOR</v>
      </c>
      <c r="BS56" s="388">
        <f>+AG56</f>
        <v>46342</v>
      </c>
      <c r="BT56" s="536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6">
      <c r="A57" s="536">
        <v>48</v>
      </c>
      <c r="B57" s="536">
        <v>1</v>
      </c>
      <c r="C57" s="537">
        <v>46241</v>
      </c>
      <c r="D57" s="536" t="s">
        <v>277</v>
      </c>
      <c r="E57" s="538" t="s">
        <v>1253</v>
      </c>
      <c r="F57" s="350" t="s">
        <v>176</v>
      </c>
      <c r="G57" s="536" t="s">
        <v>1279</v>
      </c>
      <c r="H57" s="536" t="s">
        <v>1280</v>
      </c>
      <c r="I57" s="539"/>
      <c r="J57" s="536" t="s">
        <v>375</v>
      </c>
      <c r="K57" s="536" t="s">
        <v>1169</v>
      </c>
      <c r="L57" s="536" t="s">
        <v>281</v>
      </c>
      <c r="M57" s="536">
        <v>1</v>
      </c>
      <c r="N57" s="540">
        <v>0.35</v>
      </c>
      <c r="O57" s="540">
        <f>N57*'Perry Ellis 2026 Fase 2'!$O$19</f>
        <v>3.8202499999999993</v>
      </c>
      <c r="P57" s="540">
        <f>N57*1.1</f>
        <v>0.38500000000000001</v>
      </c>
      <c r="Q57" s="540"/>
      <c r="R57" s="540">
        <f>N57*$R$17</f>
        <v>0</v>
      </c>
      <c r="S57" s="540">
        <f t="shared" si="0"/>
        <v>0</v>
      </c>
      <c r="T57" s="540">
        <f>(R57+S57)*23.37%</f>
        <v>0</v>
      </c>
      <c r="U57" s="541">
        <f>R57+S57+T57</f>
        <v>0</v>
      </c>
      <c r="V57" s="542">
        <v>149</v>
      </c>
      <c r="W57" s="540">
        <f>+V57/1.16</f>
        <v>128.44827586206898</v>
      </c>
      <c r="X57" s="543">
        <f>+W57*0.6</f>
        <v>77.068965517241381</v>
      </c>
      <c r="Y57" s="544">
        <f>U57/X57</f>
        <v>0</v>
      </c>
      <c r="Z57" s="546">
        <f>1-U57/X57</f>
        <v>1</v>
      </c>
      <c r="AA57" s="546">
        <f>1-(X57/(V57/1.16))</f>
        <v>0.4</v>
      </c>
      <c r="AB57" s="536" t="s">
        <v>284</v>
      </c>
      <c r="AC57" s="536" t="s">
        <v>67</v>
      </c>
      <c r="AD57" s="536">
        <v>6</v>
      </c>
      <c r="AE57" s="536">
        <v>144</v>
      </c>
      <c r="AF57" s="536" t="s">
        <v>1256</v>
      </c>
      <c r="AG57" s="388">
        <v>46342</v>
      </c>
      <c r="AH57" s="524"/>
      <c r="AI57" s="552">
        <f>V57*0.6</f>
        <v>89.399999999999991</v>
      </c>
      <c r="AJ57" s="540">
        <f>AI57/1.16</f>
        <v>77.068965517241381</v>
      </c>
      <c r="AK57" s="351">
        <f>U57/AJ57</f>
        <v>0</v>
      </c>
      <c r="AL57" s="351">
        <f>1-(U57/AJ57)</f>
        <v>1</v>
      </c>
      <c r="AM57" s="345">
        <f>1-(AJ57/(AI57/1.16))</f>
        <v>0</v>
      </c>
      <c r="BB57" s="350">
        <v>1</v>
      </c>
      <c r="BC57" s="350">
        <v>1</v>
      </c>
      <c r="BD57" s="350"/>
      <c r="BE57" s="350">
        <v>1</v>
      </c>
      <c r="BF57" s="350">
        <v>1</v>
      </c>
      <c r="BG57" s="350"/>
      <c r="BH57" s="350"/>
      <c r="BI57" s="350"/>
      <c r="BJ57" s="350"/>
      <c r="BK57" s="350">
        <v>9</v>
      </c>
      <c r="BL57" s="350">
        <f>SUM(BB57:BJ57)</f>
        <v>4</v>
      </c>
      <c r="BM57" s="548">
        <f>+BL57/BK57</f>
        <v>0.44444444444444442</v>
      </c>
      <c r="BN57" s="389"/>
      <c r="BO57" s="389"/>
      <c r="BP57" s="389"/>
      <c r="BQ57" s="389"/>
      <c r="BR57" s="549" t="str">
        <f>+AF57</f>
        <v>PENDIENTE INFORMACION DE PROVEEDOR</v>
      </c>
      <c r="BS57" s="388">
        <f>+AG57</f>
        <v>46342</v>
      </c>
      <c r="BT57" s="536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.25">
      <c r="A58" s="536">
        <v>49</v>
      </c>
      <c r="B58" s="536">
        <v>1</v>
      </c>
      <c r="C58" s="537">
        <v>46241</v>
      </c>
      <c r="D58" s="536" t="s">
        <v>277</v>
      </c>
      <c r="E58" s="538" t="s">
        <v>1281</v>
      </c>
      <c r="F58" s="350" t="s">
        <v>176</v>
      </c>
      <c r="G58" s="536" t="s">
        <v>1282</v>
      </c>
      <c r="H58" s="536" t="s">
        <v>1283</v>
      </c>
      <c r="I58" s="539" t="s">
        <v>1238</v>
      </c>
      <c r="J58" s="536" t="s">
        <v>1284</v>
      </c>
      <c r="K58" s="536" t="s">
        <v>1169</v>
      </c>
      <c r="L58" s="536" t="s">
        <v>281</v>
      </c>
      <c r="M58" s="536">
        <v>1</v>
      </c>
      <c r="N58" s="540">
        <v>0.45</v>
      </c>
      <c r="O58" s="540">
        <f>N58*'Perry Ellis 2026 Fase 2'!$O$19</f>
        <v>4.9117499999999996</v>
      </c>
      <c r="P58" s="540">
        <f>N58*1.1</f>
        <v>0.49500000000000005</v>
      </c>
      <c r="Q58" s="540"/>
      <c r="R58" s="540">
        <f>N58*$R$17</f>
        <v>0</v>
      </c>
      <c r="S58" s="540">
        <f t="shared" ref="S58:S66" si="2">R58*0.25</f>
        <v>0</v>
      </c>
      <c r="T58" s="540">
        <f>(R58+S58)*8.31%</f>
        <v>0</v>
      </c>
      <c r="U58" s="541">
        <f>R58+S58+T58</f>
        <v>0</v>
      </c>
      <c r="V58" s="542">
        <v>149</v>
      </c>
      <c r="W58" s="540">
        <f>+V58/1.16</f>
        <v>128.44827586206898</v>
      </c>
      <c r="X58" s="543">
        <f>+W58*0.6</f>
        <v>77.068965517241381</v>
      </c>
      <c r="Y58" s="544">
        <f>U58/X58</f>
        <v>0</v>
      </c>
      <c r="Z58" s="546">
        <f>1-U58/X58</f>
        <v>1</v>
      </c>
      <c r="AA58" s="546">
        <f>1-(X58/(V58/1.16))</f>
        <v>0.4</v>
      </c>
      <c r="AB58" s="536" t="s">
        <v>284</v>
      </c>
      <c r="AC58" s="536" t="s">
        <v>67</v>
      </c>
      <c r="AD58" s="536">
        <v>6</v>
      </c>
      <c r="AE58" s="536">
        <v>144</v>
      </c>
      <c r="AF58" s="536"/>
      <c r="AG58" s="388">
        <v>46342</v>
      </c>
      <c r="AH58" s="524"/>
      <c r="AI58" s="552">
        <f>V58*0.6</f>
        <v>89.399999999999991</v>
      </c>
      <c r="AJ58" s="540">
        <f>AI58/1.16</f>
        <v>77.068965517241381</v>
      </c>
      <c r="AK58" s="351">
        <f>U58/AJ58</f>
        <v>0</v>
      </c>
      <c r="AL58" s="351">
        <f>1-(U58/AJ58)</f>
        <v>1</v>
      </c>
      <c r="AM58" s="345">
        <f>1-(AJ58/(AI58/1.16))</f>
        <v>0</v>
      </c>
      <c r="BB58" s="350">
        <v>1</v>
      </c>
      <c r="BC58" s="350">
        <v>1</v>
      </c>
      <c r="BD58" s="350"/>
      <c r="BE58" s="350">
        <v>1</v>
      </c>
      <c r="BF58" s="350">
        <v>1</v>
      </c>
      <c r="BG58" s="350"/>
      <c r="BH58" s="350"/>
      <c r="BI58" s="350"/>
      <c r="BJ58" s="350"/>
      <c r="BK58" s="350">
        <v>9</v>
      </c>
      <c r="BL58" s="350">
        <f>SUM(BB58:BJ58)</f>
        <v>4</v>
      </c>
      <c r="BM58" s="548">
        <f>+BL58/BK58</f>
        <v>0.44444444444444442</v>
      </c>
      <c r="BN58" s="389"/>
      <c r="BO58" s="389"/>
      <c r="BP58" s="389"/>
      <c r="BQ58" s="389"/>
      <c r="BR58" s="549">
        <f>+AF58</f>
        <v>0</v>
      </c>
      <c r="BS58" s="388">
        <f>+AG58</f>
        <v>46342</v>
      </c>
      <c r="BT58" s="536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.25">
      <c r="A59" s="536">
        <v>50</v>
      </c>
      <c r="B59" s="536">
        <v>1</v>
      </c>
      <c r="C59" s="537">
        <v>46241</v>
      </c>
      <c r="D59" s="536" t="s">
        <v>277</v>
      </c>
      <c r="E59" s="538" t="s">
        <v>1281</v>
      </c>
      <c r="F59" s="350" t="s">
        <v>176</v>
      </c>
      <c r="G59" s="536" t="s">
        <v>1285</v>
      </c>
      <c r="H59" s="536" t="s">
        <v>1286</v>
      </c>
      <c r="I59" s="539" t="s">
        <v>1238</v>
      </c>
      <c r="J59" s="536" t="s">
        <v>482</v>
      </c>
      <c r="K59" s="536" t="s">
        <v>1169</v>
      </c>
      <c r="L59" s="536" t="s">
        <v>281</v>
      </c>
      <c r="M59" s="536">
        <v>1</v>
      </c>
      <c r="N59" s="540">
        <v>0.8</v>
      </c>
      <c r="O59" s="540">
        <f>N59*'Perry Ellis 2026 Fase 2'!$O$19</f>
        <v>8.7319999999999993</v>
      </c>
      <c r="P59" s="540">
        <f>N59*1.1</f>
        <v>0.88000000000000012</v>
      </c>
      <c r="Q59" s="540"/>
      <c r="R59" s="540">
        <f>N59*$R$17</f>
        <v>0</v>
      </c>
      <c r="S59" s="540">
        <f t="shared" si="2"/>
        <v>0</v>
      </c>
      <c r="T59" s="540">
        <f>(R59+S59)*5.01%</f>
        <v>0</v>
      </c>
      <c r="U59" s="541">
        <f>R59+S59+T59</f>
        <v>0</v>
      </c>
      <c r="V59" s="542">
        <v>179</v>
      </c>
      <c r="W59" s="540">
        <f>+V59/1.16</f>
        <v>154.31034482758622</v>
      </c>
      <c r="X59" s="543">
        <f>+W59*0.6</f>
        <v>92.58620689655173</v>
      </c>
      <c r="Y59" s="544">
        <f>U59/X59</f>
        <v>0</v>
      </c>
      <c r="Z59" s="546">
        <f>1-U59/X59</f>
        <v>1</v>
      </c>
      <c r="AA59" s="546">
        <f>1-(X59/(V59/1.16))</f>
        <v>0.4</v>
      </c>
      <c r="AB59" s="536" t="s">
        <v>284</v>
      </c>
      <c r="AC59" s="536" t="s">
        <v>67</v>
      </c>
      <c r="AD59" s="536">
        <v>6</v>
      </c>
      <c r="AE59" s="536">
        <v>48</v>
      </c>
      <c r="AF59" s="536"/>
      <c r="AG59" s="388">
        <v>46342</v>
      </c>
      <c r="AH59" s="524"/>
      <c r="AI59" s="552">
        <v>109</v>
      </c>
      <c r="AJ59" s="540">
        <f>AI59/1.16</f>
        <v>93.965517241379317</v>
      </c>
      <c r="AK59" s="351">
        <f>U59/AJ59</f>
        <v>0</v>
      </c>
      <c r="AL59" s="351">
        <f>1-(U59/AJ59)</f>
        <v>1</v>
      </c>
      <c r="AM59" s="345">
        <f>1-(AJ59/(AI59/1.16))</f>
        <v>0</v>
      </c>
      <c r="BB59" s="350">
        <v>1</v>
      </c>
      <c r="BC59" s="350">
        <v>1</v>
      </c>
      <c r="BD59" s="350"/>
      <c r="BE59" s="350">
        <v>1</v>
      </c>
      <c r="BF59" s="350">
        <v>1</v>
      </c>
      <c r="BG59" s="350"/>
      <c r="BH59" s="350"/>
      <c r="BI59" s="350"/>
      <c r="BJ59" s="350"/>
      <c r="BK59" s="350">
        <v>9</v>
      </c>
      <c r="BL59" s="350">
        <f>SUM(BB59:BJ59)</f>
        <v>4</v>
      </c>
      <c r="BM59" s="548">
        <f>+BL59/BK59</f>
        <v>0.44444444444444442</v>
      </c>
      <c r="BN59" s="389"/>
      <c r="BO59" s="389"/>
      <c r="BP59" s="389"/>
      <c r="BQ59" s="389"/>
      <c r="BR59" s="549">
        <f>+AF59</f>
        <v>0</v>
      </c>
      <c r="BS59" s="388">
        <f>+AG59</f>
        <v>46342</v>
      </c>
      <c r="BT59" s="536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.25">
      <c r="A60" s="536">
        <v>51</v>
      </c>
      <c r="B60" s="536">
        <v>1</v>
      </c>
      <c r="C60" s="537">
        <v>46241</v>
      </c>
      <c r="D60" s="536" t="s">
        <v>277</v>
      </c>
      <c r="E60" s="538" t="s">
        <v>1281</v>
      </c>
      <c r="F60" s="350" t="s">
        <v>176</v>
      </c>
      <c r="G60" s="536" t="s">
        <v>1287</v>
      </c>
      <c r="H60" s="536" t="s">
        <v>1288</v>
      </c>
      <c r="I60" s="551"/>
      <c r="J60" s="536" t="s">
        <v>482</v>
      </c>
      <c r="K60" s="536" t="s">
        <v>1169</v>
      </c>
      <c r="L60" s="536" t="s">
        <v>281</v>
      </c>
      <c r="M60" s="536">
        <v>1</v>
      </c>
      <c r="N60" s="540">
        <v>0.8</v>
      </c>
      <c r="O60" s="540">
        <f>N60*'Perry Ellis 2026 Fase 2'!$O$19</f>
        <v>8.7319999999999993</v>
      </c>
      <c r="P60" s="540">
        <f>N60*1.1</f>
        <v>0.88000000000000012</v>
      </c>
      <c r="Q60" s="540"/>
      <c r="R60" s="540">
        <f>N60*$R$17</f>
        <v>0</v>
      </c>
      <c r="S60" s="540">
        <f t="shared" si="2"/>
        <v>0</v>
      </c>
      <c r="T60" s="540">
        <f>(R60+S60)*5.01%</f>
        <v>0</v>
      </c>
      <c r="U60" s="541">
        <f>R60+S60+T60</f>
        <v>0</v>
      </c>
      <c r="V60" s="542">
        <v>179</v>
      </c>
      <c r="W60" s="540">
        <f>+V60/1.16</f>
        <v>154.31034482758622</v>
      </c>
      <c r="X60" s="543">
        <f>+W60*0.6</f>
        <v>92.58620689655173</v>
      </c>
      <c r="Y60" s="544">
        <f>U60/X60</f>
        <v>0</v>
      </c>
      <c r="Z60" s="546">
        <f>1-U60/X60</f>
        <v>1</v>
      </c>
      <c r="AA60" s="546">
        <f>1-(X60/(V60/1.16))</f>
        <v>0.4</v>
      </c>
      <c r="AB60" s="536" t="s">
        <v>284</v>
      </c>
      <c r="AC60" s="536" t="s">
        <v>67</v>
      </c>
      <c r="AD60" s="536">
        <v>6</v>
      </c>
      <c r="AE60" s="536">
        <v>48</v>
      </c>
      <c r="AF60" s="536"/>
      <c r="AG60" s="388">
        <v>46342</v>
      </c>
      <c r="AH60" s="524"/>
      <c r="AI60" s="552">
        <v>109</v>
      </c>
      <c r="AJ60" s="540">
        <f>AI60/1.16</f>
        <v>93.965517241379317</v>
      </c>
      <c r="AK60" s="351">
        <f>U60/AJ60</f>
        <v>0</v>
      </c>
      <c r="AL60" s="351">
        <f>1-(U60/AJ60)</f>
        <v>1</v>
      </c>
      <c r="AM60" s="345">
        <f>1-(AJ60/(AI60/1.16))</f>
        <v>0</v>
      </c>
      <c r="BB60" s="350">
        <v>1</v>
      </c>
      <c r="BC60" s="350">
        <v>1</v>
      </c>
      <c r="BD60" s="350"/>
      <c r="BE60" s="350">
        <v>1</v>
      </c>
      <c r="BF60" s="350">
        <v>1</v>
      </c>
      <c r="BG60" s="350"/>
      <c r="BH60" s="350"/>
      <c r="BI60" s="350"/>
      <c r="BJ60" s="350"/>
      <c r="BK60" s="350">
        <v>9</v>
      </c>
      <c r="BL60" s="350">
        <f>SUM(BB60:BJ60)</f>
        <v>4</v>
      </c>
      <c r="BM60" s="548">
        <f>+BL60/BK60</f>
        <v>0.44444444444444442</v>
      </c>
      <c r="BN60" s="389"/>
      <c r="BO60" s="389"/>
      <c r="BP60" s="389"/>
      <c r="BQ60" s="389"/>
      <c r="BR60" s="549">
        <f>+AF60</f>
        <v>0</v>
      </c>
      <c r="BS60" s="388">
        <f>+AG60</f>
        <v>46342</v>
      </c>
      <c r="BT60" s="536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7.25">
      <c r="A61" s="536">
        <v>52</v>
      </c>
      <c r="B61" s="536">
        <v>1</v>
      </c>
      <c r="C61" s="537">
        <v>46241</v>
      </c>
      <c r="D61" s="536" t="s">
        <v>277</v>
      </c>
      <c r="E61" s="538" t="s">
        <v>1281</v>
      </c>
      <c r="F61" s="350" t="s">
        <v>176</v>
      </c>
      <c r="G61" s="536" t="s">
        <v>1289</v>
      </c>
      <c r="H61" s="536" t="s">
        <v>1290</v>
      </c>
      <c r="I61" s="539"/>
      <c r="J61" s="536" t="s">
        <v>482</v>
      </c>
      <c r="K61" s="536" t="s">
        <v>1169</v>
      </c>
      <c r="L61" s="536" t="s">
        <v>281</v>
      </c>
      <c r="M61" s="536">
        <v>1</v>
      </c>
      <c r="N61" s="540">
        <v>0.8</v>
      </c>
      <c r="O61" s="540">
        <f>N61*'Perry Ellis 2026 Fase 2'!$O$19</f>
        <v>8.7319999999999993</v>
      </c>
      <c r="P61" s="540">
        <f>N61*1.1</f>
        <v>0.88000000000000012</v>
      </c>
      <c r="Q61" s="540"/>
      <c r="R61" s="540">
        <f>N61*$R$17</f>
        <v>0</v>
      </c>
      <c r="S61" s="540">
        <f t="shared" si="2"/>
        <v>0</v>
      </c>
      <c r="T61" s="540">
        <f>(R61+S61)*5.01%</f>
        <v>0</v>
      </c>
      <c r="U61" s="541">
        <f>R61+S61+T61</f>
        <v>0</v>
      </c>
      <c r="V61" s="542">
        <v>179</v>
      </c>
      <c r="W61" s="540">
        <f>+V61/1.16</f>
        <v>154.31034482758622</v>
      </c>
      <c r="X61" s="543">
        <f>+W61*0.6</f>
        <v>92.58620689655173</v>
      </c>
      <c r="Y61" s="544">
        <f>U61/X61</f>
        <v>0</v>
      </c>
      <c r="Z61" s="546">
        <f>1-U61/X61</f>
        <v>1</v>
      </c>
      <c r="AA61" s="546">
        <f>1-(X61/(V61/1.16))</f>
        <v>0.4</v>
      </c>
      <c r="AB61" s="536" t="s">
        <v>284</v>
      </c>
      <c r="AC61" s="536" t="s">
        <v>67</v>
      </c>
      <c r="AD61" s="536">
        <v>6</v>
      </c>
      <c r="AE61" s="536">
        <v>48</v>
      </c>
      <c r="AF61" s="536"/>
      <c r="AG61" s="388">
        <v>46342</v>
      </c>
      <c r="AH61" s="524"/>
      <c r="AI61" s="552">
        <v>109</v>
      </c>
      <c r="AJ61" s="540">
        <f>AI61/1.16</f>
        <v>93.965517241379317</v>
      </c>
      <c r="AK61" s="351">
        <f>U61/AJ61</f>
        <v>0</v>
      </c>
      <c r="AL61" s="351">
        <f>1-(U61/AJ61)</f>
        <v>1</v>
      </c>
      <c r="AM61" s="345">
        <f>1-(AJ61/(AI61/1.16))</f>
        <v>0</v>
      </c>
      <c r="BB61" s="350">
        <v>1</v>
      </c>
      <c r="BC61" s="350">
        <v>1</v>
      </c>
      <c r="BD61" s="350"/>
      <c r="BE61" s="350">
        <v>1</v>
      </c>
      <c r="BF61" s="350">
        <v>1</v>
      </c>
      <c r="BG61" s="350"/>
      <c r="BH61" s="350"/>
      <c r="BI61" s="350"/>
      <c r="BJ61" s="350"/>
      <c r="BK61" s="350">
        <v>9</v>
      </c>
      <c r="BL61" s="350">
        <f>SUM(BB61:BJ61)</f>
        <v>4</v>
      </c>
      <c r="BM61" s="548">
        <f>+BL61/BK61</f>
        <v>0.44444444444444442</v>
      </c>
      <c r="BN61" s="389"/>
      <c r="BO61" s="389"/>
      <c r="BP61" s="389"/>
      <c r="BQ61" s="389"/>
      <c r="BR61" s="549">
        <f>+AF61</f>
        <v>0</v>
      </c>
      <c r="BS61" s="388">
        <f>+AG61</f>
        <v>46342</v>
      </c>
      <c r="BT61" s="536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7.25">
      <c r="A62" s="536">
        <v>53</v>
      </c>
      <c r="B62" s="536">
        <v>1</v>
      </c>
      <c r="C62" s="537">
        <v>46241</v>
      </c>
      <c r="D62" s="536" t="s">
        <v>277</v>
      </c>
      <c r="E62" s="538" t="s">
        <v>1281</v>
      </c>
      <c r="F62" s="350" t="s">
        <v>176</v>
      </c>
      <c r="G62" s="536" t="s">
        <v>1291</v>
      </c>
      <c r="H62" s="536" t="s">
        <v>1292</v>
      </c>
      <c r="I62" s="539"/>
      <c r="J62" s="536" t="s">
        <v>482</v>
      </c>
      <c r="K62" s="536" t="s">
        <v>1169</v>
      </c>
      <c r="L62" s="536" t="s">
        <v>281</v>
      </c>
      <c r="M62" s="536">
        <v>1</v>
      </c>
      <c r="N62" s="540">
        <v>0.8</v>
      </c>
      <c r="O62" s="540">
        <f>N62*'Perry Ellis 2026 Fase 2'!$O$19</f>
        <v>8.7319999999999993</v>
      </c>
      <c r="P62" s="540">
        <f>N62*1.1</f>
        <v>0.88000000000000012</v>
      </c>
      <c r="Q62" s="540"/>
      <c r="R62" s="540">
        <f>N62*$R$17</f>
        <v>0</v>
      </c>
      <c r="S62" s="540">
        <f t="shared" si="2"/>
        <v>0</v>
      </c>
      <c r="T62" s="540">
        <f>(R62+S62)*5.01%</f>
        <v>0</v>
      </c>
      <c r="U62" s="541">
        <f>R62+S62+T62</f>
        <v>0</v>
      </c>
      <c r="V62" s="542">
        <v>179</v>
      </c>
      <c r="W62" s="540">
        <f>+V62/1.16</f>
        <v>154.31034482758622</v>
      </c>
      <c r="X62" s="543">
        <f>+W62*0.6</f>
        <v>92.58620689655173</v>
      </c>
      <c r="Y62" s="544">
        <f>U62/X62</f>
        <v>0</v>
      </c>
      <c r="Z62" s="546">
        <f>1-U62/X62</f>
        <v>1</v>
      </c>
      <c r="AA62" s="546">
        <f>1-(X62/(V62/1.16))</f>
        <v>0.4</v>
      </c>
      <c r="AB62" s="536" t="s">
        <v>284</v>
      </c>
      <c r="AC62" s="536" t="s">
        <v>67</v>
      </c>
      <c r="AD62" s="536">
        <v>6</v>
      </c>
      <c r="AE62" s="536">
        <v>48</v>
      </c>
      <c r="AF62" s="536"/>
      <c r="AG62" s="388">
        <v>46342</v>
      </c>
      <c r="AH62" s="524"/>
      <c r="AI62" s="552">
        <v>109</v>
      </c>
      <c r="AJ62" s="540">
        <f>AI62/1.16</f>
        <v>93.965517241379317</v>
      </c>
      <c r="AK62" s="351">
        <f>U62/AJ62</f>
        <v>0</v>
      </c>
      <c r="AL62" s="351">
        <f>1-(U62/AJ62)</f>
        <v>1</v>
      </c>
      <c r="AM62" s="345">
        <f>1-(AJ62/(AI62/1.16))</f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>SUM(BB62:BJ62)</f>
        <v>4</v>
      </c>
      <c r="BM62" s="548">
        <f>+BL62/BK62</f>
        <v>0.44444444444444442</v>
      </c>
      <c r="BN62" s="389"/>
      <c r="BO62" s="389"/>
      <c r="BP62" s="389"/>
      <c r="BQ62" s="389"/>
      <c r="BR62" s="549">
        <f>+AF62</f>
        <v>0</v>
      </c>
      <c r="BS62" s="388">
        <f>+AG62</f>
        <v>46342</v>
      </c>
      <c r="BT62" s="536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7.25">
      <c r="A63" s="536">
        <v>54</v>
      </c>
      <c r="B63" s="536">
        <v>1</v>
      </c>
      <c r="C63" s="537">
        <v>46241</v>
      </c>
      <c r="D63" s="536" t="s">
        <v>277</v>
      </c>
      <c r="E63" s="538" t="s">
        <v>1281</v>
      </c>
      <c r="F63" s="350" t="s">
        <v>176</v>
      </c>
      <c r="G63" s="536" t="s">
        <v>1293</v>
      </c>
      <c r="H63" s="536" t="s">
        <v>1294</v>
      </c>
      <c r="I63" s="539" t="s">
        <v>1238</v>
      </c>
      <c r="J63" s="536" t="s">
        <v>1295</v>
      </c>
      <c r="K63" s="536" t="s">
        <v>1169</v>
      </c>
      <c r="L63" s="536" t="s">
        <v>281</v>
      </c>
      <c r="M63" s="536">
        <v>1</v>
      </c>
      <c r="N63" s="540">
        <v>0.65</v>
      </c>
      <c r="O63" s="540">
        <f>N63*'Perry Ellis 2026 Fase 2'!$O$19</f>
        <v>7.0947499999999994</v>
      </c>
      <c r="P63" s="540">
        <f>N63*1.1</f>
        <v>0.71500000000000008</v>
      </c>
      <c r="Q63" s="540"/>
      <c r="R63" s="540">
        <f>N63*$R$17</f>
        <v>0</v>
      </c>
      <c r="S63" s="540">
        <f t="shared" si="2"/>
        <v>0</v>
      </c>
      <c r="T63" s="540">
        <f>(R63+S63)*7.08%</f>
        <v>0</v>
      </c>
      <c r="U63" s="541">
        <f>R63+S63+T63</f>
        <v>0</v>
      </c>
      <c r="V63" s="542">
        <v>169</v>
      </c>
      <c r="W63" s="540">
        <f>+V63/1.16</f>
        <v>145.68965517241381</v>
      </c>
      <c r="X63" s="543">
        <f>+W63*0.6</f>
        <v>87.413793103448285</v>
      </c>
      <c r="Y63" s="544">
        <f>U63/X63</f>
        <v>0</v>
      </c>
      <c r="Z63" s="546">
        <f>1-U63/X63</f>
        <v>1</v>
      </c>
      <c r="AA63" s="546">
        <f>1-(X63/(V63/1.16))</f>
        <v>0.4</v>
      </c>
      <c r="AB63" s="536" t="s">
        <v>284</v>
      </c>
      <c r="AC63" s="536" t="s">
        <v>67</v>
      </c>
      <c r="AD63" s="536">
        <v>6</v>
      </c>
      <c r="AE63" s="536">
        <v>144</v>
      </c>
      <c r="AF63" s="536"/>
      <c r="AG63" s="536"/>
      <c r="AH63" s="524"/>
      <c r="AI63" s="552">
        <v>109</v>
      </c>
      <c r="AJ63" s="540">
        <f>AI63/1.16</f>
        <v>93.965517241379317</v>
      </c>
      <c r="AK63" s="351">
        <f>U63/AJ63</f>
        <v>0</v>
      </c>
      <c r="AL63" s="351">
        <f>1-(U63/AJ63)</f>
        <v>1</v>
      </c>
      <c r="AM63" s="345">
        <f>1-(AJ63/(AI63/1.16))</f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>SUM(BB63:BJ63)</f>
        <v>4</v>
      </c>
      <c r="BM63" s="548">
        <f>+BL63/BK63</f>
        <v>0.44444444444444442</v>
      </c>
      <c r="BN63" s="389"/>
      <c r="BO63" s="389"/>
      <c r="BP63" s="389"/>
      <c r="BQ63" s="389"/>
      <c r="BR63" s="549">
        <f>+AF63</f>
        <v>0</v>
      </c>
      <c r="BS63" s="388">
        <f>+AG63</f>
        <v>0</v>
      </c>
      <c r="BT63" s="536"/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7.25">
      <c r="A64" s="536">
        <v>55</v>
      </c>
      <c r="B64" s="536">
        <v>1</v>
      </c>
      <c r="C64" s="537">
        <v>46241</v>
      </c>
      <c r="D64" s="536" t="s">
        <v>277</v>
      </c>
      <c r="E64" s="538" t="s">
        <v>1281</v>
      </c>
      <c r="F64" s="350" t="s">
        <v>176</v>
      </c>
      <c r="G64" s="536" t="s">
        <v>1296</v>
      </c>
      <c r="H64" s="536" t="s">
        <v>1297</v>
      </c>
      <c r="I64" s="539"/>
      <c r="J64" s="536" t="s">
        <v>1295</v>
      </c>
      <c r="K64" s="536" t="s">
        <v>1169</v>
      </c>
      <c r="L64" s="536" t="s">
        <v>281</v>
      </c>
      <c r="M64" s="536">
        <v>1</v>
      </c>
      <c r="N64" s="540">
        <v>0.65</v>
      </c>
      <c r="O64" s="540">
        <f>N64*'Perry Ellis 2026 Fase 2'!$O$19</f>
        <v>7.0947499999999994</v>
      </c>
      <c r="P64" s="540">
        <f>N64*1.1</f>
        <v>0.71500000000000008</v>
      </c>
      <c r="Q64" s="540"/>
      <c r="R64" s="540">
        <f>N64*$R$17</f>
        <v>0</v>
      </c>
      <c r="S64" s="540">
        <f t="shared" si="2"/>
        <v>0</v>
      </c>
      <c r="T64" s="540">
        <f>(R64+S64)*7.08%</f>
        <v>0</v>
      </c>
      <c r="U64" s="541">
        <f>R64+S64+T64</f>
        <v>0</v>
      </c>
      <c r="V64" s="542">
        <v>169</v>
      </c>
      <c r="W64" s="540">
        <f>+V64/1.16</f>
        <v>145.68965517241381</v>
      </c>
      <c r="X64" s="543">
        <f>+W64*0.6</f>
        <v>87.413793103448285</v>
      </c>
      <c r="Y64" s="544">
        <f>U64/X64</f>
        <v>0</v>
      </c>
      <c r="Z64" s="546">
        <f>1-U64/X64</f>
        <v>1</v>
      </c>
      <c r="AA64" s="546">
        <f>1-(X64/(V64/1.16))</f>
        <v>0.4</v>
      </c>
      <c r="AB64" s="536" t="s">
        <v>284</v>
      </c>
      <c r="AC64" s="536" t="s">
        <v>67</v>
      </c>
      <c r="AD64" s="536">
        <v>6</v>
      </c>
      <c r="AE64" s="536">
        <v>144</v>
      </c>
      <c r="AF64" s="536"/>
      <c r="AG64" s="536"/>
      <c r="AH64" s="524"/>
      <c r="AI64" s="552">
        <v>109</v>
      </c>
      <c r="AJ64" s="540">
        <f>AI64/1.16</f>
        <v>93.965517241379317</v>
      </c>
      <c r="AK64" s="351">
        <f>U64/AJ64</f>
        <v>0</v>
      </c>
      <c r="AL64" s="351">
        <f>1-(U64/AJ64)</f>
        <v>1</v>
      </c>
      <c r="AM64" s="345">
        <f>1-(AJ64/(AI64/1.16))</f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>SUM(BB64:BJ64)</f>
        <v>4</v>
      </c>
      <c r="BM64" s="548">
        <f>+BL64/BK64</f>
        <v>0.44444444444444442</v>
      </c>
      <c r="BN64" s="389"/>
      <c r="BO64" s="389"/>
      <c r="BP64" s="389"/>
      <c r="BQ64" s="389"/>
      <c r="BR64" s="549">
        <f>+AF64</f>
        <v>0</v>
      </c>
      <c r="BS64" s="388">
        <f>+AG64</f>
        <v>0</v>
      </c>
      <c r="BT64" s="536"/>
    </row>
    <row r="65" spans="1:72" ht="17.25">
      <c r="A65" s="536">
        <v>56</v>
      </c>
      <c r="B65" s="536">
        <v>1</v>
      </c>
      <c r="C65" s="537">
        <v>46241</v>
      </c>
      <c r="D65" s="536" t="s">
        <v>277</v>
      </c>
      <c r="E65" s="538" t="s">
        <v>1281</v>
      </c>
      <c r="F65" s="350" t="s">
        <v>176</v>
      </c>
      <c r="G65" s="536" t="s">
        <v>1298</v>
      </c>
      <c r="H65" s="536" t="s">
        <v>1299</v>
      </c>
      <c r="I65" s="551" t="s">
        <v>1238</v>
      </c>
      <c r="J65" s="536" t="s">
        <v>1295</v>
      </c>
      <c r="K65" s="536" t="s">
        <v>1169</v>
      </c>
      <c r="L65" s="536" t="s">
        <v>281</v>
      </c>
      <c r="M65" s="536">
        <v>1</v>
      </c>
      <c r="N65" s="540">
        <v>0.45</v>
      </c>
      <c r="O65" s="540">
        <f>N65*'Perry Ellis 2026 Fase 2'!$O$19</f>
        <v>4.9117499999999996</v>
      </c>
      <c r="P65" s="540">
        <f>N65*1.1</f>
        <v>0.49500000000000005</v>
      </c>
      <c r="Q65" s="540"/>
      <c r="R65" s="540">
        <f>N65*$R$17</f>
        <v>0</v>
      </c>
      <c r="S65" s="540">
        <f t="shared" si="2"/>
        <v>0</v>
      </c>
      <c r="T65" s="540">
        <f>(R65+S65)*10.23%</f>
        <v>0</v>
      </c>
      <c r="U65" s="541">
        <f>R65+S65+T65</f>
        <v>0</v>
      </c>
      <c r="V65" s="542">
        <v>169</v>
      </c>
      <c r="W65" s="540">
        <f>+V65/1.16</f>
        <v>145.68965517241381</v>
      </c>
      <c r="X65" s="543">
        <f>+W65*0.6</f>
        <v>87.413793103448285</v>
      </c>
      <c r="Y65" s="544">
        <f>U65/X65</f>
        <v>0</v>
      </c>
      <c r="Z65" s="546">
        <f>1-U65/X65</f>
        <v>1</v>
      </c>
      <c r="AA65" s="546">
        <f>1-(X65/(V65/1.16))</f>
        <v>0.4</v>
      </c>
      <c r="AB65" s="536" t="s">
        <v>284</v>
      </c>
      <c r="AC65" s="536" t="s">
        <v>67</v>
      </c>
      <c r="AD65" s="536">
        <v>6</v>
      </c>
      <c r="AE65" s="536">
        <v>144</v>
      </c>
      <c r="AF65" s="536"/>
      <c r="AG65" s="536"/>
      <c r="AH65" s="524"/>
      <c r="AI65" s="552">
        <v>99</v>
      </c>
      <c r="AJ65" s="540">
        <f>AI65/1.16</f>
        <v>85.344827586206904</v>
      </c>
      <c r="AK65" s="351">
        <f>U65/AJ65</f>
        <v>0</v>
      </c>
      <c r="AL65" s="351">
        <f>1-(U65/AJ65)</f>
        <v>1</v>
      </c>
      <c r="AM65" s="345">
        <f>1-(AJ65/(AI65/1.16))</f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>SUM(BB65:BJ65)</f>
        <v>4</v>
      </c>
      <c r="BM65" s="548">
        <f>+BL65/BK65</f>
        <v>0.44444444444444442</v>
      </c>
      <c r="BN65" s="389"/>
      <c r="BO65" s="389"/>
      <c r="BP65" s="389"/>
      <c r="BQ65" s="389"/>
      <c r="BR65" s="549">
        <f>+AF65</f>
        <v>0</v>
      </c>
      <c r="BS65" s="388">
        <f>+AG65</f>
        <v>0</v>
      </c>
      <c r="BT65" s="536"/>
    </row>
    <row r="66" spans="1:72" ht="17.25">
      <c r="A66" s="536">
        <v>57</v>
      </c>
      <c r="B66" s="536">
        <v>1</v>
      </c>
      <c r="C66" s="537">
        <v>46241</v>
      </c>
      <c r="D66" s="536" t="s">
        <v>277</v>
      </c>
      <c r="E66" s="538" t="s">
        <v>1281</v>
      </c>
      <c r="F66" s="350" t="s">
        <v>176</v>
      </c>
      <c r="G66" s="536" t="s">
        <v>1300</v>
      </c>
      <c r="H66" s="536" t="s">
        <v>1301</v>
      </c>
      <c r="I66" s="539"/>
      <c r="J66" s="536" t="s">
        <v>1295</v>
      </c>
      <c r="K66" s="536" t="s">
        <v>1169</v>
      </c>
      <c r="L66" s="536" t="s">
        <v>281</v>
      </c>
      <c r="M66" s="536">
        <v>1</v>
      </c>
      <c r="N66" s="540">
        <v>0.45</v>
      </c>
      <c r="O66" s="540">
        <f>N66*'Perry Ellis 2026 Fase 2'!$O$19</f>
        <v>4.9117499999999996</v>
      </c>
      <c r="P66" s="540">
        <f>N66*1.1</f>
        <v>0.49500000000000005</v>
      </c>
      <c r="Q66" s="540"/>
      <c r="R66" s="540">
        <f>N66*$R$17</f>
        <v>0</v>
      </c>
      <c r="S66" s="540">
        <f t="shared" si="2"/>
        <v>0</v>
      </c>
      <c r="T66" s="540">
        <f>(R66+S66)*10.23%</f>
        <v>0</v>
      </c>
      <c r="U66" s="541">
        <f>R66+S66+T66</f>
        <v>0</v>
      </c>
      <c r="V66" s="542">
        <v>169</v>
      </c>
      <c r="W66" s="540">
        <f>+V66/1.16</f>
        <v>145.68965517241381</v>
      </c>
      <c r="X66" s="543">
        <f>+W66*0.6</f>
        <v>87.413793103448285</v>
      </c>
      <c r="Y66" s="544">
        <f>U66/X66</f>
        <v>0</v>
      </c>
      <c r="Z66" s="546">
        <f>1-U66/X66</f>
        <v>1</v>
      </c>
      <c r="AA66" s="546">
        <f>1-(X66/(V66/1.16))</f>
        <v>0.4</v>
      </c>
      <c r="AB66" s="536" t="s">
        <v>284</v>
      </c>
      <c r="AC66" s="536" t="s">
        <v>67</v>
      </c>
      <c r="AD66" s="536">
        <v>6</v>
      </c>
      <c r="AE66" s="536">
        <v>144</v>
      </c>
      <c r="AF66" s="536"/>
      <c r="AG66" s="536"/>
      <c r="AH66" s="524"/>
      <c r="AI66" s="552">
        <v>99</v>
      </c>
      <c r="AJ66" s="554">
        <f>AI66/1.16</f>
        <v>85.344827586206904</v>
      </c>
      <c r="AK66" s="351">
        <f>U66/AJ66</f>
        <v>0</v>
      </c>
      <c r="AL66" s="351">
        <f>1-(U66/AJ66)</f>
        <v>1</v>
      </c>
      <c r="AM66" s="345">
        <f>1-(AJ66/(AI66/1.16))</f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>SUM(BB66:BJ66)</f>
        <v>4</v>
      </c>
      <c r="BM66" s="548">
        <f>+BL66/BK66</f>
        <v>0.44444444444444442</v>
      </c>
      <c r="BN66" s="389"/>
      <c r="BO66" s="389"/>
      <c r="BP66" s="389"/>
      <c r="BQ66" s="389"/>
      <c r="BR66" s="549">
        <f>+AF66</f>
        <v>0</v>
      </c>
      <c r="BS66" s="388">
        <f>+AG66</f>
        <v>0</v>
      </c>
      <c r="BT66" s="536"/>
    </row>
    <row r="67" spans="1:72" ht="17.25">
      <c r="A67" s="536">
        <v>58</v>
      </c>
      <c r="B67" s="536">
        <v>1</v>
      </c>
      <c r="C67" s="537">
        <v>46241</v>
      </c>
      <c r="D67" s="536" t="s">
        <v>277</v>
      </c>
      <c r="E67" s="538" t="s">
        <v>1281</v>
      </c>
      <c r="F67" s="350" t="s">
        <v>176</v>
      </c>
      <c r="G67" s="536" t="s">
        <v>1302</v>
      </c>
      <c r="H67" s="536" t="s">
        <v>1303</v>
      </c>
      <c r="I67" s="539"/>
      <c r="J67" s="536" t="s">
        <v>375</v>
      </c>
      <c r="K67" s="536" t="s">
        <v>1169</v>
      </c>
      <c r="L67" s="536" t="s">
        <v>281</v>
      </c>
      <c r="M67" s="536">
        <v>1</v>
      </c>
      <c r="N67" s="540">
        <v>0.36</v>
      </c>
      <c r="O67" s="540">
        <f>N67*'Perry Ellis 2026 Fase 2'!$O$19</f>
        <v>3.9293999999999993</v>
      </c>
      <c r="P67" s="540">
        <f>N67*1.1</f>
        <v>0.39600000000000002</v>
      </c>
      <c r="Q67" s="540"/>
      <c r="R67" s="540">
        <f>N67*$R$17</f>
        <v>0</v>
      </c>
      <c r="S67" s="540">
        <f>R67*0.36</f>
        <v>0</v>
      </c>
      <c r="T67" s="540">
        <f>(R67+S67)*2.72%</f>
        <v>0</v>
      </c>
      <c r="U67" s="541">
        <f>R67+S67+T67</f>
        <v>0</v>
      </c>
      <c r="V67" s="542">
        <v>149</v>
      </c>
      <c r="W67" s="540">
        <f>+V67/1.16</f>
        <v>128.44827586206898</v>
      </c>
      <c r="X67" s="543">
        <f>+W67*0.6</f>
        <v>77.068965517241381</v>
      </c>
      <c r="Y67" s="544">
        <f>U67/X67</f>
        <v>0</v>
      </c>
      <c r="Z67" s="546">
        <f>1-U67/X67</f>
        <v>1</v>
      </c>
      <c r="AA67" s="546">
        <f>1-(X67/(V67/1.16))</f>
        <v>0.4</v>
      </c>
      <c r="AB67" s="536" t="s">
        <v>284</v>
      </c>
      <c r="AC67" s="536" t="s">
        <v>67</v>
      </c>
      <c r="AD67" s="536">
        <v>6</v>
      </c>
      <c r="AE67" s="536">
        <v>144</v>
      </c>
      <c r="AF67" s="536"/>
      <c r="AG67" s="388">
        <v>46342</v>
      </c>
      <c r="AH67" s="524"/>
      <c r="AI67" s="552">
        <v>89</v>
      </c>
      <c r="AJ67" s="554">
        <f>AI67/1.16</f>
        <v>76.724137931034491</v>
      </c>
      <c r="AK67" s="351">
        <f>U67/AJ67</f>
        <v>0</v>
      </c>
      <c r="AL67" s="351">
        <f>1-(U67/AJ67)</f>
        <v>1</v>
      </c>
      <c r="AM67" s="345">
        <f>1-(AJ67/(AI67/1.16))</f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>SUM(BB67:BJ67)</f>
        <v>4</v>
      </c>
      <c r="BM67" s="548">
        <f>+BL67/BK67</f>
        <v>0.44444444444444442</v>
      </c>
      <c r="BN67" s="389"/>
      <c r="BO67" s="389"/>
      <c r="BP67" s="389"/>
      <c r="BQ67" s="389"/>
      <c r="BR67" s="549">
        <f>+AF67</f>
        <v>0</v>
      </c>
      <c r="BS67" s="388">
        <f>+AG67</f>
        <v>46342</v>
      </c>
      <c r="BT67" s="536"/>
    </row>
    <row r="68" spans="1:72" ht="17.25">
      <c r="A68" s="536">
        <v>59</v>
      </c>
      <c r="B68" s="536">
        <v>1</v>
      </c>
      <c r="C68" s="537">
        <v>46241</v>
      </c>
      <c r="D68" s="536" t="s">
        <v>277</v>
      </c>
      <c r="E68" s="538" t="s">
        <v>1281</v>
      </c>
      <c r="F68" s="350" t="s">
        <v>176</v>
      </c>
      <c r="G68" s="536" t="s">
        <v>1304</v>
      </c>
      <c r="H68" s="536" t="s">
        <v>1305</v>
      </c>
      <c r="I68" s="539"/>
      <c r="J68" s="536" t="s">
        <v>375</v>
      </c>
      <c r="K68" s="536" t="s">
        <v>1169</v>
      </c>
      <c r="L68" s="536" t="s">
        <v>281</v>
      </c>
      <c r="M68" s="536">
        <v>1</v>
      </c>
      <c r="N68" s="540">
        <v>0.36</v>
      </c>
      <c r="O68" s="540">
        <f>N68*'Perry Ellis 2026 Fase 2'!$O$19</f>
        <v>3.9293999999999993</v>
      </c>
      <c r="P68" s="540">
        <f>N68*1.1</f>
        <v>0.39600000000000002</v>
      </c>
      <c r="Q68" s="540"/>
      <c r="R68" s="540">
        <f>N68*$R$17</f>
        <v>0</v>
      </c>
      <c r="S68" s="540">
        <f>R68*0.36</f>
        <v>0</v>
      </c>
      <c r="T68" s="540">
        <f>(R68+S68)*2.72%</f>
        <v>0</v>
      </c>
      <c r="U68" s="541">
        <f>R68+S68+T68</f>
        <v>0</v>
      </c>
      <c r="V68" s="542">
        <v>149</v>
      </c>
      <c r="W68" s="540">
        <f>+V68/1.16</f>
        <v>128.44827586206898</v>
      </c>
      <c r="X68" s="543">
        <f>+W68*0.6</f>
        <v>77.068965517241381</v>
      </c>
      <c r="Y68" s="544">
        <f>U68/X68</f>
        <v>0</v>
      </c>
      <c r="Z68" s="546">
        <f>1-U68/X68</f>
        <v>1</v>
      </c>
      <c r="AA68" s="546">
        <f>1-(X68/(V68/1.16))</f>
        <v>0.4</v>
      </c>
      <c r="AB68" s="536" t="s">
        <v>284</v>
      </c>
      <c r="AC68" s="536" t="s">
        <v>67</v>
      </c>
      <c r="AD68" s="536">
        <v>6</v>
      </c>
      <c r="AE68" s="536">
        <v>144</v>
      </c>
      <c r="AF68" s="536"/>
      <c r="AG68" s="388">
        <v>46342</v>
      </c>
      <c r="AH68" s="524"/>
      <c r="AI68" s="552">
        <f>V68*0.6</f>
        <v>89.399999999999991</v>
      </c>
      <c r="AJ68" s="554">
        <f>AI68/1.16</f>
        <v>77.068965517241381</v>
      </c>
      <c r="AK68" s="351">
        <f>U68/AJ68</f>
        <v>0</v>
      </c>
      <c r="AL68" s="351">
        <f>1-(U68/AJ68)</f>
        <v>1</v>
      </c>
      <c r="AM68" s="345">
        <f>1-(AJ68/(AI68/1.16))</f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>SUM(BB68:BJ68)</f>
        <v>4</v>
      </c>
      <c r="BM68" s="548">
        <f>+BL68/BK68</f>
        <v>0.44444444444444442</v>
      </c>
      <c r="BN68" s="389"/>
      <c r="BO68" s="389"/>
      <c r="BP68" s="389"/>
      <c r="BQ68" s="389"/>
      <c r="BR68" s="549">
        <f>+AF68</f>
        <v>0</v>
      </c>
      <c r="BS68" s="388">
        <f>+AG68</f>
        <v>46342</v>
      </c>
      <c r="BT68" s="536"/>
    </row>
    <row r="69" spans="1:72" ht="17.25">
      <c r="A69" s="536">
        <v>60</v>
      </c>
      <c r="B69" s="536">
        <v>1</v>
      </c>
      <c r="C69" s="537">
        <v>46241</v>
      </c>
      <c r="D69" s="536" t="s">
        <v>277</v>
      </c>
      <c r="E69" s="538" t="s">
        <v>1281</v>
      </c>
      <c r="F69" s="350" t="s">
        <v>176</v>
      </c>
      <c r="G69" s="536" t="s">
        <v>1306</v>
      </c>
      <c r="H69" s="536" t="s">
        <v>1307</v>
      </c>
      <c r="I69" s="539"/>
      <c r="J69" s="536" t="s">
        <v>375</v>
      </c>
      <c r="K69" s="536" t="s">
        <v>1169</v>
      </c>
      <c r="L69" s="536" t="s">
        <v>281</v>
      </c>
      <c r="M69" s="536">
        <v>1</v>
      </c>
      <c r="N69" s="540">
        <v>0.36</v>
      </c>
      <c r="O69" s="540">
        <f>N69*'Perry Ellis 2026 Fase 2'!$O$19</f>
        <v>3.9293999999999993</v>
      </c>
      <c r="P69" s="540">
        <f>N69*1.1</f>
        <v>0.39600000000000002</v>
      </c>
      <c r="Q69" s="540"/>
      <c r="R69" s="540">
        <f>N69*$R$17</f>
        <v>0</v>
      </c>
      <c r="S69" s="540">
        <f>R69*0.36</f>
        <v>0</v>
      </c>
      <c r="T69" s="540">
        <f>(R69+S69)*2.72%</f>
        <v>0</v>
      </c>
      <c r="U69" s="541">
        <f>R69+S69+T69</f>
        <v>0</v>
      </c>
      <c r="V69" s="542">
        <v>149</v>
      </c>
      <c r="W69" s="540">
        <f>+V69/1.16</f>
        <v>128.44827586206898</v>
      </c>
      <c r="X69" s="543">
        <f>+W69*0.6</f>
        <v>77.068965517241381</v>
      </c>
      <c r="Y69" s="544">
        <f>U69/X69</f>
        <v>0</v>
      </c>
      <c r="Z69" s="546">
        <f>1-U69/X69</f>
        <v>1</v>
      </c>
      <c r="AA69" s="546">
        <f>1-(X69/(V69/1.16))</f>
        <v>0.4</v>
      </c>
      <c r="AB69" s="536" t="s">
        <v>284</v>
      </c>
      <c r="AC69" s="536" t="s">
        <v>67</v>
      </c>
      <c r="AD69" s="536">
        <v>6</v>
      </c>
      <c r="AE69" s="536">
        <v>144</v>
      </c>
      <c r="AF69" s="536"/>
      <c r="AG69" s="388">
        <v>46342</v>
      </c>
      <c r="AH69" s="524"/>
      <c r="AI69" s="552">
        <f>V69*0.6</f>
        <v>89.399999999999991</v>
      </c>
      <c r="AJ69" s="554">
        <f>AI69/1.16</f>
        <v>77.068965517241381</v>
      </c>
      <c r="AK69" s="351">
        <f>U69/AJ69</f>
        <v>0</v>
      </c>
      <c r="AL69" s="351">
        <f>1-(U69/AJ69)</f>
        <v>1</v>
      </c>
      <c r="AM69" s="345">
        <f>1-(AJ69/(AI69/1.16))</f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>SUM(BB69:BJ69)</f>
        <v>4</v>
      </c>
      <c r="BM69" s="548">
        <f>+BL69/BK69</f>
        <v>0.44444444444444442</v>
      </c>
      <c r="BN69" s="389"/>
      <c r="BO69" s="389"/>
      <c r="BP69" s="389"/>
      <c r="BQ69" s="389"/>
      <c r="BR69" s="549">
        <f>+AF69</f>
        <v>0</v>
      </c>
      <c r="BS69" s="388">
        <f>+AG69</f>
        <v>46342</v>
      </c>
      <c r="BT69" s="536"/>
    </row>
    <row r="70" spans="1:72" ht="36">
      <c r="A70" s="536">
        <v>61</v>
      </c>
      <c r="B70" s="536">
        <v>1</v>
      </c>
      <c r="C70" s="537">
        <v>46241</v>
      </c>
      <c r="D70" s="536" t="s">
        <v>277</v>
      </c>
      <c r="E70" s="538" t="s">
        <v>1281</v>
      </c>
      <c r="F70" s="350" t="s">
        <v>176</v>
      </c>
      <c r="G70" s="536" t="s">
        <v>1308</v>
      </c>
      <c r="H70" s="536" t="s">
        <v>1309</v>
      </c>
      <c r="I70" s="539"/>
      <c r="J70" s="536" t="s">
        <v>1310</v>
      </c>
      <c r="K70" s="536" t="s">
        <v>1169</v>
      </c>
      <c r="L70" s="536" t="s">
        <v>281</v>
      </c>
      <c r="M70" s="536">
        <v>1</v>
      </c>
      <c r="N70" s="540">
        <v>0.55000000000000004</v>
      </c>
      <c r="O70" s="540">
        <f>N70*'Perry Ellis 2026 Fase 2'!$O$19</f>
        <v>6.0032500000000004</v>
      </c>
      <c r="P70" s="540">
        <f>N70*1.1</f>
        <v>0.60500000000000009</v>
      </c>
      <c r="Q70" s="540"/>
      <c r="R70" s="540">
        <f>N70*$R$17</f>
        <v>0</v>
      </c>
      <c r="S70" s="540">
        <f>R70*0.25</f>
        <v>0</v>
      </c>
      <c r="T70" s="540">
        <f>(R70+S70)*4.94%</f>
        <v>0</v>
      </c>
      <c r="U70" s="541">
        <f>R70+S70+T70</f>
        <v>0</v>
      </c>
      <c r="V70" s="542">
        <v>199</v>
      </c>
      <c r="W70" s="540">
        <f>+V70/1.16</f>
        <v>171.55172413793105</v>
      </c>
      <c r="X70" s="543">
        <f>+W70*0.6</f>
        <v>102.93103448275862</v>
      </c>
      <c r="Y70" s="544">
        <f>U70/X70</f>
        <v>0</v>
      </c>
      <c r="Z70" s="546">
        <f>1-U70/X70</f>
        <v>1</v>
      </c>
      <c r="AA70" s="546">
        <f>1-(X70/(V70/1.16))</f>
        <v>0.4</v>
      </c>
      <c r="AB70" s="536" t="s">
        <v>284</v>
      </c>
      <c r="AC70" s="536" t="s">
        <v>67</v>
      </c>
      <c r="AD70" s="536">
        <v>6</v>
      </c>
      <c r="AE70" s="536">
        <v>144</v>
      </c>
      <c r="AF70" s="536" t="s">
        <v>1204</v>
      </c>
      <c r="AG70" s="388">
        <v>46335</v>
      </c>
      <c r="AH70" s="524"/>
      <c r="AI70" s="552">
        <f>V70*0.6</f>
        <v>119.39999999999999</v>
      </c>
      <c r="AJ70" s="554">
        <f>AI70/1.16</f>
        <v>102.93103448275862</v>
      </c>
      <c r="AK70" s="351">
        <f>U70/AJ70</f>
        <v>0</v>
      </c>
      <c r="AL70" s="351">
        <f>1-(U70/AJ70)</f>
        <v>1</v>
      </c>
      <c r="AM70" s="345">
        <f>1-(AJ70/(AI70/1.16))</f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>SUM(BB70:BJ70)</f>
        <v>4</v>
      </c>
      <c r="BM70" s="548">
        <f>+BL70/BK70</f>
        <v>0.44444444444444442</v>
      </c>
      <c r="BN70" s="389"/>
      <c r="BO70" s="389"/>
      <c r="BP70" s="389"/>
      <c r="BQ70" s="389"/>
      <c r="BR70" s="549" t="str">
        <f>+AF70</f>
        <v>En elaboración de archivos de impresión</v>
      </c>
      <c r="BS70" s="388">
        <f>+AG70</f>
        <v>46335</v>
      </c>
      <c r="BT70" s="536"/>
    </row>
    <row r="71" spans="1:72" ht="36">
      <c r="A71" s="536">
        <v>62</v>
      </c>
      <c r="B71" s="536">
        <v>1</v>
      </c>
      <c r="C71" s="537">
        <v>46241</v>
      </c>
      <c r="D71" s="536" t="s">
        <v>277</v>
      </c>
      <c r="E71" s="538" t="s">
        <v>1281</v>
      </c>
      <c r="F71" s="350" t="s">
        <v>176</v>
      </c>
      <c r="G71" s="536" t="s">
        <v>1311</v>
      </c>
      <c r="H71" s="536" t="s">
        <v>1312</v>
      </c>
      <c r="I71" s="539"/>
      <c r="J71" s="536" t="s">
        <v>1310</v>
      </c>
      <c r="K71" s="536" t="s">
        <v>1169</v>
      </c>
      <c r="L71" s="536" t="s">
        <v>281</v>
      </c>
      <c r="M71" s="536">
        <v>1</v>
      </c>
      <c r="N71" s="540">
        <v>0.55000000000000004</v>
      </c>
      <c r="O71" s="540">
        <f>N71*'Perry Ellis 2026 Fase 2'!$O$19</f>
        <v>6.0032500000000004</v>
      </c>
      <c r="P71" s="540">
        <f>N71*1.1</f>
        <v>0.60500000000000009</v>
      </c>
      <c r="Q71" s="540"/>
      <c r="R71" s="540">
        <f>N71*$R$17</f>
        <v>0</v>
      </c>
      <c r="S71" s="540">
        <f>R71*0.25</f>
        <v>0</v>
      </c>
      <c r="T71" s="540">
        <f>(R71+S71)*4.94%</f>
        <v>0</v>
      </c>
      <c r="U71" s="541">
        <f>R71+S71+T71</f>
        <v>0</v>
      </c>
      <c r="V71" s="542">
        <v>199</v>
      </c>
      <c r="W71" s="540">
        <f>+V71/1.16</f>
        <v>171.55172413793105</v>
      </c>
      <c r="X71" s="543">
        <f>+W71*0.6</f>
        <v>102.93103448275862</v>
      </c>
      <c r="Y71" s="544">
        <f>U71/X71</f>
        <v>0</v>
      </c>
      <c r="Z71" s="546">
        <f>1-U71/X71</f>
        <v>1</v>
      </c>
      <c r="AA71" s="546">
        <f>1-(X71/(V71/1.16))</f>
        <v>0.4</v>
      </c>
      <c r="AB71" s="536" t="s">
        <v>284</v>
      </c>
      <c r="AC71" s="536" t="s">
        <v>67</v>
      </c>
      <c r="AD71" s="536">
        <v>6</v>
      </c>
      <c r="AE71" s="536">
        <v>144</v>
      </c>
      <c r="AF71" s="536" t="s">
        <v>1204</v>
      </c>
      <c r="AG71" s="388">
        <v>46335</v>
      </c>
      <c r="AH71" s="524"/>
      <c r="AI71" s="552">
        <f>V71*0.6</f>
        <v>119.39999999999999</v>
      </c>
      <c r="AJ71" s="554">
        <f>AI71/1.16</f>
        <v>102.93103448275862</v>
      </c>
      <c r="AK71" s="351">
        <f>U71/AJ71</f>
        <v>0</v>
      </c>
      <c r="AL71" s="351">
        <f>1-(U71/AJ71)</f>
        <v>1</v>
      </c>
      <c r="AM71" s="345">
        <f>1-(AJ71/(AI71/1.16))</f>
        <v>0</v>
      </c>
      <c r="BB71" s="350">
        <v>1</v>
      </c>
      <c r="BC71" s="350">
        <v>1</v>
      </c>
      <c r="BD71" s="350"/>
      <c r="BE71" s="350">
        <v>1</v>
      </c>
      <c r="BF71" s="350">
        <v>1</v>
      </c>
      <c r="BG71" s="350"/>
      <c r="BH71" s="350"/>
      <c r="BI71" s="350"/>
      <c r="BJ71" s="350"/>
      <c r="BK71" s="350">
        <v>9</v>
      </c>
      <c r="BL71" s="350">
        <f>SUM(BB71:BJ71)</f>
        <v>4</v>
      </c>
      <c r="BM71" s="548">
        <f>+BL71/BK71</f>
        <v>0.44444444444444442</v>
      </c>
      <c r="BN71" s="389"/>
      <c r="BO71" s="389"/>
      <c r="BP71" s="389"/>
      <c r="BQ71" s="389"/>
      <c r="BR71" s="549" t="str">
        <f>+AF71</f>
        <v>En elaboración de archivos de impresión</v>
      </c>
      <c r="BS71" s="388">
        <f>+AG71</f>
        <v>46335</v>
      </c>
      <c r="BT71" s="536"/>
    </row>
  </sheetData>
  <mergeCells count="2">
    <mergeCell ref="A2:B2"/>
    <mergeCell ref="CJ14:DA14"/>
  </mergeCells>
  <conditionalFormatting sqref="Y17:Y71">
    <cfRule type="cellIs" dxfId="15" priority="2" operator="greaterThan">
      <formula>0.259</formula>
    </cfRule>
    <cfRule type="cellIs" dxfId="14" priority="3" operator="greaterThan">
      <formula>25.9</formula>
    </cfRule>
  </conditionalFormatting>
  <conditionalFormatting sqref="AM17:AM71">
    <cfRule type="cellIs" dxfId="13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ht="56.1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1022</v>
      </c>
      <c r="M16" s="91" t="s">
        <v>1023</v>
      </c>
      <c r="N16" s="91" t="s">
        <v>1024</v>
      </c>
      <c r="O16" s="91" t="s">
        <v>483</v>
      </c>
      <c r="P16" s="91" t="s">
        <v>1025</v>
      </c>
      <c r="Q16" s="91" t="s">
        <v>1026</v>
      </c>
      <c r="R16" s="91" t="s">
        <v>1027</v>
      </c>
      <c r="S16" s="91" t="s">
        <v>387</v>
      </c>
      <c r="T16" s="91" t="s">
        <v>41</v>
      </c>
      <c r="U16" s="91" t="s">
        <v>23</v>
      </c>
      <c r="V16" s="91" t="s">
        <v>24</v>
      </c>
      <c r="W16" s="91" t="s">
        <v>651</v>
      </c>
      <c r="X16" s="91" t="s">
        <v>1028</v>
      </c>
      <c r="Y16" s="91" t="s">
        <v>27</v>
      </c>
      <c r="Z16" s="91" t="s">
        <v>28</v>
      </c>
      <c r="AA16" s="91" t="s">
        <v>30</v>
      </c>
      <c r="AB16" s="91" t="s">
        <v>1029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1030</v>
      </c>
      <c r="AJ16" s="91" t="s">
        <v>1031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46">
        <v>46</v>
      </c>
      <c r="B17" s="92" t="s">
        <v>176</v>
      </c>
      <c r="C17" s="46" t="s">
        <v>176</v>
      </c>
      <c r="D17" s="46" t="s">
        <v>77</v>
      </c>
      <c r="E17" s="93">
        <v>7506110698098</v>
      </c>
      <c r="F17" s="62" t="s">
        <v>1313</v>
      </c>
      <c r="G17" s="52" t="s">
        <v>1314</v>
      </c>
      <c r="H17" s="102" t="s">
        <v>60</v>
      </c>
      <c r="I17" s="52"/>
      <c r="J17" s="46" t="s">
        <v>1034</v>
      </c>
      <c r="K17" s="52" t="s">
        <v>1035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81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923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1120</v>
      </c>
      <c r="AH17" s="99" t="s">
        <v>99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.099999999999994">
      <c r="A18" s="46">
        <v>47</v>
      </c>
      <c r="B18" s="92" t="s">
        <v>176</v>
      </c>
      <c r="C18" s="46" t="s">
        <v>176</v>
      </c>
      <c r="D18" s="46" t="s">
        <v>77</v>
      </c>
      <c r="E18" s="93">
        <v>7506110698104</v>
      </c>
      <c r="F18" s="62" t="s">
        <v>1315</v>
      </c>
      <c r="G18" s="52" t="s">
        <v>1316</v>
      </c>
      <c r="H18" s="102" t="s">
        <v>60</v>
      </c>
      <c r="I18" s="52"/>
      <c r="J18" s="46" t="s">
        <v>1034</v>
      </c>
      <c r="K18" s="52" t="s">
        <v>1035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81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923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1120</v>
      </c>
      <c r="AH18" s="99" t="s">
        <v>99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.099999999999994">
      <c r="A19" s="115">
        <v>60</v>
      </c>
      <c r="B19" s="92" t="s">
        <v>176</v>
      </c>
      <c r="C19" s="46" t="s">
        <v>176</v>
      </c>
      <c r="D19" s="46" t="s">
        <v>77</v>
      </c>
      <c r="E19" s="93">
        <v>7506110698234</v>
      </c>
      <c r="F19" s="62" t="s">
        <v>1317</v>
      </c>
      <c r="G19" s="52" t="s">
        <v>1318</v>
      </c>
      <c r="H19" s="102" t="s">
        <v>60</v>
      </c>
      <c r="I19" s="52"/>
      <c r="J19" s="46" t="s">
        <v>1034</v>
      </c>
      <c r="K19" s="52" t="s">
        <v>1035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</v>
      </c>
      <c r="T19" s="98">
        <f>+O19</f>
        <v>5.5833333333333339E-2</v>
      </c>
      <c r="U19" s="19" t="s">
        <v>64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1120</v>
      </c>
      <c r="AH19" s="99" t="s">
        <v>67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.099999999999994">
      <c r="A20" s="46">
        <v>63</v>
      </c>
      <c r="B20" s="92" t="s">
        <v>176</v>
      </c>
      <c r="C20" s="46" t="s">
        <v>176</v>
      </c>
      <c r="D20" s="46" t="s">
        <v>77</v>
      </c>
      <c r="E20" s="93">
        <v>7506110698265</v>
      </c>
      <c r="F20" s="62" t="s">
        <v>1319</v>
      </c>
      <c r="G20" s="52" t="s">
        <v>1320</v>
      </c>
      <c r="H20" s="102" t="s">
        <v>60</v>
      </c>
      <c r="I20" s="52"/>
      <c r="J20" s="46" t="s">
        <v>1034</v>
      </c>
      <c r="K20" s="52" t="s">
        <v>1035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</v>
      </c>
      <c r="T20" s="112">
        <v>0.7</v>
      </c>
      <c r="U20" s="19" t="s">
        <v>64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1120</v>
      </c>
      <c r="AH20" s="99" t="s">
        <v>67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.099999999999994">
      <c r="A21" s="46">
        <v>64</v>
      </c>
      <c r="B21" s="92" t="s">
        <v>176</v>
      </c>
      <c r="C21" s="46" t="s">
        <v>176</v>
      </c>
      <c r="D21" s="46" t="s">
        <v>77</v>
      </c>
      <c r="E21" s="93">
        <v>7506110698272</v>
      </c>
      <c r="F21" s="62" t="s">
        <v>1321</v>
      </c>
      <c r="G21" s="52" t="s">
        <v>1322</v>
      </c>
      <c r="H21" s="102" t="s">
        <v>60</v>
      </c>
      <c r="I21" s="52"/>
      <c r="J21" s="46" t="s">
        <v>1034</v>
      </c>
      <c r="K21" s="52" t="s">
        <v>1035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</v>
      </c>
      <c r="T21" s="112">
        <v>0.7</v>
      </c>
      <c r="U21" s="19" t="s">
        <v>64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1120</v>
      </c>
      <c r="AH21" s="99" t="s">
        <v>67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12" priority="2" operator="greaterThan">
      <formula>0.2599</formula>
    </cfRule>
  </conditionalFormatting>
  <conditionalFormatting sqref="AQ17:AQ21">
    <cfRule type="cellIs" dxfId="11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206" t="s">
        <v>10</v>
      </c>
      <c r="B16" s="207" t="s">
        <v>1022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1173</v>
      </c>
      <c r="O16" s="207" t="s">
        <v>1174</v>
      </c>
      <c r="P16" s="207" t="s">
        <v>1175</v>
      </c>
      <c r="Q16" s="207" t="s">
        <v>651</v>
      </c>
      <c r="R16" s="207" t="s">
        <v>1177</v>
      </c>
      <c r="S16" s="207" t="s">
        <v>27</v>
      </c>
      <c r="T16" s="206" t="s">
        <v>28</v>
      </c>
      <c r="U16" s="206" t="s">
        <v>30</v>
      </c>
      <c r="V16" s="206" t="s">
        <v>1029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1030</v>
      </c>
      <c r="AD16" s="206" t="s">
        <v>1031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272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52">
        <v>30</v>
      </c>
      <c r="B17" s="52">
        <v>2</v>
      </c>
      <c r="C17" s="118">
        <v>46241</v>
      </c>
      <c r="D17" s="52" t="s">
        <v>277</v>
      </c>
      <c r="E17" s="119" t="s">
        <v>1323</v>
      </c>
      <c r="F17" s="62" t="s">
        <v>176</v>
      </c>
      <c r="G17" s="52" t="s">
        <v>1324</v>
      </c>
      <c r="H17" s="52" t="s">
        <v>1325</v>
      </c>
      <c r="I17" s="105"/>
      <c r="J17" s="52" t="s">
        <v>618</v>
      </c>
      <c r="K17" s="52" t="s">
        <v>1169</v>
      </c>
      <c r="L17" s="52" t="s">
        <v>281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607</v>
      </c>
      <c r="AB17" s="52" t="s">
        <v>99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277</v>
      </c>
      <c r="E18" s="119" t="s">
        <v>1323</v>
      </c>
      <c r="F18" s="62" t="s">
        <v>176</v>
      </c>
      <c r="G18" s="52" t="s">
        <v>1326</v>
      </c>
      <c r="H18" s="52" t="s">
        <v>1327</v>
      </c>
      <c r="I18" s="125"/>
      <c r="J18" s="52" t="s">
        <v>618</v>
      </c>
      <c r="K18" s="52" t="s">
        <v>1169</v>
      </c>
      <c r="L18" s="52" t="s">
        <v>281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607</v>
      </c>
      <c r="AB18" s="52" t="s">
        <v>99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7.25">
      <c r="A19" s="536">
        <v>1</v>
      </c>
      <c r="B19" s="536">
        <v>2</v>
      </c>
      <c r="C19" s="537">
        <v>46241</v>
      </c>
      <c r="D19" s="536" t="s">
        <v>277</v>
      </c>
      <c r="E19" s="538" t="s">
        <v>191</v>
      </c>
      <c r="F19" s="350">
        <v>7506110696339</v>
      </c>
      <c r="G19" s="536" t="s">
        <v>1328</v>
      </c>
      <c r="H19" s="536" t="s">
        <v>1329</v>
      </c>
      <c r="I19" s="539" t="s">
        <v>60</v>
      </c>
      <c r="J19" s="536" t="s">
        <v>1330</v>
      </c>
      <c r="K19" s="536" t="s">
        <v>1169</v>
      </c>
      <c r="L19" s="536" t="s">
        <v>281</v>
      </c>
      <c r="M19" s="536">
        <v>1</v>
      </c>
      <c r="N19" s="540">
        <v>0.59</v>
      </c>
      <c r="O19" s="540">
        <f>+N19*'Perry Ellis 2026 Fase 1'!O15</f>
        <v>10.914999999999999</v>
      </c>
      <c r="P19" s="540">
        <f>N19*1.1</f>
        <v>0.64900000000000002</v>
      </c>
      <c r="Q19" s="540"/>
      <c r="R19" s="540">
        <f>+N19*'Perry Ellis 2026 Fase 1'!$R$15</f>
        <v>10.914999999999999</v>
      </c>
      <c r="S19" s="540">
        <f>N19*0.25</f>
        <v>0.14749999999999999</v>
      </c>
      <c r="T19" s="540">
        <f>(R19+S19)*5.86%</f>
        <v>0.64826250000000007</v>
      </c>
      <c r="U19" s="541">
        <f>R19+S19+T19</f>
        <v>11.7107625</v>
      </c>
      <c r="V19" s="542">
        <v>69</v>
      </c>
      <c r="W19" s="540">
        <f>+V19/1.16</f>
        <v>59.482758620689658</v>
      </c>
      <c r="X19" s="543">
        <f>+W19*0.6</f>
        <v>35.689655172413794</v>
      </c>
      <c r="Y19" s="544">
        <f>U19/X19</f>
        <v>0.32812764492753621</v>
      </c>
      <c r="Z19" s="545">
        <f>1-U19/X19</f>
        <v>0.67187235507246379</v>
      </c>
      <c r="AA19" s="546">
        <f>1-(X19/(V19/1.16))</f>
        <v>0.4</v>
      </c>
      <c r="AB19" s="536" t="s">
        <v>607</v>
      </c>
      <c r="AC19" s="536" t="s">
        <v>99</v>
      </c>
      <c r="AD19" s="536">
        <v>6</v>
      </c>
      <c r="AE19" s="536">
        <v>36</v>
      </c>
      <c r="AF19" s="536"/>
      <c r="AG19" s="536"/>
      <c r="AH19" s="524"/>
      <c r="AI19" s="547">
        <v>69</v>
      </c>
      <c r="AJ19" s="540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48">
        <f>+BL19/BK19</f>
        <v>0.44444444444444442</v>
      </c>
      <c r="BN19" s="389"/>
      <c r="BO19" s="389"/>
      <c r="BP19" s="389"/>
      <c r="BQ19" s="389"/>
      <c r="BR19" s="549"/>
      <c r="BS19" s="536">
        <f>+AF19</f>
        <v>0</v>
      </c>
      <c r="BT19" s="536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7.25">
      <c r="A20" s="536">
        <v>34</v>
      </c>
      <c r="B20" s="536">
        <v>2</v>
      </c>
      <c r="C20" s="537">
        <v>46241</v>
      </c>
      <c r="D20" s="536" t="s">
        <v>277</v>
      </c>
      <c r="E20" s="538" t="s">
        <v>1331</v>
      </c>
      <c r="F20" s="350" t="s">
        <v>176</v>
      </c>
      <c r="G20" s="536" t="s">
        <v>1332</v>
      </c>
      <c r="H20" s="536" t="s">
        <v>1333</v>
      </c>
      <c r="I20" s="539"/>
      <c r="J20" s="536" t="s">
        <v>1334</v>
      </c>
      <c r="K20" s="536" t="s">
        <v>1169</v>
      </c>
      <c r="L20" s="536" t="s">
        <v>281</v>
      </c>
      <c r="M20" s="536">
        <v>1</v>
      </c>
      <c r="N20" s="540">
        <v>1</v>
      </c>
      <c r="O20" s="540">
        <f>N20*'Perry Ellis 2026 Fase 2'!$O$19</f>
        <v>10.914999999999999</v>
      </c>
      <c r="P20" s="540">
        <f>N20*1.1</f>
        <v>1.1000000000000001</v>
      </c>
      <c r="Q20" s="540"/>
      <c r="R20" s="540">
        <f>N20*'Perry Ellis 2026 Fase 1'!$R$17</f>
        <v>0</v>
      </c>
      <c r="S20" s="540">
        <f>R20*0.25</f>
        <v>0</v>
      </c>
      <c r="T20" s="540">
        <f>(R20+S20)*29.45%</f>
        <v>0</v>
      </c>
      <c r="U20" s="541">
        <f>R20+S20+T20</f>
        <v>0</v>
      </c>
      <c r="V20" s="542">
        <v>139</v>
      </c>
      <c r="W20" s="540">
        <f>+V20/1.16</f>
        <v>119.82758620689656</v>
      </c>
      <c r="X20" s="543">
        <f>+W20*0.6</f>
        <v>71.896551724137936</v>
      </c>
      <c r="Y20" s="544">
        <f>U20/X20</f>
        <v>0</v>
      </c>
      <c r="Z20" s="546">
        <f>1-U20/X20</f>
        <v>1</v>
      </c>
      <c r="AA20" s="546">
        <f>1-(X20/(V20/1.16))</f>
        <v>0.4</v>
      </c>
      <c r="AB20" s="536" t="s">
        <v>478</v>
      </c>
      <c r="AC20" s="536" t="s">
        <v>67</v>
      </c>
      <c r="AD20" s="536"/>
      <c r="AE20" s="536"/>
      <c r="AF20" s="536"/>
      <c r="AG20" s="536"/>
      <c r="AH20" s="524"/>
      <c r="AI20" s="552">
        <v>55</v>
      </c>
      <c r="AJ20" s="540">
        <f>AI20/1.16</f>
        <v>47.413793103448278</v>
      </c>
      <c r="AK20" s="351">
        <f>U20/AJ20</f>
        <v>0</v>
      </c>
      <c r="AL20" s="351">
        <f>1-(U20/AJ20)</f>
        <v>1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48">
        <f>+BL20/BK20</f>
        <v>0.44444444444444442</v>
      </c>
      <c r="BN20" s="389"/>
      <c r="BO20" s="389"/>
      <c r="BP20" s="389"/>
      <c r="BQ20" s="389"/>
      <c r="BR20" s="549">
        <f>+AF20</f>
        <v>0</v>
      </c>
      <c r="BS20" s="388">
        <f>+AG20</f>
        <v>0</v>
      </c>
      <c r="BT20" s="536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7.25">
      <c r="A21" s="536">
        <v>35</v>
      </c>
      <c r="B21" s="536">
        <v>2</v>
      </c>
      <c r="C21" s="537">
        <v>46241</v>
      </c>
      <c r="D21" s="536" t="s">
        <v>277</v>
      </c>
      <c r="E21" s="538" t="s">
        <v>1331</v>
      </c>
      <c r="F21" s="350" t="s">
        <v>176</v>
      </c>
      <c r="G21" s="536" t="s">
        <v>1335</v>
      </c>
      <c r="H21" s="536" t="s">
        <v>1336</v>
      </c>
      <c r="I21" s="539"/>
      <c r="J21" s="536" t="s">
        <v>1337</v>
      </c>
      <c r="K21" s="536" t="s">
        <v>1169</v>
      </c>
      <c r="L21" s="536" t="s">
        <v>281</v>
      </c>
      <c r="M21" s="536">
        <v>1</v>
      </c>
      <c r="N21" s="540">
        <v>0.71</v>
      </c>
      <c r="O21" s="540">
        <f>N21*'Perry Ellis 2026 Fase 2'!$O$19</f>
        <v>7.749649999999999</v>
      </c>
      <c r="P21" s="540">
        <f>N21*1.1</f>
        <v>0.78100000000000003</v>
      </c>
      <c r="Q21" s="540"/>
      <c r="R21" s="540">
        <f>N21*'Perry Ellis 2026 Fase 1'!$R$17</f>
        <v>0</v>
      </c>
      <c r="S21" s="540">
        <f>R21*0.25</f>
        <v>0</v>
      </c>
      <c r="T21" s="540">
        <f>(R21+S21)*15.87%</f>
        <v>0</v>
      </c>
      <c r="U21" s="541">
        <f>R21+S21+T21</f>
        <v>0</v>
      </c>
      <c r="V21" s="542">
        <v>149</v>
      </c>
      <c r="W21" s="540">
        <f>+V21/1.16</f>
        <v>128.44827586206898</v>
      </c>
      <c r="X21" s="543">
        <f>+W21*0.6</f>
        <v>77.068965517241381</v>
      </c>
      <c r="Y21" s="544">
        <f>U21/X21</f>
        <v>0</v>
      </c>
      <c r="Z21" s="546">
        <f>1-U21/X21</f>
        <v>1</v>
      </c>
      <c r="AA21" s="546">
        <f>1-(X21/(V21/1.16))</f>
        <v>0.4</v>
      </c>
      <c r="AB21" s="536" t="s">
        <v>478</v>
      </c>
      <c r="AC21" s="536" t="s">
        <v>67</v>
      </c>
      <c r="AD21" s="536"/>
      <c r="AE21" s="536"/>
      <c r="AF21" s="536"/>
      <c r="AG21" s="536"/>
      <c r="AH21" s="524"/>
      <c r="AI21" s="552">
        <f>V21*0.6</f>
        <v>89.399999999999991</v>
      </c>
      <c r="AJ21" s="540">
        <f>AI21/1.16</f>
        <v>77.068965517241381</v>
      </c>
      <c r="AK21" s="351">
        <f>U21/AJ21</f>
        <v>0</v>
      </c>
      <c r="AL21" s="351">
        <f>1-(U21/AJ21)</f>
        <v>1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48">
        <f>+BL21/BK21</f>
        <v>0.44444444444444442</v>
      </c>
      <c r="BN21" s="389"/>
      <c r="BO21" s="389"/>
      <c r="BP21" s="389"/>
      <c r="BQ21" s="389"/>
      <c r="BR21" s="549">
        <f>+AF21</f>
        <v>0</v>
      </c>
      <c r="BS21" s="388">
        <f>+AG21</f>
        <v>0</v>
      </c>
      <c r="BT21" s="536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10" priority="8" operator="greaterThan">
      <formula>0.259</formula>
    </cfRule>
    <cfRule type="cellIs" dxfId="9" priority="9" operator="greaterThan">
      <formula>25.9</formula>
    </cfRule>
  </conditionalFormatting>
  <conditionalFormatting sqref="AK17:AK18">
    <cfRule type="cellIs" dxfId="8" priority="10" operator="lessThan">
      <formula>0</formula>
    </cfRule>
  </conditionalFormatting>
  <conditionalFormatting sqref="Y19">
    <cfRule type="cellIs" dxfId="7" priority="4" operator="greaterThan">
      <formula>0.259</formula>
    </cfRule>
    <cfRule type="cellIs" dxfId="6" priority="5" operator="greaterThan">
      <formula>25.9</formula>
    </cfRule>
  </conditionalFormatting>
  <conditionalFormatting sqref="AM19">
    <cfRule type="cellIs" dxfId="5" priority="6" operator="lessThan">
      <formula>0</formula>
    </cfRule>
  </conditionalFormatting>
  <conditionalFormatting sqref="Y20:Y21">
    <cfRule type="cellIs" dxfId="4" priority="1" operator="greaterThan">
      <formula>0.259</formula>
    </cfRule>
    <cfRule type="cellIs" dxfId="3" priority="2" operator="greaterThan">
      <formula>25.9</formula>
    </cfRule>
  </conditionalFormatting>
  <conditionalFormatting sqref="AM20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zoomScale="40" zoomScaleNormal="40" workbookViewId="0">
      <pane xSplit="7" topLeftCell="BE68" activePane="topRight" state="frozen"/>
      <selection pane="topRight" activeCell="BF79" sqref="BF79"/>
    </sheetView>
  </sheetViews>
  <sheetFormatPr defaultColWidth="11.5703125" defaultRowHeight="18"/>
  <cols>
    <col min="1" max="1" width="13.85546875" style="423" customWidth="1"/>
    <col min="2" max="3" width="19.5703125" style="488" customWidth="1"/>
    <col min="4" max="4" width="13.5703125" style="488" bestFit="1" customWidth="1"/>
    <col min="5" max="5" width="19.5703125" style="488" customWidth="1"/>
    <col min="6" max="6" width="13.42578125" style="488" customWidth="1"/>
    <col min="7" max="7" width="59" style="423" customWidth="1"/>
    <col min="8" max="8" width="13.42578125" style="423" customWidth="1"/>
    <col min="9" max="11" width="16.42578125" style="423" customWidth="1"/>
    <col min="12" max="12" width="10.7109375" style="423" customWidth="1"/>
    <col min="13" max="13" width="20.28515625" style="423" hidden="1" customWidth="1"/>
    <col min="14" max="25" width="16" style="423" hidden="1" customWidth="1"/>
    <col min="26" max="26" width="18.7109375" style="423" customWidth="1"/>
    <col min="27" max="27" width="20" style="423" bestFit="1" customWidth="1"/>
    <col min="28" max="29" width="15.42578125" style="423" customWidth="1"/>
    <col min="30" max="30" width="22.140625" style="423" customWidth="1"/>
    <col min="31" max="32" width="25" style="423" customWidth="1"/>
    <col min="33" max="37" width="32.85546875" style="423" hidden="1" customWidth="1"/>
    <col min="38" max="52" width="5.7109375" style="423" customWidth="1"/>
    <col min="53" max="64" width="20.85546875" style="423" customWidth="1"/>
    <col min="65" max="69" width="6.140625" style="423" customWidth="1"/>
    <col min="70" max="72" width="36.85546875" style="503" customWidth="1"/>
    <col min="73" max="87" width="2.42578125" style="423" customWidth="1"/>
    <col min="88" max="93" width="20.42578125" style="488" customWidth="1"/>
    <col min="94" max="105" width="20.42578125" style="423" customWidth="1"/>
    <col min="106" max="16384" width="11.5703125" style="423"/>
  </cols>
  <sheetData>
    <row r="1" spans="1:105" ht="20.25">
      <c r="A1" s="418"/>
      <c r="B1" s="489" t="s">
        <v>13</v>
      </c>
      <c r="C1" s="490" t="s">
        <v>248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75">
      <c r="A2" s="512" t="s">
        <v>1338</v>
      </c>
      <c r="B2" s="51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75">
      <c r="A3" s="425" t="s">
        <v>254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75">
      <c r="A4" s="426" t="s">
        <v>1339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75">
      <c r="A5" s="425" t="s">
        <v>256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75">
      <c r="A6" s="425" t="s">
        <v>255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75">
      <c r="A7" s="425" t="s">
        <v>257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75">
      <c r="A8" s="427" t="s">
        <v>258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18" t="s">
        <v>0</v>
      </c>
      <c r="CK14" s="519"/>
      <c r="CL14" s="519"/>
      <c r="CM14" s="519"/>
      <c r="CN14" s="519"/>
      <c r="CO14" s="519"/>
      <c r="CP14" s="519"/>
      <c r="CQ14" s="519"/>
      <c r="CR14" s="519"/>
      <c r="CS14" s="519"/>
      <c r="CT14" s="519"/>
      <c r="CU14" s="519"/>
      <c r="CV14" s="519"/>
      <c r="CW14" s="519"/>
      <c r="CX14" s="519"/>
      <c r="CY14" s="519"/>
      <c r="CZ14" s="519"/>
      <c r="DA14" s="519"/>
    </row>
    <row r="15" spans="1:105" s="420" customFormat="1" ht="42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1340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54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1022</v>
      </c>
      <c r="M16" s="429" t="s">
        <v>41</v>
      </c>
      <c r="N16" s="429" t="s">
        <v>23</v>
      </c>
      <c r="O16" s="429" t="s">
        <v>24</v>
      </c>
      <c r="P16" s="429" t="s">
        <v>651</v>
      </c>
      <c r="Q16" s="429" t="s">
        <v>1028</v>
      </c>
      <c r="R16" s="429" t="s">
        <v>27</v>
      </c>
      <c r="S16" s="429" t="s">
        <v>28</v>
      </c>
      <c r="T16" s="429" t="s">
        <v>30</v>
      </c>
      <c r="U16" s="429" t="s">
        <v>1029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1030</v>
      </c>
      <c r="AC16" s="429" t="s">
        <v>1031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272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77</v>
      </c>
      <c r="E17" s="502">
        <v>7502327991816</v>
      </c>
      <c r="F17" s="439" t="s">
        <v>1341</v>
      </c>
      <c r="G17" s="438" t="s">
        <v>1342</v>
      </c>
      <c r="H17" s="439"/>
      <c r="I17" s="439" t="s">
        <v>1343</v>
      </c>
      <c r="J17" s="439" t="s">
        <v>1338</v>
      </c>
      <c r="K17" s="440" t="s">
        <v>1035</v>
      </c>
      <c r="L17" s="441">
        <v>1</v>
      </c>
      <c r="M17" s="442">
        <v>0.62</v>
      </c>
      <c r="N17" s="443" t="s">
        <v>64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1344</v>
      </c>
      <c r="AA17" s="451" t="s">
        <v>1345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>
        <v>1</v>
      </c>
      <c r="BC17" s="459">
        <v>1</v>
      </c>
      <c r="BD17" s="459">
        <v>1</v>
      </c>
      <c r="BE17" s="459">
        <v>1</v>
      </c>
      <c r="BF17" s="459">
        <v>1</v>
      </c>
      <c r="BG17" s="459">
        <v>1</v>
      </c>
      <c r="BH17" s="459"/>
      <c r="BI17" s="459"/>
      <c r="BJ17" s="459">
        <v>9</v>
      </c>
      <c r="BK17" s="459">
        <f t="shared" ref="BK17:BK49" si="11">SUM(BA17:BI17)</f>
        <v>7</v>
      </c>
      <c r="BL17" s="460">
        <f t="shared" ref="BL17:BL49" si="12">+BK17/BJ17</f>
        <v>0.77777777777777779</v>
      </c>
      <c r="BR17" s="464" t="s">
        <v>1346</v>
      </c>
      <c r="BS17" s="461">
        <f>AD17</f>
        <v>46308</v>
      </c>
      <c r="BT17" s="462" t="s">
        <v>609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77</v>
      </c>
      <c r="E18" s="502">
        <v>7502327991823</v>
      </c>
      <c r="F18" s="439" t="s">
        <v>1347</v>
      </c>
      <c r="G18" s="438" t="s">
        <v>1348</v>
      </c>
      <c r="H18" s="425"/>
      <c r="I18" s="439" t="s">
        <v>1343</v>
      </c>
      <c r="J18" s="440" t="s">
        <v>1338</v>
      </c>
      <c r="K18" s="440" t="s">
        <v>1035</v>
      </c>
      <c r="L18" s="441">
        <v>1</v>
      </c>
      <c r="M18" s="442">
        <v>0.62</v>
      </c>
      <c r="N18" s="443" t="s">
        <v>64</v>
      </c>
      <c r="O18" s="444">
        <v>10000</v>
      </c>
      <c r="P18" s="443">
        <f t="shared" ref="P18:P52" si="13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1344</v>
      </c>
      <c r="AA18" s="451" t="s">
        <v>1345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>
        <v>1</v>
      </c>
      <c r="BC18" s="459">
        <v>1</v>
      </c>
      <c r="BD18" s="459">
        <v>1</v>
      </c>
      <c r="BE18" s="459">
        <v>1</v>
      </c>
      <c r="BF18" s="468">
        <v>1</v>
      </c>
      <c r="BG18" s="468">
        <v>1</v>
      </c>
      <c r="BH18" s="468"/>
      <c r="BI18" s="468"/>
      <c r="BJ18" s="459">
        <v>9</v>
      </c>
      <c r="BK18" s="459">
        <f t="shared" si="11"/>
        <v>7</v>
      </c>
      <c r="BL18" s="460">
        <f t="shared" si="12"/>
        <v>0.77777777777777779</v>
      </c>
      <c r="BR18" s="464" t="s">
        <v>1346</v>
      </c>
      <c r="BS18" s="461">
        <f t="shared" ref="BS18:BS81" si="14">AD18</f>
        <v>46308</v>
      </c>
      <c r="BT18" s="462" t="s">
        <v>609</v>
      </c>
      <c r="CJ18" s="463">
        <v>46156</v>
      </c>
      <c r="CK18" s="463">
        <v>46156</v>
      </c>
      <c r="CL18" s="463">
        <f t="shared" ref="CL18:CL21" si="15">CK18+15</f>
        <v>46171</v>
      </c>
      <c r="CM18" s="463"/>
      <c r="CN18" s="463">
        <f t="shared" ref="CN18:CN22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77</v>
      </c>
      <c r="E19" s="502">
        <v>7502327991830</v>
      </c>
      <c r="F19" s="439" t="s">
        <v>1349</v>
      </c>
      <c r="G19" s="438" t="s">
        <v>1350</v>
      </c>
      <c r="H19" s="439"/>
      <c r="I19" s="439" t="s">
        <v>1343</v>
      </c>
      <c r="J19" s="439" t="s">
        <v>1338</v>
      </c>
      <c r="K19" s="440" t="s">
        <v>1035</v>
      </c>
      <c r="L19" s="441">
        <v>1</v>
      </c>
      <c r="M19" s="442">
        <v>0.62</v>
      </c>
      <c r="N19" s="443" t="s">
        <v>64</v>
      </c>
      <c r="O19" s="444">
        <v>10000</v>
      </c>
      <c r="P19" s="443">
        <f t="shared" si="13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1344</v>
      </c>
      <c r="AA19" s="451" t="s">
        <v>1345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>
        <v>1</v>
      </c>
      <c r="BC19" s="459">
        <v>1</v>
      </c>
      <c r="BD19" s="459">
        <v>1</v>
      </c>
      <c r="BE19" s="459">
        <v>1</v>
      </c>
      <c r="BF19" s="468">
        <v>1</v>
      </c>
      <c r="BG19" s="468">
        <v>1</v>
      </c>
      <c r="BH19" s="468"/>
      <c r="BI19" s="468"/>
      <c r="BJ19" s="459">
        <v>9</v>
      </c>
      <c r="BK19" s="459">
        <f t="shared" si="11"/>
        <v>7</v>
      </c>
      <c r="BL19" s="460">
        <f t="shared" si="12"/>
        <v>0.77777777777777779</v>
      </c>
      <c r="BR19" s="464" t="s">
        <v>1346</v>
      </c>
      <c r="BS19" s="461">
        <f t="shared" si="14"/>
        <v>46308</v>
      </c>
      <c r="BT19" s="462" t="s">
        <v>609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77</v>
      </c>
      <c r="E20" s="502">
        <v>7502327991847</v>
      </c>
      <c r="F20" s="439" t="s">
        <v>1351</v>
      </c>
      <c r="G20" s="438" t="s">
        <v>1352</v>
      </c>
      <c r="H20" s="425"/>
      <c r="I20" s="439" t="s">
        <v>1343</v>
      </c>
      <c r="J20" s="440" t="s">
        <v>1338</v>
      </c>
      <c r="K20" s="440" t="s">
        <v>1035</v>
      </c>
      <c r="L20" s="441">
        <v>1</v>
      </c>
      <c r="M20" s="442">
        <v>0.62</v>
      </c>
      <c r="N20" s="443" t="s">
        <v>64</v>
      </c>
      <c r="O20" s="444">
        <v>10000</v>
      </c>
      <c r="P20" s="443">
        <f t="shared" si="13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1344</v>
      </c>
      <c r="AA20" s="451" t="s">
        <v>1345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>
        <v>1</v>
      </c>
      <c r="BC20" s="459">
        <v>1</v>
      </c>
      <c r="BD20" s="459">
        <v>1</v>
      </c>
      <c r="BE20" s="459">
        <v>1</v>
      </c>
      <c r="BF20" s="468">
        <v>1</v>
      </c>
      <c r="BG20" s="468">
        <v>1</v>
      </c>
      <c r="BH20" s="468"/>
      <c r="BI20" s="468"/>
      <c r="BJ20" s="459">
        <v>9</v>
      </c>
      <c r="BK20" s="459">
        <f t="shared" si="11"/>
        <v>7</v>
      </c>
      <c r="BL20" s="460">
        <f t="shared" si="12"/>
        <v>0.77777777777777779</v>
      </c>
      <c r="BR20" s="464" t="s">
        <v>1346</v>
      </c>
      <c r="BS20" s="461">
        <f t="shared" si="14"/>
        <v>46308</v>
      </c>
      <c r="BT20" s="462" t="s">
        <v>609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77</v>
      </c>
      <c r="E21" s="502">
        <v>7502327991854</v>
      </c>
      <c r="F21" s="439" t="s">
        <v>1353</v>
      </c>
      <c r="G21" s="438" t="s">
        <v>1354</v>
      </c>
      <c r="H21" s="425"/>
      <c r="I21" s="439" t="s">
        <v>147</v>
      </c>
      <c r="J21" s="440" t="s">
        <v>1338</v>
      </c>
      <c r="K21" s="440" t="s">
        <v>1035</v>
      </c>
      <c r="L21" s="441">
        <v>1</v>
      </c>
      <c r="M21" s="469">
        <v>0.56999999999999995</v>
      </c>
      <c r="N21" s="443" t="s">
        <v>64</v>
      </c>
      <c r="O21" s="444">
        <v>10000</v>
      </c>
      <c r="P21" s="443">
        <f t="shared" si="13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1344</v>
      </c>
      <c r="AA21" s="451" t="s">
        <v>1345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>
        <v>1</v>
      </c>
      <c r="BC21" s="459">
        <v>1</v>
      </c>
      <c r="BD21" s="459">
        <v>1</v>
      </c>
      <c r="BE21" s="459">
        <v>1</v>
      </c>
      <c r="BF21" s="468">
        <v>1</v>
      </c>
      <c r="BG21" s="468">
        <v>1</v>
      </c>
      <c r="BH21" s="468"/>
      <c r="BI21" s="468"/>
      <c r="BJ21" s="459">
        <v>9</v>
      </c>
      <c r="BK21" s="459">
        <f t="shared" si="11"/>
        <v>7</v>
      </c>
      <c r="BL21" s="460">
        <f t="shared" si="12"/>
        <v>0.77777777777777779</v>
      </c>
      <c r="BR21" s="464" t="s">
        <v>1346</v>
      </c>
      <c r="BS21" s="461">
        <f t="shared" si="14"/>
        <v>46334</v>
      </c>
      <c r="BT21" s="462" t="s">
        <v>609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77</v>
      </c>
      <c r="E22" s="502">
        <v>7502327991861</v>
      </c>
      <c r="F22" s="439" t="s">
        <v>1355</v>
      </c>
      <c r="G22" s="438" t="s">
        <v>1356</v>
      </c>
      <c r="H22" s="425"/>
      <c r="I22" s="439" t="s">
        <v>147</v>
      </c>
      <c r="J22" s="440" t="s">
        <v>1338</v>
      </c>
      <c r="K22" s="440" t="s">
        <v>1035</v>
      </c>
      <c r="L22" s="441">
        <v>1</v>
      </c>
      <c r="M22" s="469">
        <v>0.56999999999999995</v>
      </c>
      <c r="N22" s="443" t="s">
        <v>64</v>
      </c>
      <c r="O22" s="444">
        <v>10000</v>
      </c>
      <c r="P22" s="443">
        <f t="shared" si="13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1344</v>
      </c>
      <c r="AA22" s="451" t="s">
        <v>1345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>
        <v>1</v>
      </c>
      <c r="BC22" s="459">
        <v>1</v>
      </c>
      <c r="BD22" s="459">
        <v>1</v>
      </c>
      <c r="BE22" s="459">
        <v>1</v>
      </c>
      <c r="BF22" s="468">
        <v>1</v>
      </c>
      <c r="BG22" s="468">
        <v>1</v>
      </c>
      <c r="BH22" s="468"/>
      <c r="BI22" s="468"/>
      <c r="BJ22" s="459">
        <v>9</v>
      </c>
      <c r="BK22" s="459">
        <f t="shared" si="11"/>
        <v>7</v>
      </c>
      <c r="BL22" s="460">
        <f t="shared" si="12"/>
        <v>0.77777777777777779</v>
      </c>
      <c r="BR22" s="464" t="s">
        <v>1346</v>
      </c>
      <c r="BS22" s="461">
        <f t="shared" si="14"/>
        <v>46334</v>
      </c>
      <c r="BT22" s="462" t="s">
        <v>609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77</v>
      </c>
      <c r="E23" s="502">
        <v>7502327991878</v>
      </c>
      <c r="F23" s="439" t="s">
        <v>1357</v>
      </c>
      <c r="G23" s="438" t="s">
        <v>1358</v>
      </c>
      <c r="H23" s="425"/>
      <c r="I23" s="439" t="s">
        <v>147</v>
      </c>
      <c r="J23" s="440" t="s">
        <v>1338</v>
      </c>
      <c r="K23" s="440" t="s">
        <v>1035</v>
      </c>
      <c r="L23" s="441">
        <v>1</v>
      </c>
      <c r="M23" s="469">
        <v>0.56999999999999995</v>
      </c>
      <c r="N23" s="443" t="s">
        <v>64</v>
      </c>
      <c r="O23" s="444">
        <v>10000</v>
      </c>
      <c r="P23" s="443">
        <f t="shared" si="13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1344</v>
      </c>
      <c r="AA23" s="451" t="s">
        <v>1345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>
        <v>1</v>
      </c>
      <c r="BC23" s="459">
        <v>1</v>
      </c>
      <c r="BD23" s="459">
        <v>1</v>
      </c>
      <c r="BE23" s="459">
        <v>1</v>
      </c>
      <c r="BF23" s="468">
        <v>1</v>
      </c>
      <c r="BG23" s="468">
        <v>1</v>
      </c>
      <c r="BH23" s="468"/>
      <c r="BI23" s="468"/>
      <c r="BJ23" s="459">
        <v>9</v>
      </c>
      <c r="BK23" s="459">
        <f t="shared" si="11"/>
        <v>7</v>
      </c>
      <c r="BL23" s="460">
        <f t="shared" si="12"/>
        <v>0.77777777777777779</v>
      </c>
      <c r="BR23" s="464" t="s">
        <v>1346</v>
      </c>
      <c r="BS23" s="461">
        <f t="shared" si="14"/>
        <v>46334</v>
      </c>
      <c r="BT23" s="462" t="s">
        <v>609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77</v>
      </c>
      <c r="E24" s="502">
        <v>7502327991885</v>
      </c>
      <c r="F24" s="439" t="s">
        <v>1359</v>
      </c>
      <c r="G24" s="438" t="s">
        <v>1360</v>
      </c>
      <c r="H24" s="425"/>
      <c r="I24" s="439" t="s">
        <v>375</v>
      </c>
      <c r="J24" s="440" t="s">
        <v>1338</v>
      </c>
      <c r="K24" s="440" t="s">
        <v>1035</v>
      </c>
      <c r="L24" s="441">
        <v>1</v>
      </c>
      <c r="M24" s="469">
        <v>0.52</v>
      </c>
      <c r="N24" s="443" t="s">
        <v>64</v>
      </c>
      <c r="O24" s="444">
        <v>10000</v>
      </c>
      <c r="P24" s="443">
        <f t="shared" si="13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1344</v>
      </c>
      <c r="AA24" s="451" t="s">
        <v>1345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>
        <v>1</v>
      </c>
      <c r="BC24" s="459">
        <v>1</v>
      </c>
      <c r="BD24" s="459">
        <v>1</v>
      </c>
      <c r="BE24" s="459">
        <v>1</v>
      </c>
      <c r="BF24" s="468">
        <v>1</v>
      </c>
      <c r="BG24" s="468">
        <v>1</v>
      </c>
      <c r="BH24" s="468"/>
      <c r="BI24" s="468"/>
      <c r="BJ24" s="459">
        <v>9</v>
      </c>
      <c r="BK24" s="459">
        <f t="shared" si="11"/>
        <v>7</v>
      </c>
      <c r="BL24" s="460">
        <f t="shared" si="12"/>
        <v>0.77777777777777779</v>
      </c>
      <c r="BR24" s="464" t="s">
        <v>1361</v>
      </c>
      <c r="BS24" s="461">
        <f t="shared" si="14"/>
        <v>46308</v>
      </c>
      <c r="BT24" s="464" t="s">
        <v>86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77</v>
      </c>
      <c r="E25" s="502">
        <v>7502327991908</v>
      </c>
      <c r="F25" s="439" t="s">
        <v>1362</v>
      </c>
      <c r="G25" s="438" t="s">
        <v>1363</v>
      </c>
      <c r="H25" s="425"/>
      <c r="I25" s="439" t="s">
        <v>375</v>
      </c>
      <c r="J25" s="440" t="s">
        <v>1338</v>
      </c>
      <c r="K25" s="440" t="s">
        <v>1035</v>
      </c>
      <c r="L25" s="441">
        <v>1</v>
      </c>
      <c r="M25" s="469">
        <v>0.52</v>
      </c>
      <c r="N25" s="443" t="s">
        <v>64</v>
      </c>
      <c r="O25" s="444">
        <v>10000</v>
      </c>
      <c r="P25" s="443">
        <f t="shared" si="13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1344</v>
      </c>
      <c r="AA25" s="451" t="s">
        <v>1345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>
        <v>1</v>
      </c>
      <c r="BC25" s="459">
        <v>1</v>
      </c>
      <c r="BD25" s="459">
        <v>1</v>
      </c>
      <c r="BE25" s="459">
        <v>1</v>
      </c>
      <c r="BF25" s="468">
        <v>1</v>
      </c>
      <c r="BG25" s="468">
        <v>1</v>
      </c>
      <c r="BH25" s="468"/>
      <c r="BI25" s="468"/>
      <c r="BJ25" s="459">
        <v>9</v>
      </c>
      <c r="BK25" s="459">
        <f t="shared" si="11"/>
        <v>7</v>
      </c>
      <c r="BL25" s="460">
        <f t="shared" si="12"/>
        <v>0.77777777777777779</v>
      </c>
      <c r="BR25" s="464" t="s">
        <v>1361</v>
      </c>
      <c r="BS25" s="461">
        <f t="shared" si="14"/>
        <v>46308</v>
      </c>
      <c r="BT25" s="464" t="s">
        <v>86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77</v>
      </c>
      <c r="E26" s="502">
        <v>7502327991922</v>
      </c>
      <c r="F26" s="439" t="s">
        <v>1364</v>
      </c>
      <c r="G26" s="438" t="s">
        <v>1365</v>
      </c>
      <c r="H26" s="425"/>
      <c r="I26" s="439" t="s">
        <v>375</v>
      </c>
      <c r="J26" s="440" t="s">
        <v>1338</v>
      </c>
      <c r="K26" s="440" t="s">
        <v>1035</v>
      </c>
      <c r="L26" s="441">
        <v>1</v>
      </c>
      <c r="M26" s="469">
        <v>0.52</v>
      </c>
      <c r="N26" s="443" t="s">
        <v>64</v>
      </c>
      <c r="O26" s="444">
        <v>10000</v>
      </c>
      <c r="P26" s="443">
        <f t="shared" si="13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1344</v>
      </c>
      <c r="AA26" s="451" t="s">
        <v>1345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>
        <v>1</v>
      </c>
      <c r="BC26" s="459">
        <v>1</v>
      </c>
      <c r="BD26" s="459">
        <v>1</v>
      </c>
      <c r="BE26" s="459">
        <v>1</v>
      </c>
      <c r="BF26" s="468">
        <v>1</v>
      </c>
      <c r="BG26" s="468">
        <v>1</v>
      </c>
      <c r="BH26" s="468"/>
      <c r="BI26" s="468"/>
      <c r="BJ26" s="459">
        <v>9</v>
      </c>
      <c r="BK26" s="459">
        <f t="shared" si="11"/>
        <v>7</v>
      </c>
      <c r="BL26" s="460">
        <f t="shared" si="12"/>
        <v>0.77777777777777779</v>
      </c>
      <c r="BR26" s="464" t="s">
        <v>1361</v>
      </c>
      <c r="BS26" s="461">
        <f t="shared" si="14"/>
        <v>46308</v>
      </c>
      <c r="BT26" s="464" t="s">
        <v>86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77</v>
      </c>
      <c r="E27" s="502">
        <v>7502327991939</v>
      </c>
      <c r="F27" s="439" t="s">
        <v>1366</v>
      </c>
      <c r="G27" s="438" t="s">
        <v>1367</v>
      </c>
      <c r="H27" s="425"/>
      <c r="I27" s="439" t="s">
        <v>375</v>
      </c>
      <c r="J27" s="440" t="s">
        <v>1338</v>
      </c>
      <c r="K27" s="440" t="s">
        <v>1035</v>
      </c>
      <c r="L27" s="441">
        <v>1</v>
      </c>
      <c r="M27" s="469">
        <v>0.45</v>
      </c>
      <c r="N27" s="443" t="s">
        <v>64</v>
      </c>
      <c r="O27" s="444">
        <v>10000</v>
      </c>
      <c r="P27" s="443">
        <f t="shared" si="13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1344</v>
      </c>
      <c r="AA27" s="451" t="s">
        <v>1345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>
        <v>1</v>
      </c>
      <c r="BC27" s="459">
        <v>1</v>
      </c>
      <c r="BD27" s="459">
        <v>1</v>
      </c>
      <c r="BE27" s="459">
        <v>1</v>
      </c>
      <c r="BF27" s="468">
        <v>1</v>
      </c>
      <c r="BG27" s="468">
        <v>1</v>
      </c>
      <c r="BH27" s="468"/>
      <c r="BI27" s="468"/>
      <c r="BJ27" s="459">
        <v>9</v>
      </c>
      <c r="BK27" s="459">
        <f t="shared" si="11"/>
        <v>7</v>
      </c>
      <c r="BL27" s="460">
        <f t="shared" si="12"/>
        <v>0.77777777777777779</v>
      </c>
      <c r="BR27" s="464" t="s">
        <v>1346</v>
      </c>
      <c r="BS27" s="461">
        <f t="shared" si="14"/>
        <v>46317</v>
      </c>
      <c r="BT27" s="462" t="s">
        <v>609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77</v>
      </c>
      <c r="E28" s="502">
        <v>7502327991946</v>
      </c>
      <c r="F28" s="439" t="s">
        <v>1368</v>
      </c>
      <c r="G28" s="438" t="s">
        <v>1369</v>
      </c>
      <c r="H28" s="425"/>
      <c r="I28" s="439" t="s">
        <v>375</v>
      </c>
      <c r="J28" s="440" t="s">
        <v>1338</v>
      </c>
      <c r="K28" s="440" t="s">
        <v>1035</v>
      </c>
      <c r="L28" s="441">
        <v>1</v>
      </c>
      <c r="M28" s="469">
        <v>0.45</v>
      </c>
      <c r="N28" s="443" t="s">
        <v>64</v>
      </c>
      <c r="O28" s="444">
        <v>10000</v>
      </c>
      <c r="P28" s="443">
        <f t="shared" si="13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1344</v>
      </c>
      <c r="AA28" s="451" t="s">
        <v>1345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>
        <v>1</v>
      </c>
      <c r="BC28" s="459">
        <v>1</v>
      </c>
      <c r="BD28" s="459">
        <v>1</v>
      </c>
      <c r="BE28" s="459">
        <v>1</v>
      </c>
      <c r="BF28" s="468">
        <v>1</v>
      </c>
      <c r="BG28" s="468">
        <v>1</v>
      </c>
      <c r="BH28" s="468"/>
      <c r="BI28" s="468"/>
      <c r="BJ28" s="459">
        <v>9</v>
      </c>
      <c r="BK28" s="459">
        <f t="shared" si="11"/>
        <v>7</v>
      </c>
      <c r="BL28" s="460">
        <f t="shared" si="12"/>
        <v>0.77777777777777779</v>
      </c>
      <c r="BR28" s="464" t="s">
        <v>1346</v>
      </c>
      <c r="BS28" s="461">
        <f t="shared" si="14"/>
        <v>46317</v>
      </c>
      <c r="BT28" s="462" t="s">
        <v>609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77</v>
      </c>
      <c r="E29" s="502">
        <v>7502327991953</v>
      </c>
      <c r="F29" s="439" t="s">
        <v>1370</v>
      </c>
      <c r="G29" s="438" t="s">
        <v>1371</v>
      </c>
      <c r="H29" s="425"/>
      <c r="I29" s="439" t="s">
        <v>375</v>
      </c>
      <c r="J29" s="440" t="s">
        <v>1338</v>
      </c>
      <c r="K29" s="440" t="s">
        <v>1035</v>
      </c>
      <c r="L29" s="441">
        <v>1</v>
      </c>
      <c r="M29" s="469">
        <v>0.45</v>
      </c>
      <c r="N29" s="443" t="s">
        <v>64</v>
      </c>
      <c r="O29" s="444">
        <v>10000</v>
      </c>
      <c r="P29" s="443">
        <f t="shared" si="13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1344</v>
      </c>
      <c r="AA29" s="451" t="s">
        <v>1345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>
        <v>1</v>
      </c>
      <c r="BC29" s="459">
        <v>1</v>
      </c>
      <c r="BD29" s="459">
        <v>1</v>
      </c>
      <c r="BE29" s="459">
        <v>1</v>
      </c>
      <c r="BF29" s="468">
        <v>1</v>
      </c>
      <c r="BG29" s="468">
        <v>1</v>
      </c>
      <c r="BH29" s="468"/>
      <c r="BI29" s="468"/>
      <c r="BJ29" s="459">
        <v>9</v>
      </c>
      <c r="BK29" s="459">
        <f t="shared" si="11"/>
        <v>7</v>
      </c>
      <c r="BL29" s="460">
        <f t="shared" si="12"/>
        <v>0.77777777777777779</v>
      </c>
      <c r="BR29" s="464" t="s">
        <v>1346</v>
      </c>
      <c r="BS29" s="461">
        <f t="shared" si="14"/>
        <v>46317</v>
      </c>
      <c r="BT29" s="462" t="s">
        <v>609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77</v>
      </c>
      <c r="E30" s="502">
        <v>7502327991960</v>
      </c>
      <c r="F30" s="439" t="s">
        <v>1372</v>
      </c>
      <c r="G30" s="438" t="s">
        <v>1373</v>
      </c>
      <c r="H30" s="425"/>
      <c r="I30" s="439" t="s">
        <v>375</v>
      </c>
      <c r="J30" s="440" t="s">
        <v>1338</v>
      </c>
      <c r="K30" s="440" t="s">
        <v>1035</v>
      </c>
      <c r="L30" s="441">
        <v>1</v>
      </c>
      <c r="M30" s="469">
        <v>0.45</v>
      </c>
      <c r="N30" s="443" t="s">
        <v>64</v>
      </c>
      <c r="O30" s="444">
        <v>10000</v>
      </c>
      <c r="P30" s="443">
        <f t="shared" si="13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1344</v>
      </c>
      <c r="AA30" s="451" t="s">
        <v>1345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>
        <v>1</v>
      </c>
      <c r="BC30" s="459">
        <v>1</v>
      </c>
      <c r="BD30" s="459">
        <v>1</v>
      </c>
      <c r="BE30" s="459">
        <v>1</v>
      </c>
      <c r="BF30" s="468">
        <v>1</v>
      </c>
      <c r="BG30" s="468">
        <v>1</v>
      </c>
      <c r="BH30" s="468"/>
      <c r="BI30" s="468"/>
      <c r="BJ30" s="459">
        <v>9</v>
      </c>
      <c r="BK30" s="459">
        <f t="shared" si="11"/>
        <v>7</v>
      </c>
      <c r="BL30" s="460">
        <f t="shared" si="12"/>
        <v>0.77777777777777779</v>
      </c>
      <c r="BR30" s="464" t="s">
        <v>1346</v>
      </c>
      <c r="BS30" s="461">
        <f t="shared" si="14"/>
        <v>46317</v>
      </c>
      <c r="BT30" s="462" t="s">
        <v>609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77</v>
      </c>
      <c r="E31" s="439"/>
      <c r="F31" s="439" t="s">
        <v>1374</v>
      </c>
      <c r="G31" s="438" t="s">
        <v>1375</v>
      </c>
      <c r="H31" s="425"/>
      <c r="I31" s="439" t="s">
        <v>375</v>
      </c>
      <c r="J31" s="440" t="s">
        <v>1338</v>
      </c>
      <c r="K31" s="440" t="s">
        <v>1035</v>
      </c>
      <c r="L31" s="441">
        <v>1</v>
      </c>
      <c r="M31" s="469">
        <v>0.45</v>
      </c>
      <c r="N31" s="443" t="s">
        <v>64</v>
      </c>
      <c r="O31" s="444">
        <v>10000</v>
      </c>
      <c r="P31" s="443">
        <f t="shared" si="13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1344</v>
      </c>
      <c r="AA31" s="451" t="s">
        <v>1345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>
        <v>1</v>
      </c>
      <c r="BC31" s="459">
        <v>1</v>
      </c>
      <c r="BD31" s="459">
        <v>1</v>
      </c>
      <c r="BE31" s="459">
        <v>1</v>
      </c>
      <c r="BF31" s="468">
        <v>1</v>
      </c>
      <c r="BG31" s="468">
        <v>1</v>
      </c>
      <c r="BH31" s="468"/>
      <c r="BI31" s="468"/>
      <c r="BJ31" s="459">
        <v>9</v>
      </c>
      <c r="BK31" s="459">
        <f t="shared" si="11"/>
        <v>7</v>
      </c>
      <c r="BL31" s="460">
        <f t="shared" si="12"/>
        <v>0.77777777777777779</v>
      </c>
      <c r="BR31" s="464" t="s">
        <v>1346</v>
      </c>
      <c r="BS31" s="461">
        <f t="shared" si="14"/>
        <v>46317</v>
      </c>
      <c r="BT31" s="462" t="s">
        <v>609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77</v>
      </c>
      <c r="E32" s="439"/>
      <c r="F32" s="439" t="s">
        <v>1376</v>
      </c>
      <c r="G32" s="438" t="s">
        <v>1377</v>
      </c>
      <c r="H32" s="425"/>
      <c r="I32" s="439" t="s">
        <v>375</v>
      </c>
      <c r="J32" s="440" t="s">
        <v>1338</v>
      </c>
      <c r="K32" s="440" t="s">
        <v>1035</v>
      </c>
      <c r="L32" s="441">
        <v>1</v>
      </c>
      <c r="M32" s="469">
        <v>0.45</v>
      </c>
      <c r="N32" s="443" t="s">
        <v>64</v>
      </c>
      <c r="O32" s="444">
        <v>10000</v>
      </c>
      <c r="P32" s="443">
        <f t="shared" si="13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1344</v>
      </c>
      <c r="AA32" s="451" t="s">
        <v>1345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>
        <v>1</v>
      </c>
      <c r="BC32" s="459">
        <v>1</v>
      </c>
      <c r="BD32" s="459">
        <v>1</v>
      </c>
      <c r="BE32" s="459">
        <v>1</v>
      </c>
      <c r="BF32" s="468">
        <v>1</v>
      </c>
      <c r="BG32" s="468">
        <v>1</v>
      </c>
      <c r="BH32" s="468"/>
      <c r="BI32" s="468"/>
      <c r="BJ32" s="459">
        <v>9</v>
      </c>
      <c r="BK32" s="459">
        <f t="shared" si="11"/>
        <v>7</v>
      </c>
      <c r="BL32" s="460">
        <f t="shared" si="12"/>
        <v>0.77777777777777779</v>
      </c>
      <c r="BR32" s="464" t="s">
        <v>1346</v>
      </c>
      <c r="BS32" s="461">
        <f t="shared" si="14"/>
        <v>46317</v>
      </c>
      <c r="BT32" s="462" t="s">
        <v>609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77</v>
      </c>
      <c r="E33" s="439"/>
      <c r="F33" s="439" t="s">
        <v>1378</v>
      </c>
      <c r="G33" s="438" t="s">
        <v>1379</v>
      </c>
      <c r="H33" s="425"/>
      <c r="I33" s="439" t="s">
        <v>375</v>
      </c>
      <c r="J33" s="440" t="s">
        <v>1338</v>
      </c>
      <c r="K33" s="440" t="s">
        <v>1035</v>
      </c>
      <c r="L33" s="441">
        <v>1</v>
      </c>
      <c r="M33" s="469">
        <v>0.45</v>
      </c>
      <c r="N33" s="443" t="s">
        <v>64</v>
      </c>
      <c r="O33" s="444">
        <v>10000</v>
      </c>
      <c r="P33" s="443">
        <f t="shared" si="13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1344</v>
      </c>
      <c r="AA33" s="451" t="s">
        <v>1345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>
        <v>1</v>
      </c>
      <c r="BC33" s="459">
        <v>1</v>
      </c>
      <c r="BD33" s="459">
        <v>1</v>
      </c>
      <c r="BE33" s="459">
        <v>1</v>
      </c>
      <c r="BF33" s="468">
        <v>1</v>
      </c>
      <c r="BG33" s="468">
        <v>1</v>
      </c>
      <c r="BH33" s="468"/>
      <c r="BI33" s="468"/>
      <c r="BJ33" s="459">
        <v>9</v>
      </c>
      <c r="BK33" s="459">
        <f t="shared" si="11"/>
        <v>7</v>
      </c>
      <c r="BL33" s="460">
        <f t="shared" si="12"/>
        <v>0.77777777777777779</v>
      </c>
      <c r="BR33" s="464" t="s">
        <v>1346</v>
      </c>
      <c r="BS33" s="461">
        <f t="shared" si="14"/>
        <v>46317</v>
      </c>
      <c r="BT33" s="462" t="s">
        <v>609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77</v>
      </c>
      <c r="E34" s="439"/>
      <c r="F34" s="439" t="s">
        <v>1380</v>
      </c>
      <c r="G34" s="438" t="s">
        <v>1381</v>
      </c>
      <c r="H34" s="425"/>
      <c r="I34" s="439" t="s">
        <v>375</v>
      </c>
      <c r="J34" s="440" t="s">
        <v>1338</v>
      </c>
      <c r="K34" s="440" t="s">
        <v>1035</v>
      </c>
      <c r="L34" s="441">
        <v>1</v>
      </c>
      <c r="M34" s="469">
        <v>0.45</v>
      </c>
      <c r="N34" s="443" t="s">
        <v>64</v>
      </c>
      <c r="O34" s="444">
        <v>10000</v>
      </c>
      <c r="P34" s="443">
        <f t="shared" si="13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1344</v>
      </c>
      <c r="AA34" s="451" t="s">
        <v>1345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>
        <v>1</v>
      </c>
      <c r="BC34" s="459">
        <v>1</v>
      </c>
      <c r="BD34" s="459">
        <v>1</v>
      </c>
      <c r="BE34" s="459">
        <v>1</v>
      </c>
      <c r="BF34" s="468">
        <v>1</v>
      </c>
      <c r="BG34" s="468">
        <v>1</v>
      </c>
      <c r="BH34" s="468"/>
      <c r="BI34" s="468"/>
      <c r="BJ34" s="459">
        <v>9</v>
      </c>
      <c r="BK34" s="459">
        <f t="shared" si="11"/>
        <v>7</v>
      </c>
      <c r="BL34" s="460">
        <f t="shared" si="12"/>
        <v>0.77777777777777779</v>
      </c>
      <c r="BR34" s="464" t="s">
        <v>1346</v>
      </c>
      <c r="BS34" s="461">
        <f t="shared" si="14"/>
        <v>46317</v>
      </c>
      <c r="BT34" s="462" t="s">
        <v>609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77</v>
      </c>
      <c r="E35" s="439"/>
      <c r="F35" s="439" t="s">
        <v>1382</v>
      </c>
      <c r="G35" s="438" t="s">
        <v>1383</v>
      </c>
      <c r="H35" s="425"/>
      <c r="I35" s="439" t="s">
        <v>375</v>
      </c>
      <c r="J35" s="440" t="s">
        <v>1338</v>
      </c>
      <c r="K35" s="440" t="s">
        <v>1035</v>
      </c>
      <c r="L35" s="441">
        <v>1</v>
      </c>
      <c r="M35" s="469">
        <v>0.45</v>
      </c>
      <c r="N35" s="443" t="s">
        <v>64</v>
      </c>
      <c r="O35" s="444">
        <v>10000</v>
      </c>
      <c r="P35" s="443">
        <f t="shared" si="13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1344</v>
      </c>
      <c r="AA35" s="451" t="s">
        <v>1345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>
        <v>1</v>
      </c>
      <c r="BC35" s="459">
        <v>1</v>
      </c>
      <c r="BD35" s="459">
        <v>1</v>
      </c>
      <c r="BE35" s="459">
        <v>1</v>
      </c>
      <c r="BF35" s="468">
        <v>1</v>
      </c>
      <c r="BG35" s="468">
        <v>1</v>
      </c>
      <c r="BH35" s="468"/>
      <c r="BI35" s="468"/>
      <c r="BJ35" s="459">
        <v>9</v>
      </c>
      <c r="BK35" s="459">
        <f t="shared" si="11"/>
        <v>7</v>
      </c>
      <c r="BL35" s="460">
        <f t="shared" si="12"/>
        <v>0.77777777777777779</v>
      </c>
      <c r="BR35" s="464" t="s">
        <v>1346</v>
      </c>
      <c r="BS35" s="461">
        <f t="shared" si="14"/>
        <v>46317</v>
      </c>
      <c r="BT35" s="462" t="s">
        <v>609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77</v>
      </c>
      <c r="E36" s="439"/>
      <c r="F36" s="439" t="s">
        <v>1384</v>
      </c>
      <c r="G36" s="438" t="s">
        <v>1385</v>
      </c>
      <c r="H36" s="425"/>
      <c r="I36" s="439" t="s">
        <v>375</v>
      </c>
      <c r="J36" s="440" t="s">
        <v>1338</v>
      </c>
      <c r="K36" s="440" t="s">
        <v>1035</v>
      </c>
      <c r="L36" s="441">
        <v>1</v>
      </c>
      <c r="M36" s="469">
        <v>0.45</v>
      </c>
      <c r="N36" s="443" t="s">
        <v>64</v>
      </c>
      <c r="O36" s="444">
        <v>10000</v>
      </c>
      <c r="P36" s="443">
        <f t="shared" si="13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1344</v>
      </c>
      <c r="AA36" s="451" t="s">
        <v>1345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>
        <v>1</v>
      </c>
      <c r="BC36" s="459">
        <v>1</v>
      </c>
      <c r="BD36" s="459">
        <v>1</v>
      </c>
      <c r="BE36" s="459">
        <v>1</v>
      </c>
      <c r="BF36" s="468">
        <v>1</v>
      </c>
      <c r="BG36" s="468">
        <v>1</v>
      </c>
      <c r="BH36" s="468"/>
      <c r="BI36" s="468"/>
      <c r="BJ36" s="459">
        <v>9</v>
      </c>
      <c r="BK36" s="459">
        <f t="shared" si="11"/>
        <v>7</v>
      </c>
      <c r="BL36" s="460">
        <f t="shared" si="12"/>
        <v>0.77777777777777779</v>
      </c>
      <c r="BR36" s="464" t="s">
        <v>1346</v>
      </c>
      <c r="BS36" s="461">
        <f t="shared" si="14"/>
        <v>46317</v>
      </c>
      <c r="BT36" s="462" t="s">
        <v>609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77</v>
      </c>
      <c r="E37" s="439"/>
      <c r="F37" s="439" t="s">
        <v>1386</v>
      </c>
      <c r="G37" s="438" t="s">
        <v>1387</v>
      </c>
      <c r="H37" s="425"/>
      <c r="I37" s="439" t="s">
        <v>375</v>
      </c>
      <c r="J37" s="440" t="s">
        <v>1338</v>
      </c>
      <c r="K37" s="440" t="s">
        <v>1035</v>
      </c>
      <c r="L37" s="441">
        <v>1</v>
      </c>
      <c r="M37" s="469">
        <v>0.45</v>
      </c>
      <c r="N37" s="443" t="s">
        <v>64</v>
      </c>
      <c r="O37" s="444">
        <v>10000</v>
      </c>
      <c r="P37" s="443">
        <f t="shared" si="13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1344</v>
      </c>
      <c r="AA37" s="451" t="s">
        <v>1345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>
        <v>1</v>
      </c>
      <c r="BC37" s="459">
        <v>1</v>
      </c>
      <c r="BD37" s="459">
        <v>1</v>
      </c>
      <c r="BE37" s="459">
        <v>1</v>
      </c>
      <c r="BF37" s="468">
        <v>1</v>
      </c>
      <c r="BG37" s="468">
        <v>1</v>
      </c>
      <c r="BH37" s="468"/>
      <c r="BI37" s="468"/>
      <c r="BJ37" s="459">
        <v>9</v>
      </c>
      <c r="BK37" s="459">
        <f t="shared" si="11"/>
        <v>7</v>
      </c>
      <c r="BL37" s="460">
        <f t="shared" si="12"/>
        <v>0.77777777777777779</v>
      </c>
      <c r="BR37" s="464" t="s">
        <v>1346</v>
      </c>
      <c r="BS37" s="461">
        <f t="shared" si="14"/>
        <v>46317</v>
      </c>
      <c r="BT37" s="462" t="s">
        <v>609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77</v>
      </c>
      <c r="E38" s="439"/>
      <c r="F38" s="439" t="s">
        <v>1388</v>
      </c>
      <c r="G38" s="438" t="s">
        <v>1389</v>
      </c>
      <c r="H38" s="425"/>
      <c r="I38" s="439" t="s">
        <v>375</v>
      </c>
      <c r="J38" s="440" t="s">
        <v>1338</v>
      </c>
      <c r="K38" s="440" t="s">
        <v>1035</v>
      </c>
      <c r="L38" s="441">
        <v>1</v>
      </c>
      <c r="M38" s="469">
        <v>0.45</v>
      </c>
      <c r="N38" s="443" t="s">
        <v>64</v>
      </c>
      <c r="O38" s="444">
        <v>10000</v>
      </c>
      <c r="P38" s="443">
        <f t="shared" si="13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1344</v>
      </c>
      <c r="AA38" s="451" t="s">
        <v>1345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>
        <v>1</v>
      </c>
      <c r="BC38" s="459">
        <v>1</v>
      </c>
      <c r="BD38" s="459">
        <v>1</v>
      </c>
      <c r="BE38" s="459">
        <v>1</v>
      </c>
      <c r="BF38" s="468">
        <v>1</v>
      </c>
      <c r="BG38" s="468">
        <v>1</v>
      </c>
      <c r="BH38" s="468"/>
      <c r="BI38" s="468"/>
      <c r="BJ38" s="459">
        <v>9</v>
      </c>
      <c r="BK38" s="459">
        <f t="shared" si="11"/>
        <v>7</v>
      </c>
      <c r="BL38" s="460">
        <f t="shared" si="12"/>
        <v>0.77777777777777779</v>
      </c>
      <c r="BR38" s="464" t="s">
        <v>1346</v>
      </c>
      <c r="BS38" s="461">
        <f t="shared" si="14"/>
        <v>46317</v>
      </c>
      <c r="BT38" s="462" t="s">
        <v>609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77</v>
      </c>
      <c r="E39" s="502">
        <v>7502327991977</v>
      </c>
      <c r="F39" s="439" t="s">
        <v>1390</v>
      </c>
      <c r="G39" s="438" t="s">
        <v>1391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>
        <v>1</v>
      </c>
      <c r="BC39" s="459">
        <v>1</v>
      </c>
      <c r="BD39" s="459">
        <v>1</v>
      </c>
      <c r="BE39" s="459">
        <v>1</v>
      </c>
      <c r="BF39" s="468">
        <v>1</v>
      </c>
      <c r="BG39" s="468"/>
      <c r="BH39" s="468"/>
      <c r="BI39" s="468"/>
      <c r="BJ39" s="459"/>
      <c r="BK39" s="459"/>
      <c r="BL39" s="460"/>
      <c r="BR39" s="464" t="s">
        <v>1392</v>
      </c>
      <c r="BS39" s="461">
        <f t="shared" si="14"/>
        <v>46334</v>
      </c>
      <c r="BT39" s="462" t="s">
        <v>129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77</v>
      </c>
      <c r="E40" s="502">
        <v>7502327991984</v>
      </c>
      <c r="F40" s="439" t="s">
        <v>1393</v>
      </c>
      <c r="G40" s="438" t="s">
        <v>1394</v>
      </c>
      <c r="H40" s="439"/>
      <c r="I40" s="439" t="s">
        <v>375</v>
      </c>
      <c r="J40" s="439" t="s">
        <v>1338</v>
      </c>
      <c r="K40" s="440" t="s">
        <v>1035</v>
      </c>
      <c r="L40" s="441">
        <v>1</v>
      </c>
      <c r="M40" s="469">
        <v>0.5</v>
      </c>
      <c r="N40" s="443" t="s">
        <v>64</v>
      </c>
      <c r="O40" s="444">
        <v>10000</v>
      </c>
      <c r="P40" s="443">
        <f t="shared" si="13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1344</v>
      </c>
      <c r="AA40" s="451" t="s">
        <v>1345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>
        <v>1</v>
      </c>
      <c r="BC40" s="459">
        <v>1</v>
      </c>
      <c r="BD40" s="459">
        <v>1</v>
      </c>
      <c r="BE40" s="459">
        <v>1</v>
      </c>
      <c r="BF40" s="468">
        <v>1</v>
      </c>
      <c r="BG40" s="468"/>
      <c r="BH40" s="468"/>
      <c r="BI40" s="468"/>
      <c r="BJ40" s="459">
        <v>8</v>
      </c>
      <c r="BK40" s="459">
        <f t="shared" si="11"/>
        <v>6</v>
      </c>
      <c r="BL40" s="460">
        <f t="shared" si="12"/>
        <v>0.75</v>
      </c>
      <c r="BR40" s="464" t="s">
        <v>1395</v>
      </c>
      <c r="BS40" s="461">
        <f t="shared" si="14"/>
        <v>46334</v>
      </c>
      <c r="BT40" s="462" t="s">
        <v>129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77</v>
      </c>
      <c r="E41" s="502">
        <v>7502327991991</v>
      </c>
      <c r="F41" s="439" t="s">
        <v>1396</v>
      </c>
      <c r="G41" s="438" t="s">
        <v>1397</v>
      </c>
      <c r="H41" s="471"/>
      <c r="I41" s="439" t="s">
        <v>375</v>
      </c>
      <c r="J41" s="471" t="s">
        <v>1338</v>
      </c>
      <c r="K41" s="440" t="s">
        <v>1035</v>
      </c>
      <c r="L41" s="441">
        <v>1</v>
      </c>
      <c r="M41" s="469">
        <v>0.5</v>
      </c>
      <c r="N41" s="443" t="s">
        <v>64</v>
      </c>
      <c r="O41" s="444">
        <v>10000</v>
      </c>
      <c r="P41" s="443">
        <f t="shared" si="13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1344</v>
      </c>
      <c r="AA41" s="451" t="s">
        <v>1345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>
        <v>1</v>
      </c>
      <c r="BC41" s="459">
        <v>1</v>
      </c>
      <c r="BD41" s="459">
        <v>1</v>
      </c>
      <c r="BE41" s="459">
        <v>1</v>
      </c>
      <c r="BF41" s="468">
        <v>1</v>
      </c>
      <c r="BG41" s="468"/>
      <c r="BH41" s="468"/>
      <c r="BI41" s="468"/>
      <c r="BJ41" s="459">
        <v>8</v>
      </c>
      <c r="BK41" s="459">
        <f t="shared" si="11"/>
        <v>6</v>
      </c>
      <c r="BL41" s="460">
        <f t="shared" si="12"/>
        <v>0.75</v>
      </c>
      <c r="BR41" s="464" t="s">
        <v>1395</v>
      </c>
      <c r="BS41" s="461">
        <f t="shared" si="14"/>
        <v>46334</v>
      </c>
      <c r="BT41" s="462" t="s">
        <v>129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77</v>
      </c>
      <c r="E42" s="502">
        <v>7502327992004</v>
      </c>
      <c r="F42" s="439" t="s">
        <v>1398</v>
      </c>
      <c r="G42" s="438" t="s">
        <v>1399</v>
      </c>
      <c r="H42" s="425"/>
      <c r="I42" s="439" t="s">
        <v>1400</v>
      </c>
      <c r="J42" s="440" t="s">
        <v>1338</v>
      </c>
      <c r="K42" s="440" t="s">
        <v>1035</v>
      </c>
      <c r="L42" s="441">
        <v>1</v>
      </c>
      <c r="M42" s="469">
        <v>0.37</v>
      </c>
      <c r="N42" s="443" t="s">
        <v>64</v>
      </c>
      <c r="O42" s="444">
        <v>10000</v>
      </c>
      <c r="P42" s="443">
        <f t="shared" si="13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1344</v>
      </c>
      <c r="AA42" s="451" t="s">
        <v>1345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>
        <v>1</v>
      </c>
      <c r="BC42" s="459">
        <v>1</v>
      </c>
      <c r="BD42" s="459">
        <v>1</v>
      </c>
      <c r="BE42" s="459">
        <v>1</v>
      </c>
      <c r="BF42" s="468">
        <v>1</v>
      </c>
      <c r="BG42" s="468">
        <v>1</v>
      </c>
      <c r="BH42" s="468"/>
      <c r="BI42" s="468"/>
      <c r="BJ42" s="459">
        <v>8</v>
      </c>
      <c r="BK42" s="459">
        <f t="shared" si="11"/>
        <v>7</v>
      </c>
      <c r="BL42" s="460">
        <f t="shared" si="12"/>
        <v>0.875</v>
      </c>
      <c r="BR42" s="464" t="s">
        <v>1401</v>
      </c>
      <c r="BS42" s="461">
        <f t="shared" si="14"/>
        <v>46308</v>
      </c>
      <c r="BT42" s="462" t="s">
        <v>86</v>
      </c>
      <c r="CJ42" s="463">
        <v>46156</v>
      </c>
      <c r="CK42" s="463">
        <v>46156</v>
      </c>
      <c r="CL42" s="463">
        <f t="shared" ref="CL42:CL49" si="33">CK42+15</f>
        <v>46171</v>
      </c>
      <c r="CM42" s="463"/>
      <c r="CN42" s="463">
        <f>CL42+14</f>
        <v>46185</v>
      </c>
      <c r="CO42" s="464"/>
      <c r="CP42" s="463">
        <f t="shared" ref="CP42:CP49" si="34">CN42+45</f>
        <v>46230</v>
      </c>
      <c r="CQ42" s="465"/>
      <c r="CR42" s="466">
        <f t="shared" ref="CR42:CR49" si="35">CP42-12</f>
        <v>46218</v>
      </c>
      <c r="CS42" s="467"/>
      <c r="CT42" s="466">
        <f t="shared" ref="CT42:CT49" si="36">CP42+7</f>
        <v>46237</v>
      </c>
      <c r="CU42" s="467"/>
      <c r="CV42" s="466">
        <f t="shared" ref="CV42:CV49" si="37">CT42+7</f>
        <v>46244</v>
      </c>
      <c r="CW42" s="467"/>
      <c r="CX42" s="466">
        <f t="shared" ref="CX42:CX49" si="38">CV42+44</f>
        <v>46288</v>
      </c>
      <c r="CY42" s="467"/>
      <c r="CZ42" s="466">
        <f t="shared" ref="CZ42:CZ49" si="39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77</v>
      </c>
      <c r="E43" s="502">
        <v>7502327992011</v>
      </c>
      <c r="F43" s="439" t="s">
        <v>1402</v>
      </c>
      <c r="G43" s="438" t="s">
        <v>1403</v>
      </c>
      <c r="H43" s="425"/>
      <c r="I43" s="439" t="s">
        <v>1400</v>
      </c>
      <c r="J43" s="440" t="s">
        <v>1338</v>
      </c>
      <c r="K43" s="440" t="s">
        <v>1035</v>
      </c>
      <c r="L43" s="441">
        <v>1</v>
      </c>
      <c r="M43" s="469">
        <v>0.37</v>
      </c>
      <c r="N43" s="443" t="s">
        <v>64</v>
      </c>
      <c r="O43" s="444">
        <v>10000</v>
      </c>
      <c r="P43" s="443">
        <f t="shared" si="13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1344</v>
      </c>
      <c r="AA43" s="451" t="s">
        <v>1345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>
        <v>1</v>
      </c>
      <c r="BC43" s="459">
        <v>1</v>
      </c>
      <c r="BD43" s="459">
        <v>1</v>
      </c>
      <c r="BE43" s="459">
        <v>1</v>
      </c>
      <c r="BF43" s="468">
        <v>1</v>
      </c>
      <c r="BG43" s="468">
        <v>1</v>
      </c>
      <c r="BH43" s="468"/>
      <c r="BI43" s="468"/>
      <c r="BJ43" s="459">
        <v>8</v>
      </c>
      <c r="BK43" s="459">
        <f t="shared" si="11"/>
        <v>7</v>
      </c>
      <c r="BL43" s="460">
        <f t="shared" si="12"/>
        <v>0.875</v>
      </c>
      <c r="BR43" s="464" t="s">
        <v>1401</v>
      </c>
      <c r="BS43" s="461">
        <f t="shared" si="14"/>
        <v>46308</v>
      </c>
      <c r="BT43" s="462" t="s">
        <v>86</v>
      </c>
      <c r="CJ43" s="463">
        <v>46156</v>
      </c>
      <c r="CK43" s="463">
        <v>46156</v>
      </c>
      <c r="CL43" s="463">
        <f t="shared" si="33"/>
        <v>46171</v>
      </c>
      <c r="CM43" s="463"/>
      <c r="CN43" s="463">
        <f t="shared" ref="CN43:CN71" si="40">CL43+14</f>
        <v>46185</v>
      </c>
      <c r="CO43" s="464"/>
      <c r="CP43" s="463">
        <f t="shared" si="34"/>
        <v>46230</v>
      </c>
      <c r="CQ43" s="465"/>
      <c r="CR43" s="466">
        <f t="shared" si="35"/>
        <v>46218</v>
      </c>
      <c r="CS43" s="467"/>
      <c r="CT43" s="466">
        <f t="shared" si="36"/>
        <v>46237</v>
      </c>
      <c r="CU43" s="467"/>
      <c r="CV43" s="466">
        <f t="shared" si="37"/>
        <v>46244</v>
      </c>
      <c r="CW43" s="467"/>
      <c r="CX43" s="466">
        <f t="shared" si="38"/>
        <v>46288</v>
      </c>
      <c r="CY43" s="467"/>
      <c r="CZ43" s="466">
        <f t="shared" si="39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77</v>
      </c>
      <c r="E44" s="502">
        <v>7502327992028</v>
      </c>
      <c r="F44" s="439" t="s">
        <v>1404</v>
      </c>
      <c r="G44" s="438" t="s">
        <v>1405</v>
      </c>
      <c r="H44" s="425"/>
      <c r="I44" s="439" t="s">
        <v>1400</v>
      </c>
      <c r="J44" s="440" t="s">
        <v>1338</v>
      </c>
      <c r="K44" s="440" t="s">
        <v>1035</v>
      </c>
      <c r="L44" s="441">
        <v>1</v>
      </c>
      <c r="M44" s="469">
        <v>0.37</v>
      </c>
      <c r="N44" s="443" t="s">
        <v>64</v>
      </c>
      <c r="O44" s="444">
        <v>10000</v>
      </c>
      <c r="P44" s="443">
        <f t="shared" si="13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1344</v>
      </c>
      <c r="AA44" s="451" t="s">
        <v>1345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>
        <v>1</v>
      </c>
      <c r="BC44" s="459">
        <v>1</v>
      </c>
      <c r="BD44" s="459">
        <v>1</v>
      </c>
      <c r="BE44" s="459">
        <v>1</v>
      </c>
      <c r="BF44" s="468">
        <v>1</v>
      </c>
      <c r="BG44" s="468">
        <v>1</v>
      </c>
      <c r="BH44" s="468"/>
      <c r="BI44" s="468"/>
      <c r="BJ44" s="459">
        <v>8</v>
      </c>
      <c r="BK44" s="459">
        <f t="shared" si="11"/>
        <v>7</v>
      </c>
      <c r="BL44" s="460">
        <f t="shared" si="12"/>
        <v>0.875</v>
      </c>
      <c r="BR44" s="464" t="s">
        <v>1401</v>
      </c>
      <c r="BS44" s="461">
        <f t="shared" si="14"/>
        <v>46308</v>
      </c>
      <c r="BT44" s="462" t="s">
        <v>86</v>
      </c>
      <c r="CJ44" s="463">
        <v>46156</v>
      </c>
      <c r="CK44" s="463">
        <v>46156</v>
      </c>
      <c r="CL44" s="463">
        <f t="shared" si="33"/>
        <v>46171</v>
      </c>
      <c r="CM44" s="463"/>
      <c r="CN44" s="463">
        <f t="shared" si="40"/>
        <v>46185</v>
      </c>
      <c r="CO44" s="464"/>
      <c r="CP44" s="463">
        <f t="shared" si="34"/>
        <v>46230</v>
      </c>
      <c r="CQ44" s="465"/>
      <c r="CR44" s="466">
        <f t="shared" si="35"/>
        <v>46218</v>
      </c>
      <c r="CS44" s="467"/>
      <c r="CT44" s="466">
        <f t="shared" si="36"/>
        <v>46237</v>
      </c>
      <c r="CU44" s="467"/>
      <c r="CV44" s="466">
        <f t="shared" si="37"/>
        <v>46244</v>
      </c>
      <c r="CW44" s="467"/>
      <c r="CX44" s="466">
        <f t="shared" si="38"/>
        <v>46288</v>
      </c>
      <c r="CY44" s="467"/>
      <c r="CZ44" s="466">
        <f t="shared" si="39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77</v>
      </c>
      <c r="E45" s="502">
        <v>7502327992035</v>
      </c>
      <c r="F45" s="439" t="s">
        <v>1406</v>
      </c>
      <c r="G45" s="438" t="s">
        <v>1407</v>
      </c>
      <c r="H45" s="425"/>
      <c r="I45" s="439" t="s">
        <v>1400</v>
      </c>
      <c r="J45" s="440" t="s">
        <v>1338</v>
      </c>
      <c r="K45" s="440" t="s">
        <v>1035</v>
      </c>
      <c r="L45" s="441">
        <v>1</v>
      </c>
      <c r="M45" s="469">
        <v>0.37</v>
      </c>
      <c r="N45" s="443" t="s">
        <v>64</v>
      </c>
      <c r="O45" s="444">
        <v>10000</v>
      </c>
      <c r="P45" s="443">
        <f t="shared" si="13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1344</v>
      </c>
      <c r="AA45" s="451" t="s">
        <v>1345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>
        <v>1</v>
      </c>
      <c r="BC45" s="459">
        <v>1</v>
      </c>
      <c r="BD45" s="459">
        <v>1</v>
      </c>
      <c r="BE45" s="459">
        <v>1</v>
      </c>
      <c r="BF45" s="468">
        <v>1</v>
      </c>
      <c r="BG45" s="468">
        <v>1</v>
      </c>
      <c r="BH45" s="468"/>
      <c r="BI45" s="468"/>
      <c r="BJ45" s="459">
        <v>8</v>
      </c>
      <c r="BK45" s="459">
        <f t="shared" si="11"/>
        <v>7</v>
      </c>
      <c r="BL45" s="460">
        <f t="shared" si="12"/>
        <v>0.875</v>
      </c>
      <c r="BR45" s="464" t="s">
        <v>1401</v>
      </c>
      <c r="BS45" s="461">
        <f t="shared" si="14"/>
        <v>46308</v>
      </c>
      <c r="BT45" s="462" t="s">
        <v>86</v>
      </c>
      <c r="CJ45" s="463">
        <v>46156</v>
      </c>
      <c r="CK45" s="463">
        <v>46156</v>
      </c>
      <c r="CL45" s="463">
        <f t="shared" si="33"/>
        <v>46171</v>
      </c>
      <c r="CM45" s="463"/>
      <c r="CN45" s="463">
        <f t="shared" si="40"/>
        <v>46185</v>
      </c>
      <c r="CO45" s="464"/>
      <c r="CP45" s="463">
        <f t="shared" si="34"/>
        <v>46230</v>
      </c>
      <c r="CQ45" s="465"/>
      <c r="CR45" s="466">
        <f t="shared" si="35"/>
        <v>46218</v>
      </c>
      <c r="CS45" s="467"/>
      <c r="CT45" s="466">
        <f t="shared" si="36"/>
        <v>46237</v>
      </c>
      <c r="CU45" s="467"/>
      <c r="CV45" s="466">
        <f t="shared" si="37"/>
        <v>46244</v>
      </c>
      <c r="CW45" s="467"/>
      <c r="CX45" s="466">
        <f t="shared" si="38"/>
        <v>46288</v>
      </c>
      <c r="CY45" s="467"/>
      <c r="CZ45" s="466">
        <f t="shared" si="39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77</v>
      </c>
      <c r="E46" s="502">
        <v>7502327992042</v>
      </c>
      <c r="F46" s="439" t="s">
        <v>1408</v>
      </c>
      <c r="G46" s="438" t="s">
        <v>1409</v>
      </c>
      <c r="H46" s="425"/>
      <c r="I46" s="439" t="s">
        <v>1400</v>
      </c>
      <c r="J46" s="440" t="s">
        <v>1338</v>
      </c>
      <c r="K46" s="440" t="s">
        <v>1035</v>
      </c>
      <c r="L46" s="441">
        <v>1</v>
      </c>
      <c r="M46" s="469">
        <v>0.37</v>
      </c>
      <c r="N46" s="443" t="s">
        <v>64</v>
      </c>
      <c r="O46" s="444">
        <v>10000</v>
      </c>
      <c r="P46" s="443">
        <f t="shared" si="13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1344</v>
      </c>
      <c r="AA46" s="451" t="s">
        <v>1345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>
        <v>1</v>
      </c>
      <c r="BC46" s="459">
        <v>1</v>
      </c>
      <c r="BD46" s="459">
        <v>1</v>
      </c>
      <c r="BE46" s="459">
        <v>1</v>
      </c>
      <c r="BF46" s="468">
        <v>1</v>
      </c>
      <c r="BG46" s="468">
        <v>1</v>
      </c>
      <c r="BH46" s="468"/>
      <c r="BI46" s="468"/>
      <c r="BJ46" s="459">
        <v>8</v>
      </c>
      <c r="BK46" s="459">
        <f t="shared" si="11"/>
        <v>7</v>
      </c>
      <c r="BL46" s="460">
        <f t="shared" si="12"/>
        <v>0.875</v>
      </c>
      <c r="BR46" s="464" t="s">
        <v>1401</v>
      </c>
      <c r="BS46" s="461">
        <f t="shared" si="14"/>
        <v>46308</v>
      </c>
      <c r="BT46" s="462" t="s">
        <v>86</v>
      </c>
      <c r="CJ46" s="463">
        <v>46156</v>
      </c>
      <c r="CK46" s="463">
        <v>46156</v>
      </c>
      <c r="CL46" s="463">
        <f t="shared" si="33"/>
        <v>46171</v>
      </c>
      <c r="CM46" s="463"/>
      <c r="CN46" s="463">
        <f t="shared" si="40"/>
        <v>46185</v>
      </c>
      <c r="CO46" s="464"/>
      <c r="CP46" s="463">
        <f t="shared" si="34"/>
        <v>46230</v>
      </c>
      <c r="CQ46" s="465"/>
      <c r="CR46" s="466">
        <f t="shared" si="35"/>
        <v>46218</v>
      </c>
      <c r="CS46" s="467"/>
      <c r="CT46" s="466">
        <f t="shared" si="36"/>
        <v>46237</v>
      </c>
      <c r="CU46" s="467"/>
      <c r="CV46" s="466">
        <f t="shared" si="37"/>
        <v>46244</v>
      </c>
      <c r="CW46" s="467"/>
      <c r="CX46" s="466">
        <f t="shared" si="38"/>
        <v>46288</v>
      </c>
      <c r="CY46" s="467"/>
      <c r="CZ46" s="466">
        <f t="shared" si="39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77</v>
      </c>
      <c r="E47" s="502">
        <v>7502327992059</v>
      </c>
      <c r="F47" s="439" t="s">
        <v>1410</v>
      </c>
      <c r="G47" s="438" t="s">
        <v>1411</v>
      </c>
      <c r="H47" s="439"/>
      <c r="I47" s="439" t="s">
        <v>1412</v>
      </c>
      <c r="J47" s="439" t="s">
        <v>1338</v>
      </c>
      <c r="K47" s="440" t="s">
        <v>1035</v>
      </c>
      <c r="L47" s="441">
        <v>1</v>
      </c>
      <c r="M47" s="469">
        <v>0.47</v>
      </c>
      <c r="N47" s="443" t="s">
        <v>64</v>
      </c>
      <c r="O47" s="444">
        <v>10000</v>
      </c>
      <c r="P47" s="443">
        <f t="shared" si="13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1344</v>
      </c>
      <c r="AA47" s="451" t="s">
        <v>1345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>
        <v>1</v>
      </c>
      <c r="BC47" s="459">
        <v>1</v>
      </c>
      <c r="BD47" s="459">
        <v>1</v>
      </c>
      <c r="BE47" s="459">
        <v>1</v>
      </c>
      <c r="BF47" s="468">
        <v>1</v>
      </c>
      <c r="BG47" s="468">
        <v>1</v>
      </c>
      <c r="BH47" s="468"/>
      <c r="BI47" s="468"/>
      <c r="BJ47" s="459">
        <v>8</v>
      </c>
      <c r="BK47" s="459">
        <f t="shared" si="11"/>
        <v>7</v>
      </c>
      <c r="BL47" s="460">
        <f t="shared" si="12"/>
        <v>0.875</v>
      </c>
      <c r="BR47" s="464" t="s">
        <v>1413</v>
      </c>
      <c r="BS47" s="461">
        <f t="shared" si="14"/>
        <v>46308</v>
      </c>
      <c r="BT47" s="462" t="s">
        <v>1414</v>
      </c>
      <c r="CJ47" s="463">
        <v>46156</v>
      </c>
      <c r="CK47" s="463">
        <v>46156</v>
      </c>
      <c r="CL47" s="463">
        <f t="shared" si="33"/>
        <v>46171</v>
      </c>
      <c r="CM47" s="463"/>
      <c r="CN47" s="463">
        <f t="shared" si="40"/>
        <v>46185</v>
      </c>
      <c r="CO47" s="464"/>
      <c r="CP47" s="463">
        <f t="shared" si="34"/>
        <v>46230</v>
      </c>
      <c r="CQ47" s="465"/>
      <c r="CR47" s="466">
        <f t="shared" si="35"/>
        <v>46218</v>
      </c>
      <c r="CS47" s="467"/>
      <c r="CT47" s="466">
        <f t="shared" si="36"/>
        <v>46237</v>
      </c>
      <c r="CU47" s="467"/>
      <c r="CV47" s="466">
        <f t="shared" si="37"/>
        <v>46244</v>
      </c>
      <c r="CW47" s="467"/>
      <c r="CX47" s="466">
        <f t="shared" si="38"/>
        <v>46288</v>
      </c>
      <c r="CY47" s="467"/>
      <c r="CZ47" s="466">
        <f t="shared" si="39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77</v>
      </c>
      <c r="E48" s="502">
        <v>7502327992066</v>
      </c>
      <c r="F48" s="439" t="s">
        <v>1415</v>
      </c>
      <c r="G48" s="438" t="s">
        <v>1416</v>
      </c>
      <c r="H48" s="439"/>
      <c r="I48" s="439" t="s">
        <v>1412</v>
      </c>
      <c r="J48" s="439" t="s">
        <v>1338</v>
      </c>
      <c r="K48" s="440" t="s">
        <v>1035</v>
      </c>
      <c r="L48" s="441">
        <v>1</v>
      </c>
      <c r="M48" s="469">
        <v>0.47</v>
      </c>
      <c r="N48" s="443" t="s">
        <v>64</v>
      </c>
      <c r="O48" s="444">
        <v>10000</v>
      </c>
      <c r="P48" s="443">
        <f t="shared" si="13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1344</v>
      </c>
      <c r="AA48" s="451" t="s">
        <v>1345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>
        <v>1</v>
      </c>
      <c r="BC48" s="459">
        <v>1</v>
      </c>
      <c r="BD48" s="459">
        <v>1</v>
      </c>
      <c r="BE48" s="459">
        <v>1</v>
      </c>
      <c r="BF48" s="468">
        <v>1</v>
      </c>
      <c r="BG48" s="468">
        <v>1</v>
      </c>
      <c r="BH48" s="468"/>
      <c r="BI48" s="468"/>
      <c r="BJ48" s="459">
        <v>8</v>
      </c>
      <c r="BK48" s="459">
        <f t="shared" si="11"/>
        <v>7</v>
      </c>
      <c r="BL48" s="460">
        <f t="shared" si="12"/>
        <v>0.875</v>
      </c>
      <c r="BR48" s="464" t="s">
        <v>1413</v>
      </c>
      <c r="BS48" s="461">
        <f t="shared" si="14"/>
        <v>46308</v>
      </c>
      <c r="BT48" s="462" t="s">
        <v>1414</v>
      </c>
      <c r="CJ48" s="463">
        <v>46156</v>
      </c>
      <c r="CK48" s="463">
        <v>46156</v>
      </c>
      <c r="CL48" s="463">
        <f t="shared" si="33"/>
        <v>46171</v>
      </c>
      <c r="CM48" s="463"/>
      <c r="CN48" s="463">
        <f t="shared" si="40"/>
        <v>46185</v>
      </c>
      <c r="CO48" s="464"/>
      <c r="CP48" s="463">
        <f t="shared" si="34"/>
        <v>46230</v>
      </c>
      <c r="CQ48" s="465"/>
      <c r="CR48" s="466">
        <f t="shared" si="35"/>
        <v>46218</v>
      </c>
      <c r="CS48" s="467"/>
      <c r="CT48" s="466">
        <f t="shared" si="36"/>
        <v>46237</v>
      </c>
      <c r="CU48" s="467"/>
      <c r="CV48" s="466">
        <f t="shared" si="37"/>
        <v>46244</v>
      </c>
      <c r="CW48" s="467"/>
      <c r="CX48" s="466">
        <f t="shared" si="38"/>
        <v>46288</v>
      </c>
      <c r="CY48" s="467"/>
      <c r="CZ48" s="466">
        <f t="shared" si="39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77</v>
      </c>
      <c r="E49" s="502">
        <v>7502327992073</v>
      </c>
      <c r="F49" s="439" t="s">
        <v>1417</v>
      </c>
      <c r="G49" s="438" t="s">
        <v>1418</v>
      </c>
      <c r="H49" s="425"/>
      <c r="I49" s="439" t="s">
        <v>1412</v>
      </c>
      <c r="J49" s="440" t="s">
        <v>1338</v>
      </c>
      <c r="K49" s="440" t="s">
        <v>1035</v>
      </c>
      <c r="L49" s="441">
        <v>1</v>
      </c>
      <c r="M49" s="469">
        <v>0.47</v>
      </c>
      <c r="N49" s="443" t="s">
        <v>64</v>
      </c>
      <c r="O49" s="444">
        <v>10000</v>
      </c>
      <c r="P49" s="443">
        <f t="shared" si="13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1344</v>
      </c>
      <c r="AA49" s="451" t="s">
        <v>1345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>
        <v>1</v>
      </c>
      <c r="BC49" s="459">
        <v>1</v>
      </c>
      <c r="BD49" s="459">
        <v>1</v>
      </c>
      <c r="BE49" s="459">
        <v>1</v>
      </c>
      <c r="BF49" s="468">
        <v>1</v>
      </c>
      <c r="BG49" s="468">
        <v>1</v>
      </c>
      <c r="BH49" s="468"/>
      <c r="BI49" s="468"/>
      <c r="BJ49" s="459">
        <v>8</v>
      </c>
      <c r="BK49" s="459">
        <f t="shared" si="11"/>
        <v>7</v>
      </c>
      <c r="BL49" s="460">
        <f t="shared" si="12"/>
        <v>0.875</v>
      </c>
      <c r="BR49" s="464" t="s">
        <v>1413</v>
      </c>
      <c r="BS49" s="461">
        <f t="shared" si="14"/>
        <v>46308</v>
      </c>
      <c r="BT49" s="462" t="s">
        <v>1414</v>
      </c>
      <c r="CJ49" s="463">
        <v>46156</v>
      </c>
      <c r="CK49" s="463">
        <v>46156</v>
      </c>
      <c r="CL49" s="463">
        <f t="shared" si="33"/>
        <v>46171</v>
      </c>
      <c r="CM49" s="463"/>
      <c r="CN49" s="463">
        <f t="shared" si="40"/>
        <v>46185</v>
      </c>
      <c r="CO49" s="464"/>
      <c r="CP49" s="463">
        <f t="shared" si="34"/>
        <v>46230</v>
      </c>
      <c r="CQ49" s="465"/>
      <c r="CR49" s="466">
        <f t="shared" si="35"/>
        <v>46218</v>
      </c>
      <c r="CS49" s="467"/>
      <c r="CT49" s="466">
        <f t="shared" si="36"/>
        <v>46237</v>
      </c>
      <c r="CU49" s="467"/>
      <c r="CV49" s="466">
        <f t="shared" si="37"/>
        <v>46244</v>
      </c>
      <c r="CW49" s="467"/>
      <c r="CX49" s="466">
        <f t="shared" si="38"/>
        <v>46288</v>
      </c>
      <c r="CY49" s="467"/>
      <c r="CZ49" s="466">
        <f t="shared" si="39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77</v>
      </c>
      <c r="E50" s="502">
        <v>7502327992080</v>
      </c>
      <c r="F50" s="439" t="s">
        <v>1419</v>
      </c>
      <c r="G50" s="438" t="s">
        <v>1420</v>
      </c>
      <c r="H50" s="425"/>
      <c r="I50" s="439" t="s">
        <v>1421</v>
      </c>
      <c r="J50" s="440" t="s">
        <v>1338</v>
      </c>
      <c r="K50" s="440" t="s">
        <v>1035</v>
      </c>
      <c r="L50" s="441">
        <v>1</v>
      </c>
      <c r="M50" s="469">
        <v>1.82</v>
      </c>
      <c r="N50" s="443" t="s">
        <v>64</v>
      </c>
      <c r="O50" s="444">
        <v>10000</v>
      </c>
      <c r="P50" s="443">
        <f t="shared" si="13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1">+T50/1.16</f>
        <v>214.65517241379311</v>
      </c>
      <c r="V50" s="446">
        <f t="shared" ref="V50:V80" si="42">+U50*0.6</f>
        <v>128.79310344827587</v>
      </c>
      <c r="W50" s="447">
        <f t="shared" ref="W50:W80" si="43">+S50/V50</f>
        <v>0.34171782161981257</v>
      </c>
      <c r="X50" s="448">
        <f t="shared" ref="X50:X85" si="44">1-(S50/V50)</f>
        <v>0.65828217838018743</v>
      </c>
      <c r="Y50" s="449">
        <f t="shared" ref="Y50:Y85" si="45">1-(V50/(T50/1.16))</f>
        <v>0.4</v>
      </c>
      <c r="Z50" s="450" t="s">
        <v>1344</v>
      </c>
      <c r="AA50" s="451" t="s">
        <v>1345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6">AG50/1.16</f>
        <v>145.68965517241381</v>
      </c>
      <c r="AI50" s="456">
        <f t="shared" ref="AI50:AI80" si="47">+S50/AH50</f>
        <v>0.30208664230769228</v>
      </c>
      <c r="AJ50" s="457">
        <f t="shared" ref="AJ50:AJ85" si="48">1-(S50/AH50)</f>
        <v>0.69791335769230778</v>
      </c>
      <c r="AK50" s="458">
        <f t="shared" ref="AK50:AK85" si="49">1-(AH50/(AG50/1.16))</f>
        <v>0</v>
      </c>
      <c r="BA50" s="459">
        <v>1</v>
      </c>
      <c r="BB50" s="459">
        <v>1</v>
      </c>
      <c r="BC50" s="459">
        <v>1</v>
      </c>
      <c r="BD50" s="459">
        <v>1</v>
      </c>
      <c r="BE50" s="459">
        <v>1</v>
      </c>
      <c r="BF50" s="468">
        <v>1</v>
      </c>
      <c r="BG50" s="468"/>
      <c r="BH50" s="468"/>
      <c r="BI50" s="468"/>
      <c r="BJ50" s="459">
        <v>8</v>
      </c>
      <c r="BK50" s="459">
        <f t="shared" ref="BK50:BK85" si="50">SUM(BA50:BI50)</f>
        <v>6</v>
      </c>
      <c r="BL50" s="460">
        <f t="shared" ref="BL50:BL80" si="51">+BK50/BJ50</f>
        <v>0.75</v>
      </c>
      <c r="BR50" s="464" t="s">
        <v>1395</v>
      </c>
      <c r="BS50" s="461">
        <f t="shared" si="14"/>
        <v>46334</v>
      </c>
      <c r="BT50" s="462" t="s">
        <v>129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77</v>
      </c>
      <c r="E51" s="502">
        <v>7502327992097</v>
      </c>
      <c r="F51" s="439" t="s">
        <v>1422</v>
      </c>
      <c r="G51" s="438" t="s">
        <v>1423</v>
      </c>
      <c r="H51" s="439"/>
      <c r="I51" s="439" t="s">
        <v>1421</v>
      </c>
      <c r="J51" s="439" t="s">
        <v>1338</v>
      </c>
      <c r="K51" s="440" t="s">
        <v>1035</v>
      </c>
      <c r="L51" s="441">
        <v>1</v>
      </c>
      <c r="M51" s="469">
        <v>1.82</v>
      </c>
      <c r="N51" s="443" t="s">
        <v>64</v>
      </c>
      <c r="O51" s="444">
        <v>10000</v>
      </c>
      <c r="P51" s="443">
        <f t="shared" si="13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1"/>
        <v>214.65517241379311</v>
      </c>
      <c r="V51" s="446">
        <f t="shared" si="42"/>
        <v>128.79310344827587</v>
      </c>
      <c r="W51" s="447">
        <f t="shared" si="43"/>
        <v>0.34171782161981257</v>
      </c>
      <c r="X51" s="448">
        <f t="shared" si="44"/>
        <v>0.65828217838018743</v>
      </c>
      <c r="Y51" s="449">
        <f t="shared" si="45"/>
        <v>0.4</v>
      </c>
      <c r="Z51" s="450" t="s">
        <v>1344</v>
      </c>
      <c r="AA51" s="451" t="s">
        <v>1345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6"/>
        <v>145.68965517241381</v>
      </c>
      <c r="AI51" s="456">
        <f t="shared" si="47"/>
        <v>0.30208664230769228</v>
      </c>
      <c r="AJ51" s="457">
        <f t="shared" si="48"/>
        <v>0.69791335769230778</v>
      </c>
      <c r="AK51" s="458">
        <f t="shared" si="49"/>
        <v>0</v>
      </c>
      <c r="BA51" s="459">
        <v>1</v>
      </c>
      <c r="BB51" s="459">
        <v>1</v>
      </c>
      <c r="BC51" s="459">
        <v>1</v>
      </c>
      <c r="BD51" s="459">
        <v>1</v>
      </c>
      <c r="BE51" s="459">
        <v>1</v>
      </c>
      <c r="BF51" s="468">
        <v>1</v>
      </c>
      <c r="BG51" s="468"/>
      <c r="BH51" s="468"/>
      <c r="BI51" s="468"/>
      <c r="BJ51" s="459">
        <v>8</v>
      </c>
      <c r="BK51" s="459">
        <f t="shared" si="50"/>
        <v>6</v>
      </c>
      <c r="BL51" s="460">
        <f t="shared" si="51"/>
        <v>0.75</v>
      </c>
      <c r="BR51" s="464" t="s">
        <v>1395</v>
      </c>
      <c r="BS51" s="461">
        <f t="shared" si="14"/>
        <v>46334</v>
      </c>
      <c r="BT51" s="462" t="s">
        <v>129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77</v>
      </c>
      <c r="E52" s="502">
        <v>7502327992103</v>
      </c>
      <c r="F52" s="439" t="s">
        <v>1424</v>
      </c>
      <c r="G52" s="438" t="s">
        <v>1425</v>
      </c>
      <c r="H52" s="425"/>
      <c r="I52" s="439" t="s">
        <v>449</v>
      </c>
      <c r="J52" s="440" t="s">
        <v>1338</v>
      </c>
      <c r="K52" s="440" t="s">
        <v>1035</v>
      </c>
      <c r="L52" s="441">
        <v>1</v>
      </c>
      <c r="M52" s="469">
        <v>0.52</v>
      </c>
      <c r="N52" s="443" t="s">
        <v>64</v>
      </c>
      <c r="O52" s="444">
        <v>10000</v>
      </c>
      <c r="P52" s="443">
        <f t="shared" si="13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1"/>
        <v>102.58620689655173</v>
      </c>
      <c r="V52" s="446">
        <f t="shared" si="42"/>
        <v>61.551724137931032</v>
      </c>
      <c r="W52" s="447">
        <f t="shared" si="43"/>
        <v>0.20032639495798321</v>
      </c>
      <c r="X52" s="448">
        <f t="shared" si="44"/>
        <v>0.79967360504201679</v>
      </c>
      <c r="Y52" s="449">
        <f t="shared" si="45"/>
        <v>0.4</v>
      </c>
      <c r="Z52" s="450" t="s">
        <v>1344</v>
      </c>
      <c r="AA52" s="451" t="s">
        <v>1345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6"/>
        <v>68.103448275862078</v>
      </c>
      <c r="AI52" s="456">
        <f t="shared" si="47"/>
        <v>0.18105448860759493</v>
      </c>
      <c r="AJ52" s="457">
        <f t="shared" si="48"/>
        <v>0.81894551139240512</v>
      </c>
      <c r="AK52" s="458">
        <f t="shared" si="49"/>
        <v>0</v>
      </c>
      <c r="BA52" s="459">
        <v>1</v>
      </c>
      <c r="BB52" s="459">
        <v>1</v>
      </c>
      <c r="BC52" s="459">
        <v>1</v>
      </c>
      <c r="BD52" s="459">
        <v>1</v>
      </c>
      <c r="BE52" s="459">
        <v>1</v>
      </c>
      <c r="BF52" s="468">
        <v>1</v>
      </c>
      <c r="BG52" s="468">
        <v>1</v>
      </c>
      <c r="BH52" s="468"/>
      <c r="BI52" s="468"/>
      <c r="BJ52" s="459">
        <v>8</v>
      </c>
      <c r="BK52" s="459">
        <f t="shared" si="50"/>
        <v>7</v>
      </c>
      <c r="BL52" s="460">
        <f t="shared" si="51"/>
        <v>0.875</v>
      </c>
      <c r="BR52" s="464" t="s">
        <v>1361</v>
      </c>
      <c r="BS52" s="461">
        <f t="shared" si="14"/>
        <v>46308</v>
      </c>
      <c r="BT52" s="462" t="s">
        <v>86</v>
      </c>
      <c r="CJ52" s="463">
        <v>46156</v>
      </c>
      <c r="CK52" s="463">
        <v>46156</v>
      </c>
      <c r="CL52" s="463">
        <f t="shared" ref="CL52" si="52">CK52+15</f>
        <v>46171</v>
      </c>
      <c r="CM52" s="463"/>
      <c r="CN52" s="463">
        <f t="shared" si="40"/>
        <v>46185</v>
      </c>
      <c r="CO52" s="464"/>
      <c r="CP52" s="463">
        <f t="shared" ref="CP52" si="53">CN52+45</f>
        <v>46230</v>
      </c>
      <c r="CQ52" s="465"/>
      <c r="CR52" s="466">
        <f t="shared" ref="CR52" si="54">CP52-12</f>
        <v>46218</v>
      </c>
      <c r="CS52" s="467"/>
      <c r="CT52" s="466">
        <f t="shared" ref="CT52" si="55">CP52+7</f>
        <v>46237</v>
      </c>
      <c r="CU52" s="467"/>
      <c r="CV52" s="466">
        <f t="shared" ref="CV52" si="56">CT52+7</f>
        <v>46244</v>
      </c>
      <c r="CW52" s="467"/>
      <c r="CX52" s="466">
        <f t="shared" ref="CX52" si="57">CV52+44</f>
        <v>46288</v>
      </c>
      <c r="CY52" s="467"/>
      <c r="CZ52" s="466">
        <f t="shared" ref="CZ52" si="58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77</v>
      </c>
      <c r="E53" s="502">
        <v>7502327992110</v>
      </c>
      <c r="F53" s="439" t="s">
        <v>1426</v>
      </c>
      <c r="G53" s="438" t="s">
        <v>1427</v>
      </c>
      <c r="H53" s="425"/>
      <c r="I53" s="439" t="s">
        <v>343</v>
      </c>
      <c r="J53" s="440" t="s">
        <v>1338</v>
      </c>
      <c r="K53" s="440" t="s">
        <v>1035</v>
      </c>
      <c r="L53" s="441">
        <v>1</v>
      </c>
      <c r="M53" s="472"/>
      <c r="N53" s="443" t="s">
        <v>64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1"/>
        <v>137.06896551724139</v>
      </c>
      <c r="V53" s="446">
        <f t="shared" si="42"/>
        <v>82.24137931034484</v>
      </c>
      <c r="W53" s="447">
        <f t="shared" si="43"/>
        <v>0.23224318658280921</v>
      </c>
      <c r="X53" s="448">
        <f t="shared" si="44"/>
        <v>0.76775681341719082</v>
      </c>
      <c r="Y53" s="449">
        <f t="shared" si="45"/>
        <v>0.4</v>
      </c>
      <c r="Z53" s="450" t="s">
        <v>1344</v>
      </c>
      <c r="AA53" s="451" t="s">
        <v>1345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6"/>
        <v>93.965517241379317</v>
      </c>
      <c r="AI53" s="456">
        <f t="shared" si="47"/>
        <v>0.20326605504587156</v>
      </c>
      <c r="AJ53" s="457">
        <f t="shared" si="48"/>
        <v>0.79673394495412841</v>
      </c>
      <c r="AK53" s="458">
        <f t="shared" si="49"/>
        <v>0</v>
      </c>
      <c r="BA53" s="459">
        <v>1</v>
      </c>
      <c r="BB53" s="459">
        <v>1</v>
      </c>
      <c r="BC53" s="459">
        <v>1</v>
      </c>
      <c r="BD53" s="459">
        <v>1</v>
      </c>
      <c r="BE53" s="459">
        <v>1</v>
      </c>
      <c r="BF53" s="468">
        <v>1</v>
      </c>
      <c r="BG53" s="468"/>
      <c r="BH53" s="468"/>
      <c r="BI53" s="468"/>
      <c r="BJ53" s="459">
        <v>8</v>
      </c>
      <c r="BK53" s="459">
        <f t="shared" si="50"/>
        <v>6</v>
      </c>
      <c r="BL53" s="460">
        <f t="shared" si="51"/>
        <v>0.75</v>
      </c>
      <c r="BR53" s="464" t="s">
        <v>1392</v>
      </c>
      <c r="BS53" s="461">
        <f t="shared" si="14"/>
        <v>0</v>
      </c>
      <c r="BT53" s="462" t="s">
        <v>129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77</v>
      </c>
      <c r="E54" s="502">
        <v>7502327992127</v>
      </c>
      <c r="F54" s="439" t="s">
        <v>1428</v>
      </c>
      <c r="G54" s="438" t="s">
        <v>1429</v>
      </c>
      <c r="H54" s="425"/>
      <c r="I54" s="439" t="s">
        <v>449</v>
      </c>
      <c r="J54" s="440" t="s">
        <v>1338</v>
      </c>
      <c r="K54" s="440" t="s">
        <v>1035</v>
      </c>
      <c r="L54" s="441">
        <v>1</v>
      </c>
      <c r="M54" s="469">
        <v>0.35</v>
      </c>
      <c r="N54" s="443" t="s">
        <v>64</v>
      </c>
      <c r="O54" s="444">
        <v>10000</v>
      </c>
      <c r="P54" s="443">
        <f t="shared" ref="P54:P85" si="59">+M54*$P$18</f>
        <v>4.0145</v>
      </c>
      <c r="Q54" s="443">
        <f t="shared" ref="Q54:Q75" si="60">P54*0.25</f>
        <v>1.003625</v>
      </c>
      <c r="R54" s="443">
        <f>(P54+Q54)*19.02%</f>
        <v>0.95444737499999999</v>
      </c>
      <c r="S54" s="443">
        <f t="shared" ref="S54:S85" si="61">+R54+Q54+P54</f>
        <v>5.9725723750000004</v>
      </c>
      <c r="T54" s="445">
        <v>99</v>
      </c>
      <c r="U54" s="443">
        <f t="shared" si="41"/>
        <v>85.344827586206904</v>
      </c>
      <c r="V54" s="446">
        <f t="shared" si="42"/>
        <v>51.206896551724142</v>
      </c>
      <c r="W54" s="447">
        <f t="shared" si="43"/>
        <v>0.11663609351851852</v>
      </c>
      <c r="X54" s="448">
        <f t="shared" si="44"/>
        <v>0.88336390648148144</v>
      </c>
      <c r="Y54" s="449">
        <f t="shared" si="45"/>
        <v>0.4</v>
      </c>
      <c r="Z54" s="450" t="s">
        <v>1344</v>
      </c>
      <c r="AA54" s="451" t="s">
        <v>1345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6"/>
        <v>59.482758620689658</v>
      </c>
      <c r="AI54" s="456">
        <f t="shared" si="47"/>
        <v>0.10040846311594202</v>
      </c>
      <c r="AJ54" s="457">
        <f t="shared" si="48"/>
        <v>0.89959153688405802</v>
      </c>
      <c r="AK54" s="458">
        <f t="shared" si="49"/>
        <v>0</v>
      </c>
      <c r="BA54" s="459">
        <v>1</v>
      </c>
      <c r="BB54" s="459">
        <v>1</v>
      </c>
      <c r="BC54" s="459">
        <v>1</v>
      </c>
      <c r="BD54" s="459">
        <v>1</v>
      </c>
      <c r="BE54" s="459">
        <v>1</v>
      </c>
      <c r="BF54" s="468"/>
      <c r="BG54" s="468"/>
      <c r="BH54" s="468"/>
      <c r="BI54" s="468"/>
      <c r="BJ54" s="459">
        <v>8</v>
      </c>
      <c r="BK54" s="459">
        <f t="shared" si="50"/>
        <v>5</v>
      </c>
      <c r="BL54" s="460">
        <f t="shared" si="51"/>
        <v>0.625</v>
      </c>
      <c r="BR54" s="464" t="s">
        <v>1392</v>
      </c>
      <c r="BS54" s="461">
        <f t="shared" si="14"/>
        <v>0</v>
      </c>
      <c r="BT54" s="462" t="s">
        <v>129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77</v>
      </c>
      <c r="E55" s="502"/>
      <c r="F55" s="439" t="s">
        <v>1430</v>
      </c>
      <c r="G55" s="438" t="s">
        <v>1431</v>
      </c>
      <c r="H55" s="425"/>
      <c r="I55" s="439" t="s">
        <v>449</v>
      </c>
      <c r="J55" s="440" t="s">
        <v>1338</v>
      </c>
      <c r="K55" s="440" t="s">
        <v>1035</v>
      </c>
      <c r="L55" s="441">
        <v>1</v>
      </c>
      <c r="M55" s="469">
        <v>0.35</v>
      </c>
      <c r="N55" s="443" t="s">
        <v>64</v>
      </c>
      <c r="O55" s="444">
        <v>10000</v>
      </c>
      <c r="P55" s="443">
        <f t="shared" si="59"/>
        <v>4.0145</v>
      </c>
      <c r="Q55" s="443">
        <f t="shared" si="60"/>
        <v>1.003625</v>
      </c>
      <c r="R55" s="443">
        <f>(P55+Q55)*19.02%</f>
        <v>0.95444737499999999</v>
      </c>
      <c r="S55" s="443">
        <f t="shared" si="61"/>
        <v>5.9725723750000004</v>
      </c>
      <c r="T55" s="445">
        <v>99</v>
      </c>
      <c r="U55" s="443">
        <f t="shared" si="41"/>
        <v>85.344827586206904</v>
      </c>
      <c r="V55" s="446">
        <f t="shared" si="42"/>
        <v>51.206896551724142</v>
      </c>
      <c r="W55" s="447">
        <f t="shared" si="43"/>
        <v>0.11663609351851852</v>
      </c>
      <c r="X55" s="448">
        <f t="shared" si="44"/>
        <v>0.88336390648148144</v>
      </c>
      <c r="Y55" s="449">
        <f t="shared" si="45"/>
        <v>0.4</v>
      </c>
      <c r="Z55" s="450" t="s">
        <v>1344</v>
      </c>
      <c r="AA55" s="451" t="s">
        <v>1345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6"/>
        <v>59.482758620689658</v>
      </c>
      <c r="AI55" s="456">
        <f t="shared" si="47"/>
        <v>0.10040846311594202</v>
      </c>
      <c r="AJ55" s="457">
        <f t="shared" si="48"/>
        <v>0.89959153688405802</v>
      </c>
      <c r="AK55" s="458">
        <f t="shared" si="49"/>
        <v>0</v>
      </c>
      <c r="BA55" s="459">
        <v>1</v>
      </c>
      <c r="BB55" s="459">
        <v>1</v>
      </c>
      <c r="BC55" s="459">
        <v>1</v>
      </c>
      <c r="BD55" s="459">
        <v>1</v>
      </c>
      <c r="BE55" s="459">
        <v>1</v>
      </c>
      <c r="BF55" s="468"/>
      <c r="BG55" s="468"/>
      <c r="BH55" s="468"/>
      <c r="BI55" s="468"/>
      <c r="BJ55" s="459">
        <v>8</v>
      </c>
      <c r="BK55" s="459">
        <f t="shared" si="50"/>
        <v>5</v>
      </c>
      <c r="BL55" s="460">
        <f t="shared" si="51"/>
        <v>0.625</v>
      </c>
      <c r="BR55" s="464" t="s">
        <v>1392</v>
      </c>
      <c r="BS55" s="461">
        <f t="shared" si="14"/>
        <v>0</v>
      </c>
      <c r="BT55" s="462" t="s">
        <v>129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77</v>
      </c>
      <c r="E56" s="502">
        <v>7502327992134</v>
      </c>
      <c r="F56" s="439" t="s">
        <v>1432</v>
      </c>
      <c r="G56" s="438" t="s">
        <v>1433</v>
      </c>
      <c r="H56" s="425"/>
      <c r="I56" s="439" t="s">
        <v>1434</v>
      </c>
      <c r="J56" s="440" t="s">
        <v>1338</v>
      </c>
      <c r="K56" s="440" t="s">
        <v>1035</v>
      </c>
      <c r="L56" s="441">
        <v>1</v>
      </c>
      <c r="M56" s="469">
        <v>0.67</v>
      </c>
      <c r="N56" s="443" t="s">
        <v>64</v>
      </c>
      <c r="O56" s="444">
        <v>10000</v>
      </c>
      <c r="P56" s="443">
        <f t="shared" si="59"/>
        <v>7.6849000000000007</v>
      </c>
      <c r="Q56" s="443">
        <f t="shared" si="60"/>
        <v>1.9212250000000002</v>
      </c>
      <c r="R56" s="443">
        <f>(P56+Q56)*9.63%</f>
        <v>0.92506983750000016</v>
      </c>
      <c r="S56" s="443">
        <f t="shared" si="61"/>
        <v>10.531194837500001</v>
      </c>
      <c r="T56" s="445">
        <v>149</v>
      </c>
      <c r="U56" s="443">
        <f t="shared" si="41"/>
        <v>128.44827586206898</v>
      </c>
      <c r="V56" s="446">
        <f t="shared" si="42"/>
        <v>77.068965517241381</v>
      </c>
      <c r="W56" s="447">
        <f t="shared" si="43"/>
        <v>0.13664637596756155</v>
      </c>
      <c r="X56" s="448">
        <f t="shared" si="44"/>
        <v>0.86335362403243843</v>
      </c>
      <c r="Y56" s="449">
        <f t="shared" si="45"/>
        <v>0.4</v>
      </c>
      <c r="Z56" s="450" t="s">
        <v>1344</v>
      </c>
      <c r="AA56" s="451" t="s">
        <v>1345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6"/>
        <v>85.344827586206904</v>
      </c>
      <c r="AI56" s="456">
        <f t="shared" si="47"/>
        <v>0.1233958182979798</v>
      </c>
      <c r="AJ56" s="457">
        <f t="shared" si="48"/>
        <v>0.87660418170202026</v>
      </c>
      <c r="AK56" s="458">
        <f t="shared" si="49"/>
        <v>0</v>
      </c>
      <c r="BA56" s="459">
        <v>1</v>
      </c>
      <c r="BB56" s="459">
        <v>1</v>
      </c>
      <c r="BC56" s="459">
        <v>1</v>
      </c>
      <c r="BD56" s="459">
        <v>1</v>
      </c>
      <c r="BE56" s="459">
        <v>1</v>
      </c>
      <c r="BF56" s="468">
        <v>1</v>
      </c>
      <c r="BG56" s="468">
        <v>1</v>
      </c>
      <c r="BH56" s="468"/>
      <c r="BI56" s="468"/>
      <c r="BJ56" s="459">
        <v>8</v>
      </c>
      <c r="BK56" s="459">
        <f t="shared" si="50"/>
        <v>7</v>
      </c>
      <c r="BL56" s="460">
        <f t="shared" si="51"/>
        <v>0.875</v>
      </c>
      <c r="BR56" s="464" t="s">
        <v>1361</v>
      </c>
      <c r="BS56" s="461">
        <f t="shared" si="14"/>
        <v>0</v>
      </c>
      <c r="BT56" s="462" t="s">
        <v>86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77</v>
      </c>
      <c r="E57" s="502">
        <v>7502327992141</v>
      </c>
      <c r="F57" s="439" t="s">
        <v>1435</v>
      </c>
      <c r="G57" s="438" t="s">
        <v>1436</v>
      </c>
      <c r="H57" s="473"/>
      <c r="I57" s="439" t="s">
        <v>482</v>
      </c>
      <c r="J57" s="439" t="s">
        <v>1338</v>
      </c>
      <c r="K57" s="440" t="s">
        <v>1035</v>
      </c>
      <c r="L57" s="441">
        <v>1</v>
      </c>
      <c r="M57" s="469">
        <v>0.97</v>
      </c>
      <c r="N57" s="443" t="s">
        <v>64</v>
      </c>
      <c r="O57" s="444">
        <v>10000</v>
      </c>
      <c r="P57" s="443">
        <f t="shared" si="59"/>
        <v>11.1259</v>
      </c>
      <c r="Q57" s="443">
        <f t="shared" si="60"/>
        <v>2.7814749999999999</v>
      </c>
      <c r="R57" s="443">
        <f t="shared" ref="R57:R62" si="62">(P57+Q57)*4.19%</f>
        <v>0.58271901250000013</v>
      </c>
      <c r="S57" s="443">
        <f t="shared" si="61"/>
        <v>14.4900940125</v>
      </c>
      <c r="T57" s="445">
        <v>179</v>
      </c>
      <c r="U57" s="443">
        <f t="shared" si="41"/>
        <v>154.31034482758622</v>
      </c>
      <c r="V57" s="446">
        <f t="shared" si="42"/>
        <v>92.58620689655173</v>
      </c>
      <c r="W57" s="447">
        <f t="shared" si="43"/>
        <v>0.1565038087011173</v>
      </c>
      <c r="X57" s="448">
        <f t="shared" si="44"/>
        <v>0.84349619129888276</v>
      </c>
      <c r="Y57" s="449">
        <f t="shared" si="45"/>
        <v>0.4</v>
      </c>
      <c r="Z57" s="450" t="s">
        <v>1344</v>
      </c>
      <c r="AA57" s="451" t="s">
        <v>1345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6"/>
        <v>102.58620689655173</v>
      </c>
      <c r="AI57" s="456">
        <f t="shared" si="47"/>
        <v>0.14124797524789914</v>
      </c>
      <c r="AJ57" s="457">
        <f t="shared" si="48"/>
        <v>0.85875202475210088</v>
      </c>
      <c r="AK57" s="458">
        <f t="shared" si="49"/>
        <v>0</v>
      </c>
      <c r="BA57" s="459">
        <v>1</v>
      </c>
      <c r="BB57" s="459">
        <v>1</v>
      </c>
      <c r="BC57" s="459">
        <v>1</v>
      </c>
      <c r="BD57" s="459">
        <v>1</v>
      </c>
      <c r="BE57" s="459">
        <v>1</v>
      </c>
      <c r="BF57" s="468">
        <v>1</v>
      </c>
      <c r="BG57" s="468">
        <v>1</v>
      </c>
      <c r="BH57" s="468"/>
      <c r="BI57" s="468"/>
      <c r="BJ57" s="459">
        <v>8</v>
      </c>
      <c r="BK57" s="459">
        <f t="shared" si="50"/>
        <v>7</v>
      </c>
      <c r="BL57" s="460">
        <f t="shared" si="51"/>
        <v>0.875</v>
      </c>
      <c r="BR57" s="464" t="s">
        <v>1361</v>
      </c>
      <c r="BS57" s="461">
        <f t="shared" si="14"/>
        <v>46308</v>
      </c>
      <c r="BT57" s="462" t="s">
        <v>86</v>
      </c>
      <c r="CJ57" s="463">
        <v>46156</v>
      </c>
      <c r="CK57" s="463">
        <v>46156</v>
      </c>
      <c r="CL57" s="463">
        <f t="shared" ref="CL57:CL62" si="63">CK57+15</f>
        <v>46171</v>
      </c>
      <c r="CM57" s="463"/>
      <c r="CN57" s="463">
        <f t="shared" si="40"/>
        <v>46185</v>
      </c>
      <c r="CO57" s="464"/>
      <c r="CP57" s="463">
        <f t="shared" ref="CP57:CP63" si="64">CN57+45</f>
        <v>46230</v>
      </c>
      <c r="CQ57" s="465"/>
      <c r="CR57" s="466">
        <f t="shared" ref="CR57:CR63" si="65">CP57-12</f>
        <v>46218</v>
      </c>
      <c r="CS57" s="467"/>
      <c r="CT57" s="466">
        <f t="shared" ref="CT57:CT63" si="66">CP57+7</f>
        <v>46237</v>
      </c>
      <c r="CU57" s="467"/>
      <c r="CV57" s="466">
        <f t="shared" ref="CV57:CV63" si="67">CT57+7</f>
        <v>46244</v>
      </c>
      <c r="CW57" s="467"/>
      <c r="CX57" s="466">
        <f t="shared" ref="CX57:CX63" si="68">CV57+44</f>
        <v>46288</v>
      </c>
      <c r="CY57" s="467"/>
      <c r="CZ57" s="466">
        <f t="shared" ref="CZ57:CZ63" si="69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77</v>
      </c>
      <c r="E58" s="502">
        <v>7502327992158</v>
      </c>
      <c r="F58" s="439" t="s">
        <v>1437</v>
      </c>
      <c r="G58" s="438" t="s">
        <v>1438</v>
      </c>
      <c r="H58" s="439"/>
      <c r="I58" s="439" t="s">
        <v>482</v>
      </c>
      <c r="J58" s="439" t="s">
        <v>1338</v>
      </c>
      <c r="K58" s="440" t="s">
        <v>1035</v>
      </c>
      <c r="L58" s="441">
        <v>1</v>
      </c>
      <c r="M58" s="469">
        <v>0.97</v>
      </c>
      <c r="N58" s="443" t="s">
        <v>64</v>
      </c>
      <c r="O58" s="444">
        <v>10000</v>
      </c>
      <c r="P58" s="443">
        <f t="shared" si="59"/>
        <v>11.1259</v>
      </c>
      <c r="Q58" s="443">
        <f t="shared" si="60"/>
        <v>2.7814749999999999</v>
      </c>
      <c r="R58" s="443">
        <f t="shared" si="62"/>
        <v>0.58271901250000013</v>
      </c>
      <c r="S58" s="443">
        <f t="shared" si="61"/>
        <v>14.4900940125</v>
      </c>
      <c r="T58" s="445">
        <v>179</v>
      </c>
      <c r="U58" s="443">
        <f t="shared" si="41"/>
        <v>154.31034482758622</v>
      </c>
      <c r="V58" s="446">
        <f t="shared" si="42"/>
        <v>92.58620689655173</v>
      </c>
      <c r="W58" s="447">
        <f t="shared" si="43"/>
        <v>0.1565038087011173</v>
      </c>
      <c r="X58" s="448">
        <f t="shared" si="44"/>
        <v>0.84349619129888276</v>
      </c>
      <c r="Y58" s="449">
        <f t="shared" si="45"/>
        <v>0.4</v>
      </c>
      <c r="Z58" s="450" t="s">
        <v>1344</v>
      </c>
      <c r="AA58" s="451" t="s">
        <v>1345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6"/>
        <v>102.58620689655173</v>
      </c>
      <c r="AI58" s="456">
        <f t="shared" si="47"/>
        <v>0.14124797524789914</v>
      </c>
      <c r="AJ58" s="457">
        <f t="shared" si="48"/>
        <v>0.85875202475210088</v>
      </c>
      <c r="AK58" s="458">
        <f t="shared" si="49"/>
        <v>0</v>
      </c>
      <c r="BA58" s="459">
        <v>1</v>
      </c>
      <c r="BB58" s="459">
        <v>1</v>
      </c>
      <c r="BC58" s="459">
        <v>1</v>
      </c>
      <c r="BD58" s="459">
        <v>1</v>
      </c>
      <c r="BE58" s="459">
        <v>1</v>
      </c>
      <c r="BF58" s="468">
        <v>1</v>
      </c>
      <c r="BG58" s="468">
        <v>1</v>
      </c>
      <c r="BH58" s="468"/>
      <c r="BI58" s="468"/>
      <c r="BJ58" s="459">
        <v>8</v>
      </c>
      <c r="BK58" s="459">
        <f t="shared" si="50"/>
        <v>7</v>
      </c>
      <c r="BL58" s="460">
        <f t="shared" si="51"/>
        <v>0.875</v>
      </c>
      <c r="BR58" s="464" t="s">
        <v>1361</v>
      </c>
      <c r="BS58" s="461">
        <f t="shared" si="14"/>
        <v>46308</v>
      </c>
      <c r="BT58" s="462" t="s">
        <v>86</v>
      </c>
      <c r="CJ58" s="463">
        <v>46156</v>
      </c>
      <c r="CK58" s="463">
        <v>46156</v>
      </c>
      <c r="CL58" s="463">
        <f t="shared" si="63"/>
        <v>46171</v>
      </c>
      <c r="CM58" s="463"/>
      <c r="CN58" s="463">
        <f t="shared" si="40"/>
        <v>46185</v>
      </c>
      <c r="CO58" s="464"/>
      <c r="CP58" s="463">
        <f t="shared" si="64"/>
        <v>46230</v>
      </c>
      <c r="CQ58" s="465"/>
      <c r="CR58" s="466">
        <f t="shared" si="65"/>
        <v>46218</v>
      </c>
      <c r="CS58" s="467"/>
      <c r="CT58" s="466">
        <f t="shared" si="66"/>
        <v>46237</v>
      </c>
      <c r="CU58" s="467"/>
      <c r="CV58" s="466">
        <f t="shared" si="67"/>
        <v>46244</v>
      </c>
      <c r="CW58" s="467"/>
      <c r="CX58" s="466">
        <f t="shared" si="68"/>
        <v>46288</v>
      </c>
      <c r="CY58" s="467"/>
      <c r="CZ58" s="466">
        <f t="shared" si="69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77</v>
      </c>
      <c r="E59" s="502">
        <v>7502327992165</v>
      </c>
      <c r="F59" s="439" t="s">
        <v>1439</v>
      </c>
      <c r="G59" s="438" t="s">
        <v>1440</v>
      </c>
      <c r="H59" s="439"/>
      <c r="I59" s="439" t="s">
        <v>482</v>
      </c>
      <c r="J59" s="439" t="s">
        <v>1338</v>
      </c>
      <c r="K59" s="440" t="s">
        <v>1035</v>
      </c>
      <c r="L59" s="441">
        <v>1</v>
      </c>
      <c r="M59" s="469">
        <v>0.97</v>
      </c>
      <c r="N59" s="443" t="s">
        <v>64</v>
      </c>
      <c r="O59" s="444">
        <v>10000</v>
      </c>
      <c r="P59" s="443">
        <f t="shared" si="59"/>
        <v>11.1259</v>
      </c>
      <c r="Q59" s="443">
        <f t="shared" si="60"/>
        <v>2.7814749999999999</v>
      </c>
      <c r="R59" s="443">
        <f t="shared" si="62"/>
        <v>0.58271901250000013</v>
      </c>
      <c r="S59" s="443">
        <f t="shared" si="61"/>
        <v>14.4900940125</v>
      </c>
      <c r="T59" s="445">
        <v>179</v>
      </c>
      <c r="U59" s="443">
        <f t="shared" si="41"/>
        <v>154.31034482758622</v>
      </c>
      <c r="V59" s="446">
        <f t="shared" si="42"/>
        <v>92.58620689655173</v>
      </c>
      <c r="W59" s="447">
        <f t="shared" si="43"/>
        <v>0.1565038087011173</v>
      </c>
      <c r="X59" s="448">
        <f t="shared" si="44"/>
        <v>0.84349619129888276</v>
      </c>
      <c r="Y59" s="449">
        <f t="shared" si="45"/>
        <v>0.4</v>
      </c>
      <c r="Z59" s="450" t="s">
        <v>1344</v>
      </c>
      <c r="AA59" s="451" t="s">
        <v>1345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6"/>
        <v>102.58620689655173</v>
      </c>
      <c r="AI59" s="456">
        <f t="shared" si="47"/>
        <v>0.14124797524789914</v>
      </c>
      <c r="AJ59" s="457">
        <f t="shared" si="48"/>
        <v>0.85875202475210088</v>
      </c>
      <c r="AK59" s="458">
        <f t="shared" si="49"/>
        <v>0</v>
      </c>
      <c r="BA59" s="459">
        <v>1</v>
      </c>
      <c r="BB59" s="459">
        <v>1</v>
      </c>
      <c r="BC59" s="459">
        <v>1</v>
      </c>
      <c r="BD59" s="459">
        <v>1</v>
      </c>
      <c r="BE59" s="459">
        <v>1</v>
      </c>
      <c r="BF59" s="468">
        <v>1</v>
      </c>
      <c r="BG59" s="468">
        <v>1</v>
      </c>
      <c r="BH59" s="468"/>
      <c r="BI59" s="468"/>
      <c r="BJ59" s="459">
        <v>8</v>
      </c>
      <c r="BK59" s="459">
        <f t="shared" si="50"/>
        <v>7</v>
      </c>
      <c r="BL59" s="460">
        <f t="shared" si="51"/>
        <v>0.875</v>
      </c>
      <c r="BR59" s="464" t="s">
        <v>1361</v>
      </c>
      <c r="BS59" s="461">
        <f t="shared" si="14"/>
        <v>46308</v>
      </c>
      <c r="BT59" s="462" t="s">
        <v>86</v>
      </c>
      <c r="CJ59" s="463">
        <v>46156</v>
      </c>
      <c r="CK59" s="463">
        <v>46156</v>
      </c>
      <c r="CL59" s="463">
        <f t="shared" si="63"/>
        <v>46171</v>
      </c>
      <c r="CM59" s="463"/>
      <c r="CN59" s="463">
        <f t="shared" si="40"/>
        <v>46185</v>
      </c>
      <c r="CO59" s="464"/>
      <c r="CP59" s="463">
        <f t="shared" si="64"/>
        <v>46230</v>
      </c>
      <c r="CQ59" s="465"/>
      <c r="CR59" s="466">
        <f t="shared" si="65"/>
        <v>46218</v>
      </c>
      <c r="CS59" s="467"/>
      <c r="CT59" s="466">
        <f t="shared" si="66"/>
        <v>46237</v>
      </c>
      <c r="CU59" s="467"/>
      <c r="CV59" s="466">
        <f t="shared" si="67"/>
        <v>46244</v>
      </c>
      <c r="CW59" s="467"/>
      <c r="CX59" s="466">
        <f t="shared" si="68"/>
        <v>46288</v>
      </c>
      <c r="CY59" s="467"/>
      <c r="CZ59" s="466">
        <f t="shared" si="69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77</v>
      </c>
      <c r="E60" s="502">
        <v>7502327992172</v>
      </c>
      <c r="F60" s="439" t="s">
        <v>1441</v>
      </c>
      <c r="G60" s="438" t="s">
        <v>1442</v>
      </c>
      <c r="H60" s="439"/>
      <c r="I60" s="439" t="s">
        <v>482</v>
      </c>
      <c r="J60" s="439" t="s">
        <v>1338</v>
      </c>
      <c r="K60" s="440" t="s">
        <v>1035</v>
      </c>
      <c r="L60" s="441">
        <v>1</v>
      </c>
      <c r="M60" s="469">
        <v>0.97</v>
      </c>
      <c r="N60" s="443" t="s">
        <v>64</v>
      </c>
      <c r="O60" s="444">
        <v>10000</v>
      </c>
      <c r="P60" s="443">
        <f t="shared" si="59"/>
        <v>11.1259</v>
      </c>
      <c r="Q60" s="443">
        <f t="shared" si="60"/>
        <v>2.7814749999999999</v>
      </c>
      <c r="R60" s="443">
        <f t="shared" si="62"/>
        <v>0.58271901250000013</v>
      </c>
      <c r="S60" s="443">
        <f t="shared" si="61"/>
        <v>14.4900940125</v>
      </c>
      <c r="T60" s="445">
        <v>179</v>
      </c>
      <c r="U60" s="443">
        <f t="shared" si="41"/>
        <v>154.31034482758622</v>
      </c>
      <c r="V60" s="446">
        <f t="shared" si="42"/>
        <v>92.58620689655173</v>
      </c>
      <c r="W60" s="447">
        <f t="shared" si="43"/>
        <v>0.1565038087011173</v>
      </c>
      <c r="X60" s="448">
        <f t="shared" si="44"/>
        <v>0.84349619129888276</v>
      </c>
      <c r="Y60" s="449">
        <f t="shared" si="45"/>
        <v>0.4</v>
      </c>
      <c r="Z60" s="450" t="s">
        <v>1344</v>
      </c>
      <c r="AA60" s="451" t="s">
        <v>1345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6"/>
        <v>102.58620689655173</v>
      </c>
      <c r="AI60" s="456">
        <f t="shared" si="47"/>
        <v>0.14124797524789914</v>
      </c>
      <c r="AJ60" s="457">
        <f t="shared" si="48"/>
        <v>0.85875202475210088</v>
      </c>
      <c r="AK60" s="458">
        <f t="shared" si="49"/>
        <v>0</v>
      </c>
      <c r="BA60" s="459">
        <v>1</v>
      </c>
      <c r="BB60" s="459">
        <v>1</v>
      </c>
      <c r="BC60" s="459">
        <v>1</v>
      </c>
      <c r="BD60" s="459">
        <v>1</v>
      </c>
      <c r="BE60" s="459">
        <v>1</v>
      </c>
      <c r="BF60" s="468">
        <v>1</v>
      </c>
      <c r="BG60" s="468">
        <v>1</v>
      </c>
      <c r="BH60" s="468"/>
      <c r="BI60" s="468"/>
      <c r="BJ60" s="459">
        <v>8</v>
      </c>
      <c r="BK60" s="459">
        <f t="shared" si="50"/>
        <v>7</v>
      </c>
      <c r="BL60" s="460">
        <f t="shared" si="51"/>
        <v>0.875</v>
      </c>
      <c r="BR60" s="464" t="s">
        <v>1361</v>
      </c>
      <c r="BS60" s="461">
        <f t="shared" si="14"/>
        <v>46308</v>
      </c>
      <c r="BT60" s="462" t="s">
        <v>86</v>
      </c>
      <c r="CJ60" s="463">
        <v>46156</v>
      </c>
      <c r="CK60" s="463">
        <v>46156</v>
      </c>
      <c r="CL60" s="463">
        <f t="shared" si="63"/>
        <v>46171</v>
      </c>
      <c r="CM60" s="463"/>
      <c r="CN60" s="463">
        <f t="shared" si="40"/>
        <v>46185</v>
      </c>
      <c r="CO60" s="464"/>
      <c r="CP60" s="463">
        <f t="shared" si="64"/>
        <v>46230</v>
      </c>
      <c r="CQ60" s="465"/>
      <c r="CR60" s="466">
        <f t="shared" si="65"/>
        <v>46218</v>
      </c>
      <c r="CS60" s="467"/>
      <c r="CT60" s="466">
        <f t="shared" si="66"/>
        <v>46237</v>
      </c>
      <c r="CU60" s="467"/>
      <c r="CV60" s="466">
        <f t="shared" si="67"/>
        <v>46244</v>
      </c>
      <c r="CW60" s="467"/>
      <c r="CX60" s="466">
        <f t="shared" si="68"/>
        <v>46288</v>
      </c>
      <c r="CY60" s="467"/>
      <c r="CZ60" s="466">
        <f t="shared" si="69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77</v>
      </c>
      <c r="E61" s="502"/>
      <c r="F61" s="439" t="s">
        <v>1443</v>
      </c>
      <c r="G61" s="438" t="s">
        <v>1444</v>
      </c>
      <c r="H61" s="439"/>
      <c r="I61" s="439" t="s">
        <v>482</v>
      </c>
      <c r="J61" s="439" t="s">
        <v>1338</v>
      </c>
      <c r="K61" s="440" t="s">
        <v>1035</v>
      </c>
      <c r="L61" s="441">
        <v>1</v>
      </c>
      <c r="M61" s="469">
        <v>0.97</v>
      </c>
      <c r="N61" s="443" t="s">
        <v>64</v>
      </c>
      <c r="O61" s="444">
        <v>10000</v>
      </c>
      <c r="P61" s="443">
        <f t="shared" si="59"/>
        <v>11.1259</v>
      </c>
      <c r="Q61" s="443">
        <f t="shared" si="60"/>
        <v>2.7814749999999999</v>
      </c>
      <c r="R61" s="443">
        <f t="shared" si="62"/>
        <v>0.58271901250000013</v>
      </c>
      <c r="S61" s="443">
        <f t="shared" si="61"/>
        <v>14.4900940125</v>
      </c>
      <c r="T61" s="445">
        <v>179</v>
      </c>
      <c r="U61" s="443">
        <f t="shared" si="41"/>
        <v>154.31034482758622</v>
      </c>
      <c r="V61" s="446">
        <f t="shared" si="42"/>
        <v>92.58620689655173</v>
      </c>
      <c r="W61" s="447">
        <f t="shared" si="43"/>
        <v>0.1565038087011173</v>
      </c>
      <c r="X61" s="448">
        <f t="shared" si="44"/>
        <v>0.84349619129888276</v>
      </c>
      <c r="Y61" s="449">
        <f t="shared" si="45"/>
        <v>0.4</v>
      </c>
      <c r="Z61" s="450" t="s">
        <v>1344</v>
      </c>
      <c r="AA61" s="451" t="s">
        <v>1345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6"/>
        <v>102.58620689655173</v>
      </c>
      <c r="AI61" s="456">
        <f t="shared" si="47"/>
        <v>0.14124797524789914</v>
      </c>
      <c r="AJ61" s="457">
        <f t="shared" si="48"/>
        <v>0.85875202475210088</v>
      </c>
      <c r="AK61" s="458">
        <f t="shared" si="49"/>
        <v>0</v>
      </c>
      <c r="BA61" s="459">
        <v>1</v>
      </c>
      <c r="BB61" s="459">
        <v>1</v>
      </c>
      <c r="BC61" s="459">
        <v>1</v>
      </c>
      <c r="BD61" s="459">
        <v>1</v>
      </c>
      <c r="BE61" s="459">
        <v>1</v>
      </c>
      <c r="BF61" s="468">
        <v>1</v>
      </c>
      <c r="BG61" s="468">
        <v>1</v>
      </c>
      <c r="BH61" s="468"/>
      <c r="BI61" s="468"/>
      <c r="BJ61" s="459">
        <v>8</v>
      </c>
      <c r="BK61" s="459">
        <f t="shared" si="50"/>
        <v>7</v>
      </c>
      <c r="BL61" s="460">
        <f t="shared" si="51"/>
        <v>0.875</v>
      </c>
      <c r="BR61" s="464" t="s">
        <v>1361</v>
      </c>
      <c r="BS61" s="461">
        <f t="shared" si="14"/>
        <v>46308</v>
      </c>
      <c r="BT61" s="462" t="s">
        <v>86</v>
      </c>
      <c r="CJ61" s="463">
        <v>46156</v>
      </c>
      <c r="CK61" s="463">
        <v>46156</v>
      </c>
      <c r="CL61" s="463">
        <f t="shared" si="63"/>
        <v>46171</v>
      </c>
      <c r="CM61" s="463"/>
      <c r="CN61" s="463">
        <f t="shared" si="40"/>
        <v>46185</v>
      </c>
      <c r="CO61" s="464"/>
      <c r="CP61" s="463">
        <f t="shared" si="64"/>
        <v>46230</v>
      </c>
      <c r="CQ61" s="465"/>
      <c r="CR61" s="466">
        <f t="shared" si="65"/>
        <v>46218</v>
      </c>
      <c r="CS61" s="467"/>
      <c r="CT61" s="466">
        <f t="shared" si="66"/>
        <v>46237</v>
      </c>
      <c r="CU61" s="467"/>
      <c r="CV61" s="466">
        <f t="shared" si="67"/>
        <v>46244</v>
      </c>
      <c r="CW61" s="467"/>
      <c r="CX61" s="466">
        <f t="shared" si="68"/>
        <v>46288</v>
      </c>
      <c r="CY61" s="467"/>
      <c r="CZ61" s="466">
        <f t="shared" si="69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77</v>
      </c>
      <c r="E62" s="502"/>
      <c r="F62" s="439" t="s">
        <v>1445</v>
      </c>
      <c r="G62" s="438" t="s">
        <v>1446</v>
      </c>
      <c r="H62" s="439"/>
      <c r="I62" s="439" t="s">
        <v>482</v>
      </c>
      <c r="J62" s="439" t="s">
        <v>1338</v>
      </c>
      <c r="K62" s="440" t="s">
        <v>1035</v>
      </c>
      <c r="L62" s="441">
        <v>1</v>
      </c>
      <c r="M62" s="469">
        <v>0.97</v>
      </c>
      <c r="N62" s="443" t="s">
        <v>64</v>
      </c>
      <c r="O62" s="444">
        <v>10000</v>
      </c>
      <c r="P62" s="443">
        <f t="shared" si="59"/>
        <v>11.1259</v>
      </c>
      <c r="Q62" s="443">
        <f t="shared" si="60"/>
        <v>2.7814749999999999</v>
      </c>
      <c r="R62" s="443">
        <f t="shared" si="62"/>
        <v>0.58271901250000013</v>
      </c>
      <c r="S62" s="443">
        <f t="shared" si="61"/>
        <v>14.4900940125</v>
      </c>
      <c r="T62" s="445">
        <v>179</v>
      </c>
      <c r="U62" s="443">
        <f t="shared" si="41"/>
        <v>154.31034482758622</v>
      </c>
      <c r="V62" s="446">
        <f t="shared" si="42"/>
        <v>92.58620689655173</v>
      </c>
      <c r="W62" s="447">
        <f t="shared" si="43"/>
        <v>0.1565038087011173</v>
      </c>
      <c r="X62" s="448">
        <f t="shared" si="44"/>
        <v>0.84349619129888276</v>
      </c>
      <c r="Y62" s="449">
        <f t="shared" si="45"/>
        <v>0.4</v>
      </c>
      <c r="Z62" s="450" t="s">
        <v>1344</v>
      </c>
      <c r="AA62" s="451" t="s">
        <v>1345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6"/>
        <v>102.58620689655173</v>
      </c>
      <c r="AI62" s="456">
        <f t="shared" si="47"/>
        <v>0.14124797524789914</v>
      </c>
      <c r="AJ62" s="457">
        <f t="shared" si="48"/>
        <v>0.85875202475210088</v>
      </c>
      <c r="AK62" s="458">
        <f t="shared" si="49"/>
        <v>0</v>
      </c>
      <c r="BA62" s="459">
        <v>1</v>
      </c>
      <c r="BB62" s="459">
        <v>1</v>
      </c>
      <c r="BC62" s="459">
        <v>1</v>
      </c>
      <c r="BD62" s="459">
        <v>1</v>
      </c>
      <c r="BE62" s="459">
        <v>1</v>
      </c>
      <c r="BF62" s="468">
        <v>1</v>
      </c>
      <c r="BG62" s="468">
        <v>1</v>
      </c>
      <c r="BH62" s="468"/>
      <c r="BI62" s="468"/>
      <c r="BJ62" s="459">
        <v>8</v>
      </c>
      <c r="BK62" s="459">
        <f t="shared" si="50"/>
        <v>7</v>
      </c>
      <c r="BL62" s="460">
        <f t="shared" si="51"/>
        <v>0.875</v>
      </c>
      <c r="BR62" s="464" t="s">
        <v>1361</v>
      </c>
      <c r="BS62" s="461">
        <f t="shared" si="14"/>
        <v>46308</v>
      </c>
      <c r="BT62" s="462" t="s">
        <v>86</v>
      </c>
      <c r="CJ62" s="463">
        <v>46156</v>
      </c>
      <c r="CK62" s="463">
        <v>46156</v>
      </c>
      <c r="CL62" s="463">
        <f t="shared" si="63"/>
        <v>46171</v>
      </c>
      <c r="CM62" s="463"/>
      <c r="CN62" s="463">
        <f t="shared" si="40"/>
        <v>46185</v>
      </c>
      <c r="CO62" s="464"/>
      <c r="CP62" s="463">
        <f t="shared" si="64"/>
        <v>46230</v>
      </c>
      <c r="CQ62" s="465"/>
      <c r="CR62" s="466">
        <f t="shared" si="65"/>
        <v>46218</v>
      </c>
      <c r="CS62" s="467"/>
      <c r="CT62" s="466">
        <f t="shared" si="66"/>
        <v>46237</v>
      </c>
      <c r="CU62" s="467"/>
      <c r="CV62" s="466">
        <f t="shared" si="67"/>
        <v>46244</v>
      </c>
      <c r="CW62" s="467"/>
      <c r="CX62" s="466">
        <f t="shared" si="68"/>
        <v>46288</v>
      </c>
      <c r="CY62" s="467"/>
      <c r="CZ62" s="466">
        <f t="shared" si="69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77</v>
      </c>
      <c r="E63" s="502">
        <v>7502327992196</v>
      </c>
      <c r="F63" s="439" t="s">
        <v>1447</v>
      </c>
      <c r="G63" s="438" t="s">
        <v>1448</v>
      </c>
      <c r="H63" s="439"/>
      <c r="I63" s="439" t="s">
        <v>1065</v>
      </c>
      <c r="J63" s="439" t="s">
        <v>1338</v>
      </c>
      <c r="K63" s="440" t="s">
        <v>1035</v>
      </c>
      <c r="L63" s="441">
        <v>1</v>
      </c>
      <c r="M63" s="469">
        <v>0.47</v>
      </c>
      <c r="N63" s="443" t="s">
        <v>64</v>
      </c>
      <c r="O63" s="444">
        <v>30000</v>
      </c>
      <c r="P63" s="443">
        <f t="shared" si="59"/>
        <v>5.3909000000000002</v>
      </c>
      <c r="Q63" s="443">
        <f t="shared" si="60"/>
        <v>1.3477250000000001</v>
      </c>
      <c r="R63" s="443">
        <f>(P63+Q63)*1.85%</f>
        <v>0.12466456250000003</v>
      </c>
      <c r="S63" s="443">
        <f t="shared" si="61"/>
        <v>6.8632895625000003</v>
      </c>
      <c r="T63" s="445">
        <v>99</v>
      </c>
      <c r="U63" s="443">
        <f t="shared" si="41"/>
        <v>85.344827586206904</v>
      </c>
      <c r="V63" s="446">
        <f t="shared" si="42"/>
        <v>51.206896551724142</v>
      </c>
      <c r="W63" s="447">
        <f t="shared" si="43"/>
        <v>0.13403057058080808</v>
      </c>
      <c r="X63" s="448">
        <f t="shared" si="44"/>
        <v>0.86596942941919197</v>
      </c>
      <c r="Y63" s="449">
        <f t="shared" si="45"/>
        <v>0.4</v>
      </c>
      <c r="Z63" s="450" t="s">
        <v>620</v>
      </c>
      <c r="AA63" s="451" t="s">
        <v>1345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6"/>
        <v>59.482758620689658</v>
      </c>
      <c r="AI63" s="456">
        <f t="shared" si="47"/>
        <v>0.11538283902173913</v>
      </c>
      <c r="AJ63" s="457">
        <f t="shared" si="48"/>
        <v>0.88461716097826093</v>
      </c>
      <c r="AK63" s="458">
        <f t="shared" si="49"/>
        <v>0</v>
      </c>
      <c r="BA63" s="459">
        <v>1</v>
      </c>
      <c r="BB63" s="459">
        <v>1</v>
      </c>
      <c r="BC63" s="459">
        <v>1</v>
      </c>
      <c r="BD63" s="459">
        <v>1</v>
      </c>
      <c r="BE63" s="459">
        <v>1</v>
      </c>
      <c r="BF63" s="468">
        <v>1</v>
      </c>
      <c r="BG63" s="468">
        <v>1</v>
      </c>
      <c r="BH63" s="468"/>
      <c r="BI63" s="468"/>
      <c r="BJ63" s="459">
        <v>8</v>
      </c>
      <c r="BK63" s="459">
        <f t="shared" si="50"/>
        <v>7</v>
      </c>
      <c r="BL63" s="460">
        <f t="shared" si="51"/>
        <v>0.875</v>
      </c>
      <c r="BR63" s="464" t="s">
        <v>1361</v>
      </c>
      <c r="BS63" s="461">
        <f t="shared" si="14"/>
        <v>46306</v>
      </c>
      <c r="BT63" s="462" t="s">
        <v>86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0"/>
        <v>46193</v>
      </c>
      <c r="CO63" s="464"/>
      <c r="CP63" s="463">
        <f>CN63+45</f>
        <v>46238</v>
      </c>
      <c r="CQ63" s="465"/>
      <c r="CR63" s="466">
        <f t="shared" si="65"/>
        <v>46226</v>
      </c>
      <c r="CS63" s="467"/>
      <c r="CT63" s="466">
        <f t="shared" si="66"/>
        <v>46245</v>
      </c>
      <c r="CU63" s="467"/>
      <c r="CV63" s="466">
        <f t="shared" si="67"/>
        <v>46252</v>
      </c>
      <c r="CW63" s="467"/>
      <c r="CX63" s="466">
        <f t="shared" si="68"/>
        <v>46296</v>
      </c>
      <c r="CY63" s="467"/>
      <c r="CZ63" s="466">
        <f t="shared" si="69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77</v>
      </c>
      <c r="E64" s="502">
        <v>7502327992219</v>
      </c>
      <c r="F64" s="439" t="s">
        <v>1449</v>
      </c>
      <c r="G64" s="438" t="s">
        <v>1450</v>
      </c>
      <c r="H64" s="425"/>
      <c r="I64" s="439" t="s">
        <v>1451</v>
      </c>
      <c r="J64" s="440" t="s">
        <v>1338</v>
      </c>
      <c r="K64" s="440" t="s">
        <v>1035</v>
      </c>
      <c r="L64" s="441">
        <v>1</v>
      </c>
      <c r="M64" s="469">
        <v>0.25</v>
      </c>
      <c r="N64" s="443" t="s">
        <v>64</v>
      </c>
      <c r="O64" s="444">
        <v>50000</v>
      </c>
      <c r="P64" s="443">
        <f t="shared" si="59"/>
        <v>2.8675000000000002</v>
      </c>
      <c r="Q64" s="443">
        <f t="shared" si="60"/>
        <v>0.71687500000000004</v>
      </c>
      <c r="R64" s="443">
        <f>(P64+Q64)*48.12%</f>
        <v>1.7248012499999998</v>
      </c>
      <c r="S64" s="443">
        <f t="shared" si="61"/>
        <v>5.3091762500000002</v>
      </c>
      <c r="T64" s="445">
        <v>59</v>
      </c>
      <c r="U64" s="443">
        <f t="shared" si="41"/>
        <v>50.862068965517246</v>
      </c>
      <c r="V64" s="446">
        <f t="shared" si="42"/>
        <v>30.517241379310345</v>
      </c>
      <c r="W64" s="447">
        <f t="shared" si="43"/>
        <v>0.17397300706214688</v>
      </c>
      <c r="X64" s="448">
        <f t="shared" si="44"/>
        <v>0.82602699293785309</v>
      </c>
      <c r="Y64" s="449">
        <f t="shared" si="45"/>
        <v>0.4</v>
      </c>
      <c r="Z64" s="450" t="s">
        <v>620</v>
      </c>
      <c r="AA64" s="451" t="s">
        <v>1345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6"/>
        <v>33.620689655172413</v>
      </c>
      <c r="AI64" s="456">
        <f t="shared" si="47"/>
        <v>0.15791396025641027</v>
      </c>
      <c r="AJ64" s="457">
        <f t="shared" si="48"/>
        <v>0.84208603974358975</v>
      </c>
      <c r="AK64" s="458">
        <f t="shared" si="49"/>
        <v>0</v>
      </c>
      <c r="BA64" s="459">
        <v>1</v>
      </c>
      <c r="BB64" s="459">
        <v>1</v>
      </c>
      <c r="BC64" s="459">
        <v>1</v>
      </c>
      <c r="BD64" s="459">
        <v>1</v>
      </c>
      <c r="BE64" s="459">
        <v>1</v>
      </c>
      <c r="BF64" s="468">
        <v>1</v>
      </c>
      <c r="BG64" s="468">
        <v>1</v>
      </c>
      <c r="BH64" s="468"/>
      <c r="BI64" s="468"/>
      <c r="BJ64" s="459">
        <v>8</v>
      </c>
      <c r="BK64" s="459">
        <f t="shared" si="50"/>
        <v>7</v>
      </c>
      <c r="BL64" s="460">
        <f t="shared" si="51"/>
        <v>0.875</v>
      </c>
      <c r="BR64" s="464" t="s">
        <v>1361</v>
      </c>
      <c r="BS64" s="461">
        <f t="shared" si="14"/>
        <v>46315</v>
      </c>
      <c r="BT64" s="462" t="s">
        <v>86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77</v>
      </c>
      <c r="E65" s="502">
        <v>7502327992226</v>
      </c>
      <c r="F65" s="439" t="s">
        <v>1452</v>
      </c>
      <c r="G65" s="438" t="s">
        <v>1453</v>
      </c>
      <c r="H65" s="439"/>
      <c r="I65" s="439" t="s">
        <v>1454</v>
      </c>
      <c r="J65" s="439" t="s">
        <v>1338</v>
      </c>
      <c r="K65" s="440" t="s">
        <v>1035</v>
      </c>
      <c r="L65" s="441">
        <v>1</v>
      </c>
      <c r="M65" s="469">
        <v>0.17</v>
      </c>
      <c r="N65" s="443" t="s">
        <v>64</v>
      </c>
      <c r="O65" s="444">
        <v>5000</v>
      </c>
      <c r="P65" s="443">
        <f t="shared" si="59"/>
        <v>1.9499000000000002</v>
      </c>
      <c r="Q65" s="443">
        <f t="shared" si="60"/>
        <v>0.48747500000000005</v>
      </c>
      <c r="R65" s="443">
        <f>(P65+Q65)*9.66%</f>
        <v>0.23545042500000005</v>
      </c>
      <c r="S65" s="443">
        <f t="shared" si="61"/>
        <v>2.6728254250000001</v>
      </c>
      <c r="T65" s="445">
        <v>29</v>
      </c>
      <c r="U65" s="443">
        <f t="shared" si="41"/>
        <v>25</v>
      </c>
      <c r="V65" s="446">
        <f t="shared" si="42"/>
        <v>15</v>
      </c>
      <c r="W65" s="447">
        <f t="shared" si="43"/>
        <v>0.17818836166666668</v>
      </c>
      <c r="X65" s="448">
        <f t="shared" si="44"/>
        <v>0.82181163833333337</v>
      </c>
      <c r="Y65" s="449">
        <f t="shared" si="45"/>
        <v>0.4</v>
      </c>
      <c r="Z65" s="450" t="s">
        <v>620</v>
      </c>
      <c r="AA65" s="451" t="s">
        <v>1345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6"/>
        <v>16.379310344827587</v>
      </c>
      <c r="AI65" s="456">
        <f t="shared" si="47"/>
        <v>0.16318302594736842</v>
      </c>
      <c r="AJ65" s="457">
        <f t="shared" si="48"/>
        <v>0.83681697405263156</v>
      </c>
      <c r="AK65" s="458">
        <f t="shared" si="49"/>
        <v>0</v>
      </c>
      <c r="BA65" s="459">
        <v>1</v>
      </c>
      <c r="BB65" s="459">
        <v>1</v>
      </c>
      <c r="BC65" s="459">
        <v>1</v>
      </c>
      <c r="BD65" s="459">
        <v>1</v>
      </c>
      <c r="BE65" s="459">
        <v>1</v>
      </c>
      <c r="BF65" s="468">
        <v>1</v>
      </c>
      <c r="BG65" s="468">
        <v>1</v>
      </c>
      <c r="BH65" s="468"/>
      <c r="BI65" s="468"/>
      <c r="BJ65" s="459">
        <v>8</v>
      </c>
      <c r="BK65" s="459">
        <f t="shared" si="50"/>
        <v>7</v>
      </c>
      <c r="BL65" s="460">
        <f t="shared" si="51"/>
        <v>0.875</v>
      </c>
      <c r="BR65" s="464" t="s">
        <v>1361</v>
      </c>
      <c r="BS65" s="461">
        <f t="shared" si="14"/>
        <v>0</v>
      </c>
      <c r="BT65" s="462" t="s">
        <v>86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77</v>
      </c>
      <c r="E66" s="502">
        <v>7502327992240</v>
      </c>
      <c r="F66" s="439" t="s">
        <v>1455</v>
      </c>
      <c r="G66" s="438" t="s">
        <v>1456</v>
      </c>
      <c r="H66" s="439"/>
      <c r="I66" s="439" t="s">
        <v>1457</v>
      </c>
      <c r="J66" s="439" t="s">
        <v>1338</v>
      </c>
      <c r="K66" s="440" t="s">
        <v>1035</v>
      </c>
      <c r="L66" s="441">
        <v>1</v>
      </c>
      <c r="M66" s="469">
        <v>0.6</v>
      </c>
      <c r="N66" s="443" t="s">
        <v>64</v>
      </c>
      <c r="O66" s="444">
        <v>10000</v>
      </c>
      <c r="P66" s="443">
        <f t="shared" si="59"/>
        <v>6.8820000000000006</v>
      </c>
      <c r="Q66" s="443">
        <f t="shared" si="60"/>
        <v>1.7205000000000001</v>
      </c>
      <c r="R66" s="443">
        <f>(P66+Q66)*12%</f>
        <v>1.0323</v>
      </c>
      <c r="S66" s="443">
        <f t="shared" si="61"/>
        <v>9.6348000000000003</v>
      </c>
      <c r="T66" s="445">
        <v>149</v>
      </c>
      <c r="U66" s="443">
        <f t="shared" si="41"/>
        <v>128.44827586206898</v>
      </c>
      <c r="V66" s="446">
        <f t="shared" si="42"/>
        <v>77.068965517241381</v>
      </c>
      <c r="W66" s="447">
        <f t="shared" si="43"/>
        <v>0.12501530201342281</v>
      </c>
      <c r="X66" s="448">
        <f t="shared" si="44"/>
        <v>0.87498469798657719</v>
      </c>
      <c r="Y66" s="449">
        <f t="shared" si="45"/>
        <v>0.4</v>
      </c>
      <c r="Z66" s="450" t="s">
        <v>620</v>
      </c>
      <c r="AA66" s="451" t="s">
        <v>1345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6"/>
        <v>85.344827586206904</v>
      </c>
      <c r="AI66" s="456">
        <f t="shared" si="47"/>
        <v>0.11289260606060605</v>
      </c>
      <c r="AJ66" s="457">
        <f t="shared" si="48"/>
        <v>0.88710739393939397</v>
      </c>
      <c r="AK66" s="458">
        <f t="shared" si="49"/>
        <v>0</v>
      </c>
      <c r="BA66" s="459">
        <v>1</v>
      </c>
      <c r="BB66" s="459">
        <v>1</v>
      </c>
      <c r="BC66" s="459">
        <v>1</v>
      </c>
      <c r="BD66" s="459">
        <v>1</v>
      </c>
      <c r="BE66" s="459">
        <v>1</v>
      </c>
      <c r="BF66" s="468">
        <v>1</v>
      </c>
      <c r="BG66" s="468"/>
      <c r="BH66" s="468"/>
      <c r="BI66" s="468"/>
      <c r="BJ66" s="459">
        <v>8</v>
      </c>
      <c r="BK66" s="459">
        <f t="shared" si="50"/>
        <v>6</v>
      </c>
      <c r="BL66" s="460">
        <f t="shared" si="51"/>
        <v>0.75</v>
      </c>
      <c r="BR66" s="464" t="s">
        <v>1458</v>
      </c>
      <c r="BS66" s="461">
        <f t="shared" si="14"/>
        <v>46332</v>
      </c>
      <c r="BT66" s="462" t="s">
        <v>609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77</v>
      </c>
      <c r="E67" s="502">
        <v>7502327992257</v>
      </c>
      <c r="F67" s="439" t="s">
        <v>1459</v>
      </c>
      <c r="G67" s="438" t="s">
        <v>1460</v>
      </c>
      <c r="H67" s="439"/>
      <c r="I67" s="439" t="s">
        <v>1457</v>
      </c>
      <c r="J67" s="439" t="s">
        <v>1338</v>
      </c>
      <c r="K67" s="440" t="s">
        <v>1035</v>
      </c>
      <c r="L67" s="441">
        <v>1</v>
      </c>
      <c r="M67" s="469">
        <v>0.6</v>
      </c>
      <c r="N67" s="443" t="s">
        <v>64</v>
      </c>
      <c r="O67" s="444">
        <v>10000</v>
      </c>
      <c r="P67" s="443">
        <f t="shared" si="59"/>
        <v>6.8820000000000006</v>
      </c>
      <c r="Q67" s="443">
        <f t="shared" si="60"/>
        <v>1.7205000000000001</v>
      </c>
      <c r="R67" s="443">
        <f>(P67+Q67)*12%</f>
        <v>1.0323</v>
      </c>
      <c r="S67" s="443">
        <f t="shared" si="61"/>
        <v>9.6348000000000003</v>
      </c>
      <c r="T67" s="445">
        <v>149</v>
      </c>
      <c r="U67" s="443">
        <f t="shared" si="41"/>
        <v>128.44827586206898</v>
      </c>
      <c r="V67" s="446">
        <f t="shared" si="42"/>
        <v>77.068965517241381</v>
      </c>
      <c r="W67" s="447">
        <f t="shared" si="43"/>
        <v>0.12501530201342281</v>
      </c>
      <c r="X67" s="448">
        <f t="shared" si="44"/>
        <v>0.87498469798657719</v>
      </c>
      <c r="Y67" s="449">
        <f t="shared" si="45"/>
        <v>0.4</v>
      </c>
      <c r="Z67" s="450" t="s">
        <v>620</v>
      </c>
      <c r="AA67" s="451" t="s">
        <v>1345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6"/>
        <v>85.344827586206904</v>
      </c>
      <c r="AI67" s="456">
        <f t="shared" si="47"/>
        <v>0.11289260606060605</v>
      </c>
      <c r="AJ67" s="457">
        <f t="shared" si="48"/>
        <v>0.88710739393939397</v>
      </c>
      <c r="AK67" s="458">
        <f t="shared" si="49"/>
        <v>0</v>
      </c>
      <c r="BA67" s="459">
        <v>1</v>
      </c>
      <c r="BB67" s="459">
        <v>1</v>
      </c>
      <c r="BC67" s="459">
        <v>1</v>
      </c>
      <c r="BD67" s="459">
        <v>1</v>
      </c>
      <c r="BE67" s="459">
        <v>1</v>
      </c>
      <c r="BF67" s="468">
        <v>1</v>
      </c>
      <c r="BG67" s="468">
        <v>1</v>
      </c>
      <c r="BH67" s="468"/>
      <c r="BI67" s="468"/>
      <c r="BJ67" s="459">
        <v>8</v>
      </c>
      <c r="BK67" s="459">
        <f t="shared" si="50"/>
        <v>7</v>
      </c>
      <c r="BL67" s="460">
        <f t="shared" si="51"/>
        <v>0.875</v>
      </c>
      <c r="BR67" s="464" t="s">
        <v>1361</v>
      </c>
      <c r="BS67" s="461">
        <f t="shared" si="14"/>
        <v>46332</v>
      </c>
      <c r="BT67" s="462" t="s">
        <v>86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77</v>
      </c>
      <c r="E68" s="502">
        <v>7502327992264</v>
      </c>
      <c r="F68" s="439" t="s">
        <v>1461</v>
      </c>
      <c r="G68" s="438" t="s">
        <v>1462</v>
      </c>
      <c r="H68" s="439"/>
      <c r="I68" s="439">
        <v>1</v>
      </c>
      <c r="J68" s="439" t="s">
        <v>1338</v>
      </c>
      <c r="K68" s="440" t="s">
        <v>1035</v>
      </c>
      <c r="L68" s="441">
        <v>1</v>
      </c>
      <c r="M68" s="469">
        <f t="shared" ref="M68:M75" si="70">1/12</f>
        <v>8.3333333333333329E-2</v>
      </c>
      <c r="N68" s="443" t="s">
        <v>64</v>
      </c>
      <c r="O68" s="444">
        <v>30000</v>
      </c>
      <c r="P68" s="443">
        <f t="shared" si="59"/>
        <v>0.95583333333333331</v>
      </c>
      <c r="Q68" s="443">
        <f t="shared" si="60"/>
        <v>0.23895833333333333</v>
      </c>
      <c r="R68" s="443">
        <f t="shared" ref="R68:R75" si="71">(P68+Q68)*7.79%</f>
        <v>9.3074270833333334E-2</v>
      </c>
      <c r="S68" s="443">
        <f t="shared" si="61"/>
        <v>1.2878659374999999</v>
      </c>
      <c r="T68" s="445">
        <v>19</v>
      </c>
      <c r="U68" s="443">
        <f t="shared" si="41"/>
        <v>16.379310344827587</v>
      </c>
      <c r="V68" s="446">
        <f t="shared" si="42"/>
        <v>9.8275862068965516</v>
      </c>
      <c r="W68" s="447">
        <f t="shared" si="43"/>
        <v>0.13104600767543859</v>
      </c>
      <c r="X68" s="448">
        <f t="shared" si="44"/>
        <v>0.86895399232456139</v>
      </c>
      <c r="Y68" s="449">
        <f t="shared" si="45"/>
        <v>0.4</v>
      </c>
      <c r="Z68" s="450" t="s">
        <v>620</v>
      </c>
      <c r="AA68" s="451" t="s">
        <v>1345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6"/>
        <v>7.7586206896551726</v>
      </c>
      <c r="AI68" s="456">
        <f t="shared" si="47"/>
        <v>0.16599160972222221</v>
      </c>
      <c r="AJ68" s="457">
        <f t="shared" si="48"/>
        <v>0.83400839027777773</v>
      </c>
      <c r="AK68" s="458">
        <f t="shared" si="49"/>
        <v>0</v>
      </c>
      <c r="BA68" s="459">
        <v>1</v>
      </c>
      <c r="BB68" s="459">
        <v>1</v>
      </c>
      <c r="BC68" s="459">
        <v>1</v>
      </c>
      <c r="BD68" s="459">
        <v>1</v>
      </c>
      <c r="BE68" s="459">
        <v>1</v>
      </c>
      <c r="BF68" s="468">
        <v>1</v>
      </c>
      <c r="BG68" s="468">
        <v>1</v>
      </c>
      <c r="BH68" s="468"/>
      <c r="BI68" s="468"/>
      <c r="BJ68" s="459">
        <v>8</v>
      </c>
      <c r="BK68" s="459">
        <f t="shared" si="50"/>
        <v>7</v>
      </c>
      <c r="BL68" s="460">
        <f t="shared" si="51"/>
        <v>0.875</v>
      </c>
      <c r="BR68" s="464" t="s">
        <v>1361</v>
      </c>
      <c r="BS68" s="461">
        <f t="shared" si="14"/>
        <v>46282</v>
      </c>
      <c r="BT68" s="462" t="s">
        <v>86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77</v>
      </c>
      <c r="E69" s="502">
        <v>7502327992271</v>
      </c>
      <c r="F69" s="439" t="s">
        <v>1463</v>
      </c>
      <c r="G69" s="438" t="s">
        <v>1464</v>
      </c>
      <c r="H69" s="439"/>
      <c r="I69" s="439">
        <v>1</v>
      </c>
      <c r="J69" s="439" t="s">
        <v>1338</v>
      </c>
      <c r="K69" s="440" t="s">
        <v>1035</v>
      </c>
      <c r="L69" s="441">
        <v>1</v>
      </c>
      <c r="M69" s="469">
        <f t="shared" si="70"/>
        <v>8.3333333333333329E-2</v>
      </c>
      <c r="N69" s="443" t="s">
        <v>64</v>
      </c>
      <c r="O69" s="444">
        <v>30000</v>
      </c>
      <c r="P69" s="443">
        <f t="shared" si="59"/>
        <v>0.95583333333333331</v>
      </c>
      <c r="Q69" s="443">
        <f t="shared" si="60"/>
        <v>0.23895833333333333</v>
      </c>
      <c r="R69" s="443">
        <f t="shared" si="71"/>
        <v>9.3074270833333334E-2</v>
      </c>
      <c r="S69" s="443">
        <f t="shared" si="61"/>
        <v>1.2878659374999999</v>
      </c>
      <c r="T69" s="445">
        <v>19</v>
      </c>
      <c r="U69" s="443">
        <f t="shared" si="41"/>
        <v>16.379310344827587</v>
      </c>
      <c r="V69" s="446">
        <f t="shared" si="42"/>
        <v>9.8275862068965516</v>
      </c>
      <c r="W69" s="447">
        <f t="shared" si="43"/>
        <v>0.13104600767543859</v>
      </c>
      <c r="X69" s="448">
        <f t="shared" si="44"/>
        <v>0.86895399232456139</v>
      </c>
      <c r="Y69" s="449">
        <f t="shared" si="45"/>
        <v>0.4</v>
      </c>
      <c r="Z69" s="450" t="s">
        <v>620</v>
      </c>
      <c r="AA69" s="451" t="s">
        <v>1345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6"/>
        <v>7.7586206896551726</v>
      </c>
      <c r="AI69" s="456">
        <f t="shared" si="47"/>
        <v>0.16599160972222221</v>
      </c>
      <c r="AJ69" s="457">
        <f t="shared" si="48"/>
        <v>0.83400839027777773</v>
      </c>
      <c r="AK69" s="458">
        <f t="shared" si="49"/>
        <v>0</v>
      </c>
      <c r="BA69" s="459">
        <v>1</v>
      </c>
      <c r="BB69" s="459">
        <v>1</v>
      </c>
      <c r="BC69" s="459">
        <v>1</v>
      </c>
      <c r="BD69" s="459">
        <v>1</v>
      </c>
      <c r="BE69" s="459">
        <v>1</v>
      </c>
      <c r="BF69" s="468">
        <v>1</v>
      </c>
      <c r="BG69" s="468">
        <v>1</v>
      </c>
      <c r="BH69" s="468"/>
      <c r="BI69" s="468"/>
      <c r="BJ69" s="459">
        <v>8</v>
      </c>
      <c r="BK69" s="459">
        <f t="shared" si="50"/>
        <v>7</v>
      </c>
      <c r="BL69" s="460">
        <f t="shared" si="51"/>
        <v>0.875</v>
      </c>
      <c r="BR69" s="464" t="s">
        <v>1361</v>
      </c>
      <c r="BS69" s="461">
        <f t="shared" si="14"/>
        <v>46282</v>
      </c>
      <c r="BT69" s="462" t="s">
        <v>86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77</v>
      </c>
      <c r="E70" s="502">
        <v>7502327992288</v>
      </c>
      <c r="F70" s="439" t="s">
        <v>1465</v>
      </c>
      <c r="G70" s="438" t="s">
        <v>1466</v>
      </c>
      <c r="H70" s="439"/>
      <c r="I70" s="439">
        <v>1</v>
      </c>
      <c r="J70" s="439" t="s">
        <v>1338</v>
      </c>
      <c r="K70" s="440" t="s">
        <v>1035</v>
      </c>
      <c r="L70" s="441">
        <v>1</v>
      </c>
      <c r="M70" s="469">
        <f t="shared" si="70"/>
        <v>8.3333333333333329E-2</v>
      </c>
      <c r="N70" s="443" t="s">
        <v>64</v>
      </c>
      <c r="O70" s="444">
        <v>30000</v>
      </c>
      <c r="P70" s="443">
        <f t="shared" si="59"/>
        <v>0.95583333333333331</v>
      </c>
      <c r="Q70" s="443">
        <f t="shared" si="60"/>
        <v>0.23895833333333333</v>
      </c>
      <c r="R70" s="443">
        <f t="shared" si="71"/>
        <v>9.3074270833333334E-2</v>
      </c>
      <c r="S70" s="443">
        <f t="shared" si="61"/>
        <v>1.2878659374999999</v>
      </c>
      <c r="T70" s="445">
        <v>19</v>
      </c>
      <c r="U70" s="443">
        <f t="shared" si="41"/>
        <v>16.379310344827587</v>
      </c>
      <c r="V70" s="446">
        <f t="shared" si="42"/>
        <v>9.8275862068965516</v>
      </c>
      <c r="W70" s="447">
        <f t="shared" si="43"/>
        <v>0.13104600767543859</v>
      </c>
      <c r="X70" s="448">
        <f t="shared" si="44"/>
        <v>0.86895399232456139</v>
      </c>
      <c r="Y70" s="449">
        <f t="shared" si="45"/>
        <v>0.4</v>
      </c>
      <c r="Z70" s="450" t="s">
        <v>620</v>
      </c>
      <c r="AA70" s="451" t="s">
        <v>1345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6"/>
        <v>7.7586206896551726</v>
      </c>
      <c r="AI70" s="456">
        <f t="shared" si="47"/>
        <v>0.16599160972222221</v>
      </c>
      <c r="AJ70" s="457">
        <f t="shared" si="48"/>
        <v>0.83400839027777773</v>
      </c>
      <c r="AK70" s="458">
        <f t="shared" si="49"/>
        <v>0</v>
      </c>
      <c r="BA70" s="459">
        <v>1</v>
      </c>
      <c r="BB70" s="459">
        <v>1</v>
      </c>
      <c r="BC70" s="459">
        <v>1</v>
      </c>
      <c r="BD70" s="459">
        <v>1</v>
      </c>
      <c r="BE70" s="459">
        <v>1</v>
      </c>
      <c r="BF70" s="468">
        <v>1</v>
      </c>
      <c r="BG70" s="468">
        <v>1</v>
      </c>
      <c r="BH70" s="468"/>
      <c r="BI70" s="468"/>
      <c r="BJ70" s="459">
        <v>8</v>
      </c>
      <c r="BK70" s="459">
        <f t="shared" si="50"/>
        <v>7</v>
      </c>
      <c r="BL70" s="460">
        <f t="shared" si="51"/>
        <v>0.875</v>
      </c>
      <c r="BR70" s="464" t="s">
        <v>1361</v>
      </c>
      <c r="BS70" s="461">
        <f t="shared" si="14"/>
        <v>46282</v>
      </c>
      <c r="BT70" s="462" t="s">
        <v>86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77</v>
      </c>
      <c r="E71" s="502">
        <v>7502327992295</v>
      </c>
      <c r="F71" s="439" t="s">
        <v>1467</v>
      </c>
      <c r="G71" s="438" t="s">
        <v>1468</v>
      </c>
      <c r="H71" s="439"/>
      <c r="I71" s="439">
        <v>1</v>
      </c>
      <c r="J71" s="439" t="s">
        <v>1338</v>
      </c>
      <c r="K71" s="440" t="s">
        <v>1035</v>
      </c>
      <c r="L71" s="441">
        <v>1</v>
      </c>
      <c r="M71" s="469">
        <f t="shared" si="70"/>
        <v>8.3333333333333329E-2</v>
      </c>
      <c r="N71" s="443" t="s">
        <v>64</v>
      </c>
      <c r="O71" s="444">
        <v>30000</v>
      </c>
      <c r="P71" s="443">
        <f t="shared" si="59"/>
        <v>0.95583333333333331</v>
      </c>
      <c r="Q71" s="443">
        <f t="shared" si="60"/>
        <v>0.23895833333333333</v>
      </c>
      <c r="R71" s="443">
        <f t="shared" si="71"/>
        <v>9.3074270833333334E-2</v>
      </c>
      <c r="S71" s="443">
        <f t="shared" si="61"/>
        <v>1.2878659374999999</v>
      </c>
      <c r="T71" s="445">
        <v>19</v>
      </c>
      <c r="U71" s="443">
        <f t="shared" si="41"/>
        <v>16.379310344827587</v>
      </c>
      <c r="V71" s="446">
        <f t="shared" si="42"/>
        <v>9.8275862068965516</v>
      </c>
      <c r="W71" s="447">
        <f t="shared" si="43"/>
        <v>0.13104600767543859</v>
      </c>
      <c r="X71" s="448">
        <f t="shared" si="44"/>
        <v>0.86895399232456139</v>
      </c>
      <c r="Y71" s="449">
        <f t="shared" si="45"/>
        <v>0.4</v>
      </c>
      <c r="Z71" s="450" t="s">
        <v>620</v>
      </c>
      <c r="AA71" s="451" t="s">
        <v>1345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6"/>
        <v>7.7586206896551726</v>
      </c>
      <c r="AI71" s="456">
        <f t="shared" si="47"/>
        <v>0.16599160972222221</v>
      </c>
      <c r="AJ71" s="457">
        <f t="shared" si="48"/>
        <v>0.83400839027777773</v>
      </c>
      <c r="AK71" s="458">
        <f t="shared" si="49"/>
        <v>0</v>
      </c>
      <c r="BA71" s="459">
        <v>1</v>
      </c>
      <c r="BB71" s="459">
        <v>1</v>
      </c>
      <c r="BC71" s="459">
        <v>1</v>
      </c>
      <c r="BD71" s="459">
        <v>1</v>
      </c>
      <c r="BE71" s="459">
        <v>1</v>
      </c>
      <c r="BF71" s="468">
        <v>1</v>
      </c>
      <c r="BG71" s="468">
        <v>1</v>
      </c>
      <c r="BH71" s="468"/>
      <c r="BI71" s="468"/>
      <c r="BJ71" s="459">
        <v>8</v>
      </c>
      <c r="BK71" s="459">
        <f t="shared" si="50"/>
        <v>7</v>
      </c>
      <c r="BL71" s="460">
        <f t="shared" si="51"/>
        <v>0.875</v>
      </c>
      <c r="BR71" s="464" t="s">
        <v>1361</v>
      </c>
      <c r="BS71" s="461">
        <f t="shared" si="14"/>
        <v>46282</v>
      </c>
      <c r="BT71" s="462" t="s">
        <v>86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77</v>
      </c>
      <c r="E72" s="502">
        <v>7502327992301</v>
      </c>
      <c r="F72" s="439" t="s">
        <v>1469</v>
      </c>
      <c r="G72" s="438" t="s">
        <v>1470</v>
      </c>
      <c r="H72" s="439"/>
      <c r="I72" s="439">
        <v>1</v>
      </c>
      <c r="J72" s="439" t="s">
        <v>1338</v>
      </c>
      <c r="K72" s="440" t="s">
        <v>1035</v>
      </c>
      <c r="L72" s="441">
        <v>1</v>
      </c>
      <c r="M72" s="469">
        <f t="shared" si="70"/>
        <v>8.3333333333333329E-2</v>
      </c>
      <c r="N72" s="443" t="s">
        <v>64</v>
      </c>
      <c r="O72" s="444">
        <v>30000</v>
      </c>
      <c r="P72" s="443">
        <f t="shared" si="59"/>
        <v>0.95583333333333331</v>
      </c>
      <c r="Q72" s="443">
        <f t="shared" si="60"/>
        <v>0.23895833333333333</v>
      </c>
      <c r="R72" s="443">
        <f t="shared" si="71"/>
        <v>9.3074270833333334E-2</v>
      </c>
      <c r="S72" s="443">
        <f t="shared" si="61"/>
        <v>1.2878659374999999</v>
      </c>
      <c r="T72" s="445">
        <v>19</v>
      </c>
      <c r="U72" s="443">
        <f t="shared" si="41"/>
        <v>16.379310344827587</v>
      </c>
      <c r="V72" s="446">
        <f t="shared" si="42"/>
        <v>9.8275862068965516</v>
      </c>
      <c r="W72" s="447">
        <f t="shared" si="43"/>
        <v>0.13104600767543859</v>
      </c>
      <c r="X72" s="448">
        <f t="shared" si="44"/>
        <v>0.86895399232456139</v>
      </c>
      <c r="Y72" s="449">
        <f t="shared" si="45"/>
        <v>0.4</v>
      </c>
      <c r="Z72" s="450" t="s">
        <v>620</v>
      </c>
      <c r="AA72" s="451" t="s">
        <v>1345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6"/>
        <v>7.7586206896551726</v>
      </c>
      <c r="AI72" s="456">
        <f t="shared" si="47"/>
        <v>0.16599160972222221</v>
      </c>
      <c r="AJ72" s="457">
        <f t="shared" si="48"/>
        <v>0.83400839027777773</v>
      </c>
      <c r="AK72" s="458">
        <f t="shared" si="49"/>
        <v>0</v>
      </c>
      <c r="BA72" s="459">
        <v>1</v>
      </c>
      <c r="BB72" s="459">
        <v>1</v>
      </c>
      <c r="BC72" s="459">
        <v>1</v>
      </c>
      <c r="BD72" s="459">
        <v>1</v>
      </c>
      <c r="BE72" s="459">
        <v>1</v>
      </c>
      <c r="BF72" s="468">
        <v>1</v>
      </c>
      <c r="BG72" s="468">
        <v>1</v>
      </c>
      <c r="BH72" s="468"/>
      <c r="BI72" s="468"/>
      <c r="BJ72" s="459">
        <v>8</v>
      </c>
      <c r="BK72" s="459">
        <f t="shared" si="50"/>
        <v>7</v>
      </c>
      <c r="BL72" s="460">
        <f t="shared" si="51"/>
        <v>0.875</v>
      </c>
      <c r="BR72" s="464" t="s">
        <v>1361</v>
      </c>
      <c r="BS72" s="461">
        <f t="shared" si="14"/>
        <v>46282</v>
      </c>
      <c r="BT72" s="462" t="s">
        <v>86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77</v>
      </c>
      <c r="E73" s="502">
        <v>7502327992318</v>
      </c>
      <c r="F73" s="439" t="s">
        <v>1471</v>
      </c>
      <c r="G73" s="438" t="s">
        <v>1472</v>
      </c>
      <c r="H73" s="439"/>
      <c r="I73" s="439">
        <v>1</v>
      </c>
      <c r="J73" s="439" t="s">
        <v>1338</v>
      </c>
      <c r="K73" s="440" t="s">
        <v>1035</v>
      </c>
      <c r="L73" s="441">
        <v>1</v>
      </c>
      <c r="M73" s="469">
        <f t="shared" si="70"/>
        <v>8.3333333333333329E-2</v>
      </c>
      <c r="N73" s="443" t="s">
        <v>64</v>
      </c>
      <c r="O73" s="444">
        <v>30000</v>
      </c>
      <c r="P73" s="443">
        <f t="shared" si="59"/>
        <v>0.95583333333333331</v>
      </c>
      <c r="Q73" s="443">
        <f t="shared" si="60"/>
        <v>0.23895833333333333</v>
      </c>
      <c r="R73" s="443">
        <f t="shared" si="71"/>
        <v>9.3074270833333334E-2</v>
      </c>
      <c r="S73" s="443">
        <f t="shared" si="61"/>
        <v>1.2878659374999999</v>
      </c>
      <c r="T73" s="445">
        <v>19</v>
      </c>
      <c r="U73" s="443">
        <f t="shared" si="41"/>
        <v>16.379310344827587</v>
      </c>
      <c r="V73" s="446">
        <f t="shared" si="42"/>
        <v>9.8275862068965516</v>
      </c>
      <c r="W73" s="447">
        <f t="shared" si="43"/>
        <v>0.13104600767543859</v>
      </c>
      <c r="X73" s="448">
        <f t="shared" si="44"/>
        <v>0.86895399232456139</v>
      </c>
      <c r="Y73" s="449">
        <f t="shared" si="45"/>
        <v>0.4</v>
      </c>
      <c r="Z73" s="450" t="s">
        <v>620</v>
      </c>
      <c r="AA73" s="451" t="s">
        <v>1345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6"/>
        <v>7.7586206896551726</v>
      </c>
      <c r="AI73" s="456">
        <f t="shared" si="47"/>
        <v>0.16599160972222221</v>
      </c>
      <c r="AJ73" s="457">
        <f t="shared" si="48"/>
        <v>0.83400839027777773</v>
      </c>
      <c r="AK73" s="458">
        <f t="shared" si="49"/>
        <v>0</v>
      </c>
      <c r="BA73" s="459">
        <v>1</v>
      </c>
      <c r="BB73" s="459">
        <v>1</v>
      </c>
      <c r="BC73" s="459">
        <v>1</v>
      </c>
      <c r="BD73" s="459">
        <v>1</v>
      </c>
      <c r="BE73" s="459">
        <v>1</v>
      </c>
      <c r="BF73" s="468">
        <v>1</v>
      </c>
      <c r="BG73" s="468">
        <v>1</v>
      </c>
      <c r="BH73" s="468"/>
      <c r="BI73" s="468"/>
      <c r="BJ73" s="459">
        <v>8</v>
      </c>
      <c r="BK73" s="459">
        <f t="shared" si="50"/>
        <v>7</v>
      </c>
      <c r="BL73" s="460">
        <f t="shared" si="51"/>
        <v>0.875</v>
      </c>
      <c r="BR73" s="464" t="s">
        <v>1361</v>
      </c>
      <c r="BS73" s="461">
        <f t="shared" si="14"/>
        <v>46282</v>
      </c>
      <c r="BT73" s="462" t="s">
        <v>86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77</v>
      </c>
      <c r="E74" s="502">
        <v>7502327992325</v>
      </c>
      <c r="F74" s="439" t="s">
        <v>1473</v>
      </c>
      <c r="G74" s="438" t="s">
        <v>1474</v>
      </c>
      <c r="H74" s="439"/>
      <c r="I74" s="439">
        <v>1</v>
      </c>
      <c r="J74" s="439" t="s">
        <v>1338</v>
      </c>
      <c r="K74" s="440" t="s">
        <v>1035</v>
      </c>
      <c r="L74" s="441">
        <v>1</v>
      </c>
      <c r="M74" s="469">
        <f t="shared" si="70"/>
        <v>8.3333333333333329E-2</v>
      </c>
      <c r="N74" s="443" t="s">
        <v>64</v>
      </c>
      <c r="O74" s="444">
        <v>30000</v>
      </c>
      <c r="P74" s="443">
        <f t="shared" si="59"/>
        <v>0.95583333333333331</v>
      </c>
      <c r="Q74" s="443">
        <f t="shared" si="60"/>
        <v>0.23895833333333333</v>
      </c>
      <c r="R74" s="443">
        <f t="shared" si="71"/>
        <v>9.3074270833333334E-2</v>
      </c>
      <c r="S74" s="443">
        <f t="shared" si="61"/>
        <v>1.2878659374999999</v>
      </c>
      <c r="T74" s="445">
        <v>19</v>
      </c>
      <c r="U74" s="443">
        <f t="shared" si="41"/>
        <v>16.379310344827587</v>
      </c>
      <c r="V74" s="446">
        <f t="shared" si="42"/>
        <v>9.8275862068965516</v>
      </c>
      <c r="W74" s="447">
        <f t="shared" si="43"/>
        <v>0.13104600767543859</v>
      </c>
      <c r="X74" s="448">
        <f t="shared" si="44"/>
        <v>0.86895399232456139</v>
      </c>
      <c r="Y74" s="449">
        <f t="shared" si="45"/>
        <v>0.4</v>
      </c>
      <c r="Z74" s="450" t="s">
        <v>620</v>
      </c>
      <c r="AA74" s="451" t="s">
        <v>1345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6"/>
        <v>7.7586206896551726</v>
      </c>
      <c r="AI74" s="456">
        <f t="shared" si="47"/>
        <v>0.16599160972222221</v>
      </c>
      <c r="AJ74" s="457">
        <f t="shared" si="48"/>
        <v>0.83400839027777773</v>
      </c>
      <c r="AK74" s="458">
        <f t="shared" si="49"/>
        <v>0</v>
      </c>
      <c r="BA74" s="459">
        <v>1</v>
      </c>
      <c r="BB74" s="459">
        <v>1</v>
      </c>
      <c r="BC74" s="459">
        <v>1</v>
      </c>
      <c r="BD74" s="459">
        <v>1</v>
      </c>
      <c r="BE74" s="459">
        <v>1</v>
      </c>
      <c r="BF74" s="468">
        <v>1</v>
      </c>
      <c r="BG74" s="468">
        <v>1</v>
      </c>
      <c r="BH74" s="468"/>
      <c r="BI74" s="468"/>
      <c r="BJ74" s="459">
        <v>8</v>
      </c>
      <c r="BK74" s="459">
        <f t="shared" si="50"/>
        <v>7</v>
      </c>
      <c r="BL74" s="460">
        <f t="shared" si="51"/>
        <v>0.875</v>
      </c>
      <c r="BR74" s="464" t="s">
        <v>1361</v>
      </c>
      <c r="BS74" s="461">
        <f t="shared" si="14"/>
        <v>46282</v>
      </c>
      <c r="BT74" s="462" t="s">
        <v>86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77</v>
      </c>
      <c r="E75" s="502">
        <v>7502327992349</v>
      </c>
      <c r="F75" s="439" t="s">
        <v>1475</v>
      </c>
      <c r="G75" s="438" t="s">
        <v>1476</v>
      </c>
      <c r="H75" s="439"/>
      <c r="I75" s="439">
        <v>1</v>
      </c>
      <c r="J75" s="439" t="s">
        <v>1338</v>
      </c>
      <c r="K75" s="440" t="s">
        <v>1035</v>
      </c>
      <c r="L75" s="441">
        <v>1</v>
      </c>
      <c r="M75" s="469">
        <f t="shared" si="70"/>
        <v>8.3333333333333329E-2</v>
      </c>
      <c r="N75" s="443" t="s">
        <v>64</v>
      </c>
      <c r="O75" s="444">
        <v>30000</v>
      </c>
      <c r="P75" s="443">
        <f t="shared" si="59"/>
        <v>0.95583333333333331</v>
      </c>
      <c r="Q75" s="443">
        <f t="shared" si="60"/>
        <v>0.23895833333333333</v>
      </c>
      <c r="R75" s="443">
        <f t="shared" si="71"/>
        <v>9.3074270833333334E-2</v>
      </c>
      <c r="S75" s="443">
        <f t="shared" si="61"/>
        <v>1.2878659374999999</v>
      </c>
      <c r="T75" s="445">
        <v>19</v>
      </c>
      <c r="U75" s="443">
        <f t="shared" si="41"/>
        <v>16.379310344827587</v>
      </c>
      <c r="V75" s="446">
        <f t="shared" si="42"/>
        <v>9.8275862068965516</v>
      </c>
      <c r="W75" s="447">
        <f t="shared" si="43"/>
        <v>0.13104600767543859</v>
      </c>
      <c r="X75" s="448">
        <f t="shared" si="44"/>
        <v>0.86895399232456139</v>
      </c>
      <c r="Y75" s="449">
        <f t="shared" si="45"/>
        <v>0.4</v>
      </c>
      <c r="Z75" s="450" t="s">
        <v>620</v>
      </c>
      <c r="AA75" s="451" t="s">
        <v>1345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6"/>
        <v>7.7586206896551726</v>
      </c>
      <c r="AI75" s="456">
        <f t="shared" si="47"/>
        <v>0.16599160972222221</v>
      </c>
      <c r="AJ75" s="457">
        <f t="shared" si="48"/>
        <v>0.83400839027777773</v>
      </c>
      <c r="AK75" s="458">
        <f t="shared" si="49"/>
        <v>0</v>
      </c>
      <c r="BA75" s="459">
        <v>1</v>
      </c>
      <c r="BB75" s="459">
        <v>1</v>
      </c>
      <c r="BC75" s="459">
        <v>1</v>
      </c>
      <c r="BD75" s="459">
        <v>1</v>
      </c>
      <c r="BE75" s="459">
        <v>1</v>
      </c>
      <c r="BF75" s="468">
        <v>1</v>
      </c>
      <c r="BG75" s="468">
        <v>1</v>
      </c>
      <c r="BH75" s="468"/>
      <c r="BI75" s="468"/>
      <c r="BJ75" s="459">
        <v>8</v>
      </c>
      <c r="BK75" s="459">
        <f t="shared" si="50"/>
        <v>7</v>
      </c>
      <c r="BL75" s="460">
        <f t="shared" si="51"/>
        <v>0.875</v>
      </c>
      <c r="BR75" s="464" t="s">
        <v>1361</v>
      </c>
      <c r="BS75" s="461">
        <f t="shared" si="14"/>
        <v>46282</v>
      </c>
      <c r="BT75" s="462" t="s">
        <v>86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77</v>
      </c>
      <c r="E76" s="502">
        <v>7502327992356</v>
      </c>
      <c r="F76" s="439" t="s">
        <v>1477</v>
      </c>
      <c r="G76" s="438" t="s">
        <v>1478</v>
      </c>
      <c r="H76" s="439"/>
      <c r="I76" s="439">
        <v>12</v>
      </c>
      <c r="J76" s="439" t="s">
        <v>1338</v>
      </c>
      <c r="K76" s="440" t="s">
        <v>1035</v>
      </c>
      <c r="L76" s="441">
        <v>1</v>
      </c>
      <c r="M76" s="469">
        <v>0.85</v>
      </c>
      <c r="N76" s="443" t="s">
        <v>64</v>
      </c>
      <c r="O76" s="444">
        <v>10000</v>
      </c>
      <c r="P76" s="443">
        <f t="shared" si="59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1"/>
        <v>13.806705677500002</v>
      </c>
      <c r="T76" s="445">
        <v>139</v>
      </c>
      <c r="U76" s="443">
        <f t="shared" si="41"/>
        <v>119.82758620689656</v>
      </c>
      <c r="V76" s="446">
        <f t="shared" si="42"/>
        <v>71.896551724137936</v>
      </c>
      <c r="W76" s="447">
        <f t="shared" si="43"/>
        <v>0.19203571445923262</v>
      </c>
      <c r="X76" s="448">
        <f t="shared" si="44"/>
        <v>0.80796428554076738</v>
      </c>
      <c r="Y76" s="449">
        <f t="shared" si="45"/>
        <v>0.4</v>
      </c>
      <c r="Z76" s="450" t="s">
        <v>1479</v>
      </c>
      <c r="AA76" s="451" t="s">
        <v>1345</v>
      </c>
      <c r="AB76" s="439"/>
      <c r="AC76" s="439"/>
      <c r="AD76" s="452">
        <v>46272</v>
      </c>
      <c r="AE76" s="453"/>
      <c r="AG76" s="454">
        <v>99</v>
      </c>
      <c r="AH76" s="455">
        <f t="shared" si="46"/>
        <v>85.344827586206904</v>
      </c>
      <c r="AI76" s="456">
        <f t="shared" si="47"/>
        <v>0.16177554127171717</v>
      </c>
      <c r="AJ76" s="457">
        <f t="shared" si="48"/>
        <v>0.83822445872828277</v>
      </c>
      <c r="AK76" s="458">
        <f t="shared" si="49"/>
        <v>0</v>
      </c>
      <c r="BA76" s="459">
        <v>1</v>
      </c>
      <c r="BB76" s="459">
        <v>1</v>
      </c>
      <c r="BC76" s="459">
        <v>1</v>
      </c>
      <c r="BD76" s="459">
        <v>1</v>
      </c>
      <c r="BE76" s="459">
        <v>1</v>
      </c>
      <c r="BF76" s="468">
        <v>1</v>
      </c>
      <c r="BG76" s="468">
        <v>1</v>
      </c>
      <c r="BH76" s="468"/>
      <c r="BI76" s="468"/>
      <c r="BJ76" s="459">
        <v>8</v>
      </c>
      <c r="BK76" s="459">
        <f t="shared" si="50"/>
        <v>7</v>
      </c>
      <c r="BL76" s="460">
        <f t="shared" si="51"/>
        <v>0.875</v>
      </c>
      <c r="BR76" s="464" t="s">
        <v>1361</v>
      </c>
      <c r="BS76" s="461">
        <f t="shared" si="14"/>
        <v>46272</v>
      </c>
      <c r="BT76" s="462" t="s">
        <v>86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77</v>
      </c>
      <c r="E77" s="502">
        <v>7502327992363</v>
      </c>
      <c r="F77" s="439" t="s">
        <v>1480</v>
      </c>
      <c r="G77" s="438" t="s">
        <v>1481</v>
      </c>
      <c r="H77" s="425"/>
      <c r="I77" s="439">
        <v>30</v>
      </c>
      <c r="J77" s="440" t="s">
        <v>1338</v>
      </c>
      <c r="K77" s="440" t="s">
        <v>1035</v>
      </c>
      <c r="L77" s="441">
        <v>1</v>
      </c>
      <c r="M77" s="469">
        <v>0.7</v>
      </c>
      <c r="N77" s="443" t="s">
        <v>64</v>
      </c>
      <c r="O77" s="444">
        <v>10000</v>
      </c>
      <c r="P77" s="443">
        <f t="shared" si="59"/>
        <v>8.0289999999999999</v>
      </c>
      <c r="Q77" s="443">
        <f>P77*0.25</f>
        <v>2.00725</v>
      </c>
      <c r="R77" s="443">
        <f>(P77+Q77)*14.8%</f>
        <v>1.485365</v>
      </c>
      <c r="S77" s="443">
        <f t="shared" si="61"/>
        <v>11.521615000000001</v>
      </c>
      <c r="T77" s="445">
        <v>149</v>
      </c>
      <c r="U77" s="443">
        <f t="shared" si="41"/>
        <v>128.44827586206898</v>
      </c>
      <c r="V77" s="446">
        <f t="shared" si="42"/>
        <v>77.068965517241381</v>
      </c>
      <c r="W77" s="447">
        <f t="shared" si="43"/>
        <v>0.14949746532438479</v>
      </c>
      <c r="X77" s="448">
        <f t="shared" si="44"/>
        <v>0.85050253467561521</v>
      </c>
      <c r="Y77" s="449">
        <f t="shared" si="45"/>
        <v>0.4</v>
      </c>
      <c r="Z77" s="450" t="s">
        <v>620</v>
      </c>
      <c r="AA77" s="451" t="s">
        <v>1345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6"/>
        <v>85.344827586206904</v>
      </c>
      <c r="AI77" s="456">
        <f t="shared" si="47"/>
        <v>0.13500074141414142</v>
      </c>
      <c r="AJ77" s="457">
        <f t="shared" si="48"/>
        <v>0.86499925858585858</v>
      </c>
      <c r="AK77" s="458">
        <f t="shared" si="49"/>
        <v>0</v>
      </c>
      <c r="BA77" s="459">
        <v>1</v>
      </c>
      <c r="BB77" s="459">
        <v>1</v>
      </c>
      <c r="BC77" s="459">
        <v>1</v>
      </c>
      <c r="BD77" s="459">
        <v>1</v>
      </c>
      <c r="BE77" s="459">
        <v>1</v>
      </c>
      <c r="BF77" s="468">
        <v>1</v>
      </c>
      <c r="BG77" s="468">
        <v>1</v>
      </c>
      <c r="BH77" s="468"/>
      <c r="BI77" s="468"/>
      <c r="BJ77" s="459">
        <v>8</v>
      </c>
      <c r="BK77" s="459">
        <f t="shared" si="50"/>
        <v>7</v>
      </c>
      <c r="BL77" s="460">
        <f t="shared" si="51"/>
        <v>0.875</v>
      </c>
      <c r="BR77" s="464" t="s">
        <v>1361</v>
      </c>
      <c r="BS77" s="461">
        <f t="shared" si="14"/>
        <v>46341</v>
      </c>
      <c r="BT77" s="462" t="s">
        <v>86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77</v>
      </c>
      <c r="E78" s="502">
        <v>7502327992370</v>
      </c>
      <c r="F78" s="439" t="s">
        <v>1482</v>
      </c>
      <c r="G78" s="438" t="s">
        <v>1483</v>
      </c>
      <c r="H78" s="425"/>
      <c r="I78" s="439">
        <v>6</v>
      </c>
      <c r="J78" s="440" t="s">
        <v>1338</v>
      </c>
      <c r="K78" s="440" t="s">
        <v>1035</v>
      </c>
      <c r="L78" s="441">
        <v>1</v>
      </c>
      <c r="M78" s="469">
        <v>0.05</v>
      </c>
      <c r="N78" s="443" t="s">
        <v>64</v>
      </c>
      <c r="O78" s="444">
        <v>40000</v>
      </c>
      <c r="P78" s="443">
        <f t="shared" si="59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1"/>
        <v>0.82397612499999995</v>
      </c>
      <c r="T78" s="445">
        <v>39</v>
      </c>
      <c r="U78" s="443">
        <f t="shared" si="41"/>
        <v>33.620689655172413</v>
      </c>
      <c r="V78" s="446">
        <f t="shared" si="42"/>
        <v>20.172413793103448</v>
      </c>
      <c r="W78" s="447">
        <f t="shared" si="43"/>
        <v>4.0846679700854698E-2</v>
      </c>
      <c r="X78" s="448">
        <f t="shared" si="44"/>
        <v>0.95915332029914535</v>
      </c>
      <c r="Y78" s="449">
        <f t="shared" si="45"/>
        <v>0.4</v>
      </c>
      <c r="Z78" s="450" t="s">
        <v>620</v>
      </c>
      <c r="AA78" s="451" t="s">
        <v>1345</v>
      </c>
      <c r="AB78" s="439"/>
      <c r="AC78" s="439"/>
      <c r="AD78" s="452">
        <v>46341</v>
      </c>
      <c r="AE78" s="453"/>
      <c r="AG78" s="454">
        <v>29</v>
      </c>
      <c r="AH78" s="455">
        <f t="shared" si="46"/>
        <v>25</v>
      </c>
      <c r="AI78" s="456">
        <f t="shared" si="47"/>
        <v>3.2959044999999999E-2</v>
      </c>
      <c r="AJ78" s="457">
        <f t="shared" si="48"/>
        <v>0.96704095499999998</v>
      </c>
      <c r="AK78" s="458">
        <f t="shared" si="49"/>
        <v>0</v>
      </c>
      <c r="BA78" s="459">
        <v>1</v>
      </c>
      <c r="BB78" s="459">
        <v>1</v>
      </c>
      <c r="BC78" s="459">
        <v>1</v>
      </c>
      <c r="BD78" s="459">
        <v>1</v>
      </c>
      <c r="BE78" s="459">
        <v>1</v>
      </c>
      <c r="BF78" s="468">
        <v>1</v>
      </c>
      <c r="BG78" s="468"/>
      <c r="BH78" s="468"/>
      <c r="BI78" s="468"/>
      <c r="BJ78" s="459">
        <v>8</v>
      </c>
      <c r="BK78" s="459">
        <f t="shared" si="50"/>
        <v>6</v>
      </c>
      <c r="BL78" s="460">
        <f t="shared" si="51"/>
        <v>0.75</v>
      </c>
      <c r="BR78" s="464" t="s">
        <v>1484</v>
      </c>
      <c r="BS78" s="461">
        <f t="shared" si="14"/>
        <v>46341</v>
      </c>
      <c r="BT78" s="462" t="s">
        <v>129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77</v>
      </c>
      <c r="E79" s="502">
        <v>7502327992394</v>
      </c>
      <c r="F79" s="439" t="s">
        <v>1485</v>
      </c>
      <c r="G79" s="438" t="s">
        <v>1486</v>
      </c>
      <c r="H79" s="439"/>
      <c r="I79" s="439">
        <v>2</v>
      </c>
      <c r="J79" s="439" t="s">
        <v>1338</v>
      </c>
      <c r="K79" s="440" t="s">
        <v>1035</v>
      </c>
      <c r="L79" s="441">
        <v>1</v>
      </c>
      <c r="M79" s="469">
        <v>0.39</v>
      </c>
      <c r="N79" s="443" t="s">
        <v>64</v>
      </c>
      <c r="O79" s="444">
        <v>5000</v>
      </c>
      <c r="P79" s="443">
        <f t="shared" si="59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1"/>
        <v>6.0389549999999996</v>
      </c>
      <c r="T79" s="445">
        <v>99</v>
      </c>
      <c r="U79" s="443">
        <f t="shared" si="41"/>
        <v>85.344827586206904</v>
      </c>
      <c r="V79" s="446">
        <f t="shared" si="42"/>
        <v>51.206896551724142</v>
      </c>
      <c r="W79" s="447">
        <f t="shared" si="43"/>
        <v>0.11793245454545453</v>
      </c>
      <c r="X79" s="448">
        <f t="shared" si="44"/>
        <v>0.88206754545454547</v>
      </c>
      <c r="Y79" s="449">
        <f t="shared" si="45"/>
        <v>0.4</v>
      </c>
      <c r="Z79" s="450" t="s">
        <v>1479</v>
      </c>
      <c r="AA79" s="451" t="s">
        <v>1345</v>
      </c>
      <c r="AB79" s="439"/>
      <c r="AC79" s="439"/>
      <c r="AD79" s="452">
        <v>46330</v>
      </c>
      <c r="AE79" s="453"/>
      <c r="AG79" s="454">
        <v>69</v>
      </c>
      <c r="AH79" s="455">
        <f t="shared" si="46"/>
        <v>59.482758620689658</v>
      </c>
      <c r="AI79" s="456">
        <f t="shared" si="47"/>
        <v>0.10152446086956521</v>
      </c>
      <c r="AJ79" s="457">
        <f t="shared" si="48"/>
        <v>0.89847553913043476</v>
      </c>
      <c r="AK79" s="458">
        <f t="shared" si="49"/>
        <v>0</v>
      </c>
      <c r="BA79" s="459">
        <v>1</v>
      </c>
      <c r="BB79" s="459">
        <v>1</v>
      </c>
      <c r="BC79" s="459">
        <v>1</v>
      </c>
      <c r="BD79" s="459">
        <v>1</v>
      </c>
      <c r="BE79" s="459">
        <v>1</v>
      </c>
      <c r="BF79" s="468">
        <v>1</v>
      </c>
      <c r="BG79" s="468">
        <v>1</v>
      </c>
      <c r="BH79" s="468"/>
      <c r="BI79" s="468"/>
      <c r="BJ79" s="459">
        <v>8</v>
      </c>
      <c r="BK79" s="459">
        <f t="shared" si="50"/>
        <v>7</v>
      </c>
      <c r="BL79" s="460">
        <f t="shared" si="51"/>
        <v>0.875</v>
      </c>
      <c r="BR79" s="464" t="s">
        <v>1361</v>
      </c>
      <c r="BS79" s="461">
        <f t="shared" si="14"/>
        <v>46330</v>
      </c>
      <c r="BT79" s="462" t="s">
        <v>86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77</v>
      </c>
      <c r="E80" s="502">
        <v>7502327992400</v>
      </c>
      <c r="F80" s="439" t="s">
        <v>1487</v>
      </c>
      <c r="G80" s="438" t="s">
        <v>1488</v>
      </c>
      <c r="H80" s="439"/>
      <c r="I80" s="439">
        <v>10</v>
      </c>
      <c r="J80" s="439" t="s">
        <v>1338</v>
      </c>
      <c r="K80" s="440" t="s">
        <v>1035</v>
      </c>
      <c r="L80" s="441">
        <v>1</v>
      </c>
      <c r="M80" s="469">
        <v>0.17</v>
      </c>
      <c r="N80" s="443" t="s">
        <v>64</v>
      </c>
      <c r="O80" s="444">
        <v>5000</v>
      </c>
      <c r="P80" s="443">
        <f t="shared" si="59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1"/>
        <v>2.6323650000000001</v>
      </c>
      <c r="T80" s="445">
        <v>49</v>
      </c>
      <c r="U80" s="443">
        <f t="shared" si="41"/>
        <v>42.241379310344833</v>
      </c>
      <c r="V80" s="446">
        <f t="shared" si="42"/>
        <v>25.3448275862069</v>
      </c>
      <c r="W80" s="447">
        <f t="shared" si="43"/>
        <v>0.10386202040816325</v>
      </c>
      <c r="X80" s="448">
        <f t="shared" si="44"/>
        <v>0.89613797959183672</v>
      </c>
      <c r="Y80" s="449">
        <f t="shared" si="45"/>
        <v>0.4</v>
      </c>
      <c r="Z80" s="450" t="s">
        <v>1479</v>
      </c>
      <c r="AA80" s="451" t="s">
        <v>1345</v>
      </c>
      <c r="AB80" s="439"/>
      <c r="AC80" s="439"/>
      <c r="AD80" s="452">
        <v>46330</v>
      </c>
      <c r="AE80" s="453"/>
      <c r="AG80" s="454">
        <v>39</v>
      </c>
      <c r="AH80" s="455">
        <f t="shared" si="46"/>
        <v>33.620689655172413</v>
      </c>
      <c r="AI80" s="456">
        <f t="shared" si="47"/>
        <v>7.8295984615384617E-2</v>
      </c>
      <c r="AJ80" s="457">
        <f t="shared" si="48"/>
        <v>0.92170401538461544</v>
      </c>
      <c r="AK80" s="458">
        <f t="shared" si="49"/>
        <v>0</v>
      </c>
      <c r="BA80" s="459">
        <v>1</v>
      </c>
      <c r="BB80" s="459">
        <v>1</v>
      </c>
      <c r="BC80" s="459">
        <v>1</v>
      </c>
      <c r="BD80" s="459">
        <v>1</v>
      </c>
      <c r="BE80" s="459">
        <v>1</v>
      </c>
      <c r="BF80" s="468">
        <v>1</v>
      </c>
      <c r="BG80" s="468">
        <v>1</v>
      </c>
      <c r="BH80" s="468"/>
      <c r="BI80" s="468"/>
      <c r="BJ80" s="459">
        <v>8</v>
      </c>
      <c r="BK80" s="459">
        <f t="shared" si="50"/>
        <v>7</v>
      </c>
      <c r="BL80" s="460">
        <f t="shared" si="51"/>
        <v>0.875</v>
      </c>
      <c r="BR80" s="464" t="s">
        <v>1361</v>
      </c>
      <c r="BS80" s="461">
        <f t="shared" si="14"/>
        <v>46330</v>
      </c>
      <c r="BT80" s="462" t="s">
        <v>86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77</v>
      </c>
      <c r="E81" s="502">
        <v>7502327992417</v>
      </c>
      <c r="F81" s="439" t="s">
        <v>1489</v>
      </c>
      <c r="G81" s="438" t="s">
        <v>1490</v>
      </c>
      <c r="H81" s="439"/>
      <c r="I81" s="437">
        <v>1</v>
      </c>
      <c r="J81" s="439" t="s">
        <v>1338</v>
      </c>
      <c r="K81" s="440" t="s">
        <v>1035</v>
      </c>
      <c r="L81" s="441">
        <v>1</v>
      </c>
      <c r="M81" s="469">
        <v>0.52</v>
      </c>
      <c r="N81" s="443" t="s">
        <v>64</v>
      </c>
      <c r="O81" s="444">
        <v>10000</v>
      </c>
      <c r="P81" s="443">
        <f t="shared" si="59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1"/>
        <v>7.992176712</v>
      </c>
      <c r="T81" s="445">
        <v>129</v>
      </c>
      <c r="U81" s="443">
        <f t="shared" ref="U81:U85" si="72">+T81/1.16</f>
        <v>111.20689655172414</v>
      </c>
      <c r="V81" s="446">
        <f t="shared" ref="V81:V85" si="73">+U81*0.6</f>
        <v>66.724137931034477</v>
      </c>
      <c r="W81" s="447">
        <f t="shared" ref="W81:W85" si="74">+S81/V81</f>
        <v>0.11977939258294575</v>
      </c>
      <c r="X81" s="448">
        <f t="shared" si="44"/>
        <v>0.88022060741705421</v>
      </c>
      <c r="Y81" s="449">
        <f t="shared" si="45"/>
        <v>0.4</v>
      </c>
      <c r="Z81" s="450" t="s">
        <v>1479</v>
      </c>
      <c r="AA81" s="451" t="s">
        <v>1345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5">AG81/1.16</f>
        <v>76.724137931034491</v>
      </c>
      <c r="AI81" s="456">
        <f t="shared" ref="AI81:AI85" si="76">+S81/AH81</f>
        <v>0.10416769647101122</v>
      </c>
      <c r="AJ81" s="457">
        <f t="shared" si="48"/>
        <v>0.89583230352898879</v>
      </c>
      <c r="AK81" s="458">
        <f t="shared" si="49"/>
        <v>0</v>
      </c>
      <c r="BA81" s="459">
        <v>1</v>
      </c>
      <c r="BB81" s="459">
        <v>1</v>
      </c>
      <c r="BC81" s="459">
        <v>1</v>
      </c>
      <c r="BD81" s="459">
        <v>1</v>
      </c>
      <c r="BE81" s="459">
        <v>1</v>
      </c>
      <c r="BF81" s="468">
        <v>1</v>
      </c>
      <c r="BG81" s="468">
        <v>1</v>
      </c>
      <c r="BH81" s="468"/>
      <c r="BI81" s="468"/>
      <c r="BJ81" s="459">
        <v>8</v>
      </c>
      <c r="BK81" s="459">
        <f t="shared" si="50"/>
        <v>7</v>
      </c>
      <c r="BL81" s="460">
        <f t="shared" ref="BL81:BL85" si="77">+BK81/BJ81</f>
        <v>0.875</v>
      </c>
      <c r="BR81" s="464" t="s">
        <v>1361</v>
      </c>
      <c r="BS81" s="461">
        <f t="shared" si="14"/>
        <v>46308</v>
      </c>
      <c r="BT81" s="462" t="s">
        <v>86</v>
      </c>
      <c r="CJ81" s="463">
        <v>46156</v>
      </c>
      <c r="CK81" s="463">
        <v>46156</v>
      </c>
      <c r="CL81" s="463">
        <f t="shared" ref="CL81" si="78">CK81+15</f>
        <v>46171</v>
      </c>
      <c r="CM81" s="463">
        <v>46188</v>
      </c>
      <c r="CN81" s="463">
        <f t="shared" ref="CN81" si="79">CM81+14</f>
        <v>46202</v>
      </c>
      <c r="CO81" s="464"/>
      <c r="CP81" s="463">
        <f t="shared" ref="CP81" si="80">CN81+45</f>
        <v>46247</v>
      </c>
      <c r="CQ81" s="465"/>
      <c r="CR81" s="466">
        <f t="shared" ref="CR81" si="81">CP81-12</f>
        <v>46235</v>
      </c>
      <c r="CS81" s="467"/>
      <c r="CT81" s="466">
        <f t="shared" ref="CT81" si="82">CP81+7</f>
        <v>46254</v>
      </c>
      <c r="CU81" s="467"/>
      <c r="CV81" s="466">
        <f t="shared" ref="CV81" si="83">CT81+7</f>
        <v>46261</v>
      </c>
      <c r="CW81" s="467"/>
      <c r="CX81" s="466">
        <f t="shared" ref="CX81" si="84">CV81+44</f>
        <v>46305</v>
      </c>
      <c r="CY81" s="467"/>
      <c r="CZ81" s="466">
        <f t="shared" ref="CZ81" si="85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77</v>
      </c>
      <c r="E82" s="502">
        <v>7502327992424</v>
      </c>
      <c r="F82" s="439" t="s">
        <v>1491</v>
      </c>
      <c r="G82" s="438" t="s">
        <v>1492</v>
      </c>
      <c r="H82" s="439"/>
      <c r="I82" s="437">
        <v>2</v>
      </c>
      <c r="J82" s="439" t="s">
        <v>1338</v>
      </c>
      <c r="K82" s="440" t="s">
        <v>1035</v>
      </c>
      <c r="L82" s="441">
        <v>1</v>
      </c>
      <c r="M82" s="469">
        <v>0.4</v>
      </c>
      <c r="N82" s="443" t="s">
        <v>64</v>
      </c>
      <c r="O82" s="444">
        <v>5000</v>
      </c>
      <c r="P82" s="443">
        <f t="shared" si="59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1"/>
        <v>6.1938000000000004</v>
      </c>
      <c r="T82" s="445">
        <v>99</v>
      </c>
      <c r="U82" s="443">
        <f t="shared" si="72"/>
        <v>85.344827586206904</v>
      </c>
      <c r="V82" s="446">
        <f t="shared" si="73"/>
        <v>51.206896551724142</v>
      </c>
      <c r="W82" s="447">
        <f t="shared" si="74"/>
        <v>0.12095636363636364</v>
      </c>
      <c r="X82" s="448">
        <f t="shared" si="44"/>
        <v>0.87904363636363636</v>
      </c>
      <c r="Y82" s="449">
        <f t="shared" si="45"/>
        <v>0.4</v>
      </c>
      <c r="Z82" s="450" t="s">
        <v>1479</v>
      </c>
      <c r="AA82" s="451" t="s">
        <v>1345</v>
      </c>
      <c r="AB82" s="439"/>
      <c r="AC82" s="439"/>
      <c r="AD82" s="452">
        <v>46330</v>
      </c>
      <c r="AE82" s="453"/>
      <c r="AG82" s="454">
        <v>69</v>
      </c>
      <c r="AH82" s="455">
        <f t="shared" si="75"/>
        <v>59.482758620689658</v>
      </c>
      <c r="AI82" s="456">
        <f t="shared" si="76"/>
        <v>0.10412765217391305</v>
      </c>
      <c r="AJ82" s="457">
        <f t="shared" si="48"/>
        <v>0.89587234782608693</v>
      </c>
      <c r="AK82" s="458">
        <f t="shared" si="49"/>
        <v>0</v>
      </c>
      <c r="BA82" s="459">
        <v>1</v>
      </c>
      <c r="BB82" s="459">
        <v>1</v>
      </c>
      <c r="BC82" s="459">
        <v>1</v>
      </c>
      <c r="BD82" s="459">
        <v>1</v>
      </c>
      <c r="BE82" s="459">
        <v>1</v>
      </c>
      <c r="BF82" s="468">
        <v>1</v>
      </c>
      <c r="BG82" s="468">
        <v>1</v>
      </c>
      <c r="BH82" s="468"/>
      <c r="BI82" s="468"/>
      <c r="BJ82" s="459">
        <v>8</v>
      </c>
      <c r="BK82" s="459">
        <f t="shared" si="50"/>
        <v>7</v>
      </c>
      <c r="BL82" s="460">
        <f t="shared" si="77"/>
        <v>0.875</v>
      </c>
      <c r="BR82" s="464" t="s">
        <v>1361</v>
      </c>
      <c r="BS82" s="461">
        <f t="shared" ref="BS82:BS85" si="86">AD82</f>
        <v>46330</v>
      </c>
      <c r="BT82" s="462" t="s">
        <v>86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77</v>
      </c>
      <c r="E83" s="502">
        <v>7502327992448</v>
      </c>
      <c r="F83" s="439" t="s">
        <v>1493</v>
      </c>
      <c r="G83" s="438" t="s">
        <v>1494</v>
      </c>
      <c r="H83" s="439"/>
      <c r="I83" s="437">
        <v>1</v>
      </c>
      <c r="J83" s="439" t="s">
        <v>1338</v>
      </c>
      <c r="K83" s="440" t="s">
        <v>1035</v>
      </c>
      <c r="L83" s="441">
        <v>1</v>
      </c>
      <c r="M83" s="469">
        <v>0.97</v>
      </c>
      <c r="N83" s="443" t="s">
        <v>64</v>
      </c>
      <c r="O83" s="444">
        <v>10000</v>
      </c>
      <c r="P83" s="443">
        <f t="shared" si="59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1"/>
        <v>17.754043666000001</v>
      </c>
      <c r="T83" s="445">
        <v>179</v>
      </c>
      <c r="U83" s="443">
        <f t="shared" si="72"/>
        <v>154.31034482758622</v>
      </c>
      <c r="V83" s="446">
        <f t="shared" si="73"/>
        <v>92.58620689655173</v>
      </c>
      <c r="W83" s="447">
        <f t="shared" si="74"/>
        <v>0.19175689620633146</v>
      </c>
      <c r="X83" s="448">
        <f t="shared" si="44"/>
        <v>0.80824310379366859</v>
      </c>
      <c r="Y83" s="449">
        <f t="shared" si="45"/>
        <v>0.4</v>
      </c>
      <c r="Z83" s="450" t="s">
        <v>1479</v>
      </c>
      <c r="AA83" s="451" t="s">
        <v>1345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5"/>
        <v>102.58620689655173</v>
      </c>
      <c r="AI83" s="456">
        <f t="shared" si="76"/>
        <v>0.17306462733243697</v>
      </c>
      <c r="AJ83" s="457">
        <f t="shared" si="48"/>
        <v>0.82693537266756301</v>
      </c>
      <c r="AK83" s="458">
        <f t="shared" si="49"/>
        <v>0</v>
      </c>
      <c r="BA83" s="459">
        <v>1</v>
      </c>
      <c r="BB83" s="459">
        <v>1</v>
      </c>
      <c r="BC83" s="459">
        <v>1</v>
      </c>
      <c r="BD83" s="459">
        <v>1</v>
      </c>
      <c r="BE83" s="459">
        <v>1</v>
      </c>
      <c r="BF83" s="468">
        <v>1</v>
      </c>
      <c r="BG83" s="468">
        <v>1</v>
      </c>
      <c r="BH83" s="468"/>
      <c r="BI83" s="468"/>
      <c r="BJ83" s="459">
        <v>8</v>
      </c>
      <c r="BK83" s="459">
        <f t="shared" si="50"/>
        <v>7</v>
      </c>
      <c r="BL83" s="460">
        <f t="shared" si="77"/>
        <v>0.875</v>
      </c>
      <c r="BR83" s="464" t="s">
        <v>1361</v>
      </c>
      <c r="BS83" s="461">
        <f t="shared" si="86"/>
        <v>46330</v>
      </c>
      <c r="BT83" s="462" t="s">
        <v>86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77</v>
      </c>
      <c r="E84" s="502">
        <v>7502327992462</v>
      </c>
      <c r="F84" s="439" t="s">
        <v>1495</v>
      </c>
      <c r="G84" s="438" t="s">
        <v>1496</v>
      </c>
      <c r="H84" s="439"/>
      <c r="I84" s="437">
        <v>1</v>
      </c>
      <c r="J84" s="439" t="s">
        <v>1338</v>
      </c>
      <c r="K84" s="440" t="s">
        <v>1035</v>
      </c>
      <c r="L84" s="441">
        <v>1</v>
      </c>
      <c r="M84" s="469">
        <v>3.75</v>
      </c>
      <c r="N84" s="443" t="s">
        <v>64</v>
      </c>
      <c r="O84" s="444">
        <v>5000</v>
      </c>
      <c r="P84" s="443">
        <f t="shared" si="59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1"/>
        <v>53.421525000000003</v>
      </c>
      <c r="T84" s="445">
        <v>599</v>
      </c>
      <c r="U84" s="443">
        <f t="shared" si="72"/>
        <v>516.37931034482767</v>
      </c>
      <c r="V84" s="446">
        <f t="shared" si="73"/>
        <v>309.82758620689657</v>
      </c>
      <c r="W84" s="447">
        <f t="shared" si="74"/>
        <v>0.17242339732888146</v>
      </c>
      <c r="X84" s="448">
        <f t="shared" si="44"/>
        <v>0.82757660267111854</v>
      </c>
      <c r="Y84" s="449">
        <f t="shared" si="45"/>
        <v>0.4</v>
      </c>
      <c r="Z84" s="450" t="s">
        <v>1479</v>
      </c>
      <c r="AA84" s="451" t="s">
        <v>1345</v>
      </c>
      <c r="AB84" s="439"/>
      <c r="AC84" s="439"/>
      <c r="AD84" s="452">
        <v>46310</v>
      </c>
      <c r="AE84" s="453"/>
      <c r="AG84" s="454">
        <v>419</v>
      </c>
      <c r="AH84" s="455">
        <f t="shared" si="75"/>
        <v>361.20689655172418</v>
      </c>
      <c r="AI84" s="456">
        <f t="shared" si="76"/>
        <v>0.14789730071599044</v>
      </c>
      <c r="AJ84" s="457">
        <f t="shared" si="48"/>
        <v>0.8521026992840095</v>
      </c>
      <c r="AK84" s="458">
        <f t="shared" si="49"/>
        <v>0</v>
      </c>
      <c r="BA84" s="459">
        <v>1</v>
      </c>
      <c r="BB84" s="459">
        <v>1</v>
      </c>
      <c r="BC84" s="459">
        <v>1</v>
      </c>
      <c r="BD84" s="459">
        <v>1</v>
      </c>
      <c r="BE84" s="459">
        <v>1</v>
      </c>
      <c r="BF84" s="468">
        <v>1</v>
      </c>
      <c r="BG84" s="468">
        <v>1</v>
      </c>
      <c r="BH84" s="468"/>
      <c r="BI84" s="468"/>
      <c r="BJ84" s="459">
        <v>8</v>
      </c>
      <c r="BK84" s="459">
        <f t="shared" si="50"/>
        <v>7</v>
      </c>
      <c r="BL84" s="460">
        <f t="shared" si="77"/>
        <v>0.875</v>
      </c>
      <c r="BR84" s="464" t="s">
        <v>1497</v>
      </c>
      <c r="BS84" s="461">
        <f t="shared" si="86"/>
        <v>46310</v>
      </c>
      <c r="BT84" s="462" t="s">
        <v>1498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77</v>
      </c>
      <c r="E85" s="502">
        <v>7502327992479</v>
      </c>
      <c r="F85" s="439" t="s">
        <v>1499</v>
      </c>
      <c r="G85" s="438" t="s">
        <v>1500</v>
      </c>
      <c r="H85" s="439"/>
      <c r="I85" s="437">
        <v>1</v>
      </c>
      <c r="J85" s="439" t="s">
        <v>1338</v>
      </c>
      <c r="K85" s="440" t="s">
        <v>1035</v>
      </c>
      <c r="L85" s="441">
        <v>1</v>
      </c>
      <c r="M85" s="469">
        <v>4.2</v>
      </c>
      <c r="N85" s="443" t="s">
        <v>64</v>
      </c>
      <c r="O85" s="444">
        <v>5000</v>
      </c>
      <c r="P85" s="443">
        <f t="shared" si="59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1"/>
        <v>59.832108000000005</v>
      </c>
      <c r="T85" s="445">
        <v>599</v>
      </c>
      <c r="U85" s="443">
        <f t="shared" si="72"/>
        <v>516.37931034482767</v>
      </c>
      <c r="V85" s="446">
        <f t="shared" si="73"/>
        <v>309.82758620689657</v>
      </c>
      <c r="W85" s="447">
        <f t="shared" si="74"/>
        <v>0.19311420500834725</v>
      </c>
      <c r="X85" s="448">
        <f t="shared" si="44"/>
        <v>0.8068857949916528</v>
      </c>
      <c r="Y85" s="449">
        <f t="shared" si="45"/>
        <v>0.4</v>
      </c>
      <c r="Z85" s="450" t="s">
        <v>1479</v>
      </c>
      <c r="AA85" s="451" t="s">
        <v>1345</v>
      </c>
      <c r="AB85" s="439"/>
      <c r="AC85" s="439"/>
      <c r="AD85" s="452">
        <v>46310</v>
      </c>
      <c r="AE85" s="453"/>
      <c r="AG85" s="454">
        <v>419</v>
      </c>
      <c r="AH85" s="455">
        <f t="shared" si="75"/>
        <v>361.20689655172418</v>
      </c>
      <c r="AI85" s="456">
        <f t="shared" si="76"/>
        <v>0.16564497680190929</v>
      </c>
      <c r="AJ85" s="457">
        <f t="shared" si="48"/>
        <v>0.83435502319809074</v>
      </c>
      <c r="AK85" s="458">
        <f t="shared" si="49"/>
        <v>0</v>
      </c>
      <c r="BA85" s="459">
        <v>1</v>
      </c>
      <c r="BB85" s="459">
        <v>1</v>
      </c>
      <c r="BC85" s="459">
        <v>1</v>
      </c>
      <c r="BD85" s="459">
        <v>1</v>
      </c>
      <c r="BE85" s="459">
        <v>1</v>
      </c>
      <c r="BF85" s="468">
        <v>1</v>
      </c>
      <c r="BG85" s="468">
        <v>1</v>
      </c>
      <c r="BH85" s="468"/>
      <c r="BI85" s="468"/>
      <c r="BJ85" s="459">
        <v>8</v>
      </c>
      <c r="BK85" s="459">
        <f t="shared" si="50"/>
        <v>7</v>
      </c>
      <c r="BL85" s="460">
        <f t="shared" si="77"/>
        <v>0.875</v>
      </c>
      <c r="BR85" s="464" t="s">
        <v>1497</v>
      </c>
      <c r="BS85" s="461">
        <f t="shared" si="86"/>
        <v>46310</v>
      </c>
      <c r="BT85" s="462" t="s">
        <v>1498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I46" activePane="bottomRight" state="frozen"/>
      <selection pane="bottomRight" activeCell="BQ17" sqref="BQ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70" customWidth="1"/>
    <col min="94" max="105" width="35.42578125" style="161" customWidth="1"/>
  </cols>
  <sheetData>
    <row r="1" spans="1:105" s="132" customFormat="1" ht="27.95">
      <c r="A1" s="8"/>
      <c r="B1" s="9" t="s">
        <v>13</v>
      </c>
      <c r="C1" s="133" t="s">
        <v>248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20" t="s">
        <v>1501</v>
      </c>
      <c r="B2" s="52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254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1019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256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255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257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258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7.95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7.95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7.95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7.95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7.95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54" customFormat="1" ht="56.1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94.5">
      <c r="A16" s="126" t="s">
        <v>10</v>
      </c>
      <c r="B16" s="126" t="s">
        <v>1502</v>
      </c>
      <c r="C16" s="126" t="s">
        <v>1503</v>
      </c>
      <c r="D16" s="126" t="s">
        <v>1504</v>
      </c>
      <c r="E16" s="126" t="s">
        <v>1505</v>
      </c>
      <c r="F16" s="126" t="s">
        <v>1506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92">
      <c r="A17" s="3">
        <v>2</v>
      </c>
      <c r="B17" s="3" t="s">
        <v>1507</v>
      </c>
      <c r="C17" s="3">
        <v>7502327990741</v>
      </c>
      <c r="D17" s="3" t="s">
        <v>1508</v>
      </c>
      <c r="E17" s="3" t="s">
        <v>1509</v>
      </c>
      <c r="F17" s="3" t="s">
        <v>1510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1511</v>
      </c>
      <c r="BR17" s="118">
        <f>AD17</f>
        <v>46381</v>
      </c>
      <c r="BS17" s="52" t="s">
        <v>150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76.5">
      <c r="A18" s="3">
        <v>3</v>
      </c>
      <c r="B18" s="3" t="s">
        <v>1507</v>
      </c>
      <c r="C18" s="3" t="s">
        <v>176</v>
      </c>
      <c r="D18" s="3" t="s">
        <v>1512</v>
      </c>
      <c r="E18" s="3" t="s">
        <v>1513</v>
      </c>
      <c r="F18" s="3" t="s">
        <v>1514</v>
      </c>
      <c r="AD18" s="251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1515</v>
      </c>
      <c r="BR18" s="118">
        <f t="shared" ref="BR18:BR55" si="2">AD18</f>
        <v>46381</v>
      </c>
      <c r="BS18" s="52" t="s">
        <v>262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76.5">
      <c r="A19" s="3">
        <v>4</v>
      </c>
      <c r="B19" s="3" t="s">
        <v>1507</v>
      </c>
      <c r="C19" s="3" t="s">
        <v>176</v>
      </c>
      <c r="D19" s="3" t="s">
        <v>1516</v>
      </c>
      <c r="E19" s="3" t="s">
        <v>1513</v>
      </c>
      <c r="F19" s="3" t="s">
        <v>1517</v>
      </c>
      <c r="AD19" s="251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1515</v>
      </c>
      <c r="BR19" s="118">
        <f t="shared" si="2"/>
        <v>46381</v>
      </c>
      <c r="BS19" s="52" t="s">
        <v>262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76.5">
      <c r="A20" s="3">
        <v>5</v>
      </c>
      <c r="B20" s="3" t="s">
        <v>1507</v>
      </c>
      <c r="C20" s="3" t="s">
        <v>176</v>
      </c>
      <c r="D20" s="3" t="s">
        <v>1518</v>
      </c>
      <c r="E20" s="3" t="s">
        <v>1513</v>
      </c>
      <c r="F20" s="3" t="s">
        <v>1519</v>
      </c>
      <c r="AD20" s="251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1515</v>
      </c>
      <c r="BR20" s="118">
        <f t="shared" si="2"/>
        <v>46381</v>
      </c>
      <c r="BS20" s="52" t="s">
        <v>262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5.5">
      <c r="A21" s="3">
        <v>7</v>
      </c>
      <c r="B21" s="3" t="s">
        <v>1507</v>
      </c>
      <c r="C21" s="3" t="s">
        <v>176</v>
      </c>
      <c r="D21" s="3" t="s">
        <v>1520</v>
      </c>
      <c r="E21" s="3" t="s">
        <v>1521</v>
      </c>
      <c r="F21" s="3" t="s">
        <v>1522</v>
      </c>
      <c r="AD21" s="251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1523</v>
      </c>
      <c r="BR21" s="118">
        <f t="shared" si="2"/>
        <v>46381</v>
      </c>
      <c r="BS21" s="52" t="s">
        <v>1414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15.5">
      <c r="A22" s="3">
        <v>8</v>
      </c>
      <c r="B22" s="3" t="s">
        <v>1507</v>
      </c>
      <c r="C22" s="3" t="s">
        <v>176</v>
      </c>
      <c r="D22" s="3" t="s">
        <v>1524</v>
      </c>
      <c r="E22" s="3" t="s">
        <v>1521</v>
      </c>
      <c r="F22" s="3" t="s">
        <v>1525</v>
      </c>
      <c r="AD22" s="251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1523</v>
      </c>
      <c r="BR22" s="118">
        <f t="shared" si="2"/>
        <v>46381</v>
      </c>
      <c r="BS22" s="52" t="s">
        <v>1414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115.5">
      <c r="A23" s="3">
        <v>9</v>
      </c>
      <c r="B23" s="3" t="s">
        <v>1507</v>
      </c>
      <c r="C23" s="3" t="s">
        <v>176</v>
      </c>
      <c r="D23" s="3" t="s">
        <v>1526</v>
      </c>
      <c r="E23" s="3" t="s">
        <v>1521</v>
      </c>
      <c r="F23" s="3" t="s">
        <v>1527</v>
      </c>
      <c r="AD23" s="251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1523</v>
      </c>
      <c r="BR23" s="118">
        <f t="shared" si="2"/>
        <v>46381</v>
      </c>
      <c r="BS23" s="52" t="s">
        <v>1414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15.5">
      <c r="A24" s="3">
        <v>10</v>
      </c>
      <c r="B24" s="3" t="s">
        <v>1507</v>
      </c>
      <c r="C24" s="3" t="s">
        <v>176</v>
      </c>
      <c r="D24" s="3" t="s">
        <v>1528</v>
      </c>
      <c r="E24" s="3" t="s">
        <v>1521</v>
      </c>
      <c r="F24" s="3" t="s">
        <v>1529</v>
      </c>
      <c r="AD24" s="251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1523</v>
      </c>
      <c r="BR24" s="118">
        <f t="shared" si="2"/>
        <v>46381</v>
      </c>
      <c r="BS24" s="52" t="s">
        <v>262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76.5">
      <c r="A25" s="3">
        <v>11</v>
      </c>
      <c r="B25" s="3" t="s">
        <v>1507</v>
      </c>
      <c r="C25" s="3" t="s">
        <v>176</v>
      </c>
      <c r="D25" s="3" t="s">
        <v>1530</v>
      </c>
      <c r="E25" s="3" t="s">
        <v>1531</v>
      </c>
      <c r="F25" s="3" t="s">
        <v>1532</v>
      </c>
      <c r="AD25" s="251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1515</v>
      </c>
      <c r="BR25" s="118">
        <f t="shared" si="2"/>
        <v>46381</v>
      </c>
      <c r="BS25" s="52" t="s">
        <v>262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76.5">
      <c r="A26" s="3">
        <v>12</v>
      </c>
      <c r="B26" s="3" t="s">
        <v>1507</v>
      </c>
      <c r="C26" s="3" t="s">
        <v>176</v>
      </c>
      <c r="D26" s="3" t="s">
        <v>1533</v>
      </c>
      <c r="E26" s="3" t="s">
        <v>1534</v>
      </c>
      <c r="F26" s="3" t="s">
        <v>1535</v>
      </c>
      <c r="AD26" s="251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1515</v>
      </c>
      <c r="BR26" s="118">
        <f t="shared" si="2"/>
        <v>46381</v>
      </c>
      <c r="BS26" s="52" t="s">
        <v>262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15.5">
      <c r="A27" s="3">
        <v>13</v>
      </c>
      <c r="B27" s="3" t="s">
        <v>1507</v>
      </c>
      <c r="C27" s="3" t="s">
        <v>176</v>
      </c>
      <c r="D27" s="3" t="s">
        <v>1536</v>
      </c>
      <c r="E27" s="3" t="s">
        <v>1537</v>
      </c>
      <c r="F27" s="3" t="s">
        <v>1538</v>
      </c>
      <c r="AD27" s="251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1523</v>
      </c>
      <c r="BR27" s="118">
        <f t="shared" si="2"/>
        <v>46381</v>
      </c>
      <c r="BS27" s="52" t="s">
        <v>1414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115.5">
      <c r="A28" s="3">
        <v>14</v>
      </c>
      <c r="B28" s="3" t="s">
        <v>1507</v>
      </c>
      <c r="C28" s="3" t="s">
        <v>176</v>
      </c>
      <c r="D28" s="3" t="s">
        <v>1539</v>
      </c>
      <c r="E28" s="3" t="s">
        <v>1537</v>
      </c>
      <c r="F28" s="3" t="s">
        <v>1540</v>
      </c>
      <c r="AD28" s="251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1523</v>
      </c>
      <c r="BR28" s="118">
        <f t="shared" si="2"/>
        <v>46381</v>
      </c>
      <c r="BS28" s="52" t="s">
        <v>1414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15.5">
      <c r="A29" s="3">
        <v>15</v>
      </c>
      <c r="B29" s="3" t="s">
        <v>1507</v>
      </c>
      <c r="C29" s="3" t="s">
        <v>176</v>
      </c>
      <c r="D29" s="3" t="s">
        <v>1541</v>
      </c>
      <c r="E29" s="3" t="s">
        <v>1537</v>
      </c>
      <c r="F29" s="3" t="s">
        <v>1542</v>
      </c>
      <c r="AD29" s="251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1523</v>
      </c>
      <c r="BR29" s="118">
        <f t="shared" si="2"/>
        <v>46381</v>
      </c>
      <c r="BS29" s="52" t="s">
        <v>1414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76.5">
      <c r="A30" s="3">
        <v>16</v>
      </c>
      <c r="B30" s="3" t="s">
        <v>1507</v>
      </c>
      <c r="C30" s="3" t="s">
        <v>176</v>
      </c>
      <c r="D30" s="3" t="s">
        <v>1543</v>
      </c>
      <c r="E30" s="3" t="s">
        <v>1544</v>
      </c>
      <c r="F30" s="3" t="s">
        <v>1545</v>
      </c>
      <c r="AD30" s="251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1515</v>
      </c>
      <c r="BR30" s="118">
        <f t="shared" si="2"/>
        <v>46381</v>
      </c>
      <c r="BS30" s="52" t="s">
        <v>262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15.5">
      <c r="A31" s="3">
        <v>17</v>
      </c>
      <c r="B31" s="3" t="s">
        <v>1507</v>
      </c>
      <c r="C31" s="3" t="s">
        <v>176</v>
      </c>
      <c r="D31" s="3" t="s">
        <v>1546</v>
      </c>
      <c r="E31" s="3" t="s">
        <v>1547</v>
      </c>
      <c r="F31" s="3" t="s">
        <v>1548</v>
      </c>
      <c r="AD31" s="251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1523</v>
      </c>
      <c r="BR31" s="118">
        <f t="shared" si="2"/>
        <v>46381</v>
      </c>
      <c r="BS31" s="52" t="s">
        <v>1414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115.5">
      <c r="A32" s="3">
        <v>18</v>
      </c>
      <c r="B32" s="3" t="s">
        <v>1507</v>
      </c>
      <c r="C32" s="3" t="s">
        <v>176</v>
      </c>
      <c r="D32" s="3" t="s">
        <v>1549</v>
      </c>
      <c r="E32" s="3" t="s">
        <v>1547</v>
      </c>
      <c r="F32" s="3" t="s">
        <v>1550</v>
      </c>
      <c r="AD32" s="251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1523</v>
      </c>
      <c r="BR32" s="118">
        <f t="shared" si="2"/>
        <v>46381</v>
      </c>
      <c r="BS32" s="52" t="s">
        <v>1414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115.5">
      <c r="A33" s="3">
        <v>19</v>
      </c>
      <c r="B33" s="3" t="s">
        <v>1507</v>
      </c>
      <c r="C33" s="3" t="s">
        <v>176</v>
      </c>
      <c r="D33" s="3" t="s">
        <v>1551</v>
      </c>
      <c r="E33" s="3" t="s">
        <v>1547</v>
      </c>
      <c r="F33" s="3" t="s">
        <v>1552</v>
      </c>
      <c r="AD33" s="251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1523</v>
      </c>
      <c r="BR33" s="118">
        <f t="shared" si="2"/>
        <v>46381</v>
      </c>
      <c r="BS33" s="52" t="s">
        <v>1414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9">
      <c r="A34" s="3">
        <v>20</v>
      </c>
      <c r="B34" s="3" t="s">
        <v>1507</v>
      </c>
      <c r="C34" s="3" t="s">
        <v>176</v>
      </c>
      <c r="D34" s="3" t="s">
        <v>1553</v>
      </c>
      <c r="E34" s="3" t="s">
        <v>1554</v>
      </c>
      <c r="F34" s="3" t="s">
        <v>1555</v>
      </c>
      <c r="AD34" s="251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1556</v>
      </c>
      <c r="BR34" s="118">
        <f t="shared" si="2"/>
        <v>46381</v>
      </c>
      <c r="BS34" s="52" t="s">
        <v>262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76.5">
      <c r="A35" s="3">
        <v>21</v>
      </c>
      <c r="B35" s="3" t="s">
        <v>1507</v>
      </c>
      <c r="C35" s="3" t="s">
        <v>176</v>
      </c>
      <c r="D35" s="3" t="s">
        <v>1557</v>
      </c>
      <c r="E35" s="3" t="s">
        <v>1558</v>
      </c>
      <c r="F35" s="3" t="s">
        <v>1559</v>
      </c>
      <c r="AD35" s="251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1515</v>
      </c>
      <c r="BR35" s="118">
        <f t="shared" si="2"/>
        <v>46381</v>
      </c>
      <c r="BS35" s="52" t="s">
        <v>262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76.5">
      <c r="A36" s="3">
        <v>22</v>
      </c>
      <c r="B36" s="3" t="s">
        <v>1507</v>
      </c>
      <c r="C36" s="3" t="s">
        <v>176</v>
      </c>
      <c r="D36" s="3" t="s">
        <v>1560</v>
      </c>
      <c r="E36" s="3" t="s">
        <v>1558</v>
      </c>
      <c r="F36" s="3" t="s">
        <v>1561</v>
      </c>
      <c r="AD36" s="251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1515</v>
      </c>
      <c r="BR36" s="118">
        <f t="shared" si="2"/>
        <v>46381</v>
      </c>
      <c r="BS36" s="52" t="s">
        <v>262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76.5">
      <c r="A37" s="3">
        <v>23</v>
      </c>
      <c r="B37" s="3" t="s">
        <v>1507</v>
      </c>
      <c r="C37" s="3" t="s">
        <v>176</v>
      </c>
      <c r="D37" s="3" t="s">
        <v>1562</v>
      </c>
      <c r="E37" s="3" t="s">
        <v>1558</v>
      </c>
      <c r="F37" s="3" t="s">
        <v>1563</v>
      </c>
      <c r="AD37" s="251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1515</v>
      </c>
      <c r="BR37" s="118">
        <f t="shared" si="2"/>
        <v>46381</v>
      </c>
      <c r="BS37" s="52" t="s">
        <v>262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115.5">
      <c r="A38" s="3">
        <v>24</v>
      </c>
      <c r="B38" s="3" t="s">
        <v>1507</v>
      </c>
      <c r="C38" s="3" t="s">
        <v>176</v>
      </c>
      <c r="D38" s="3" t="s">
        <v>1564</v>
      </c>
      <c r="E38" s="3" t="s">
        <v>1565</v>
      </c>
      <c r="F38" s="3" t="s">
        <v>1566</v>
      </c>
      <c r="AD38" s="251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1523</v>
      </c>
      <c r="BR38" s="118">
        <f t="shared" si="2"/>
        <v>46381</v>
      </c>
      <c r="BS38" s="52" t="s">
        <v>1414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115.5">
      <c r="A39" s="3">
        <v>25</v>
      </c>
      <c r="B39" s="3" t="s">
        <v>1507</v>
      </c>
      <c r="C39" s="3" t="s">
        <v>176</v>
      </c>
      <c r="D39" s="3" t="s">
        <v>1567</v>
      </c>
      <c r="E39" s="3" t="s">
        <v>1565</v>
      </c>
      <c r="F39" s="3" t="s">
        <v>1568</v>
      </c>
      <c r="AD39" s="251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1523</v>
      </c>
      <c r="BR39" s="118">
        <f t="shared" si="2"/>
        <v>46381</v>
      </c>
      <c r="BS39" s="52" t="s">
        <v>1414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115.5">
      <c r="A40" s="3">
        <v>26</v>
      </c>
      <c r="B40" s="3" t="s">
        <v>1507</v>
      </c>
      <c r="C40" s="3" t="s">
        <v>176</v>
      </c>
      <c r="D40" s="3" t="s">
        <v>1569</v>
      </c>
      <c r="E40" s="3" t="s">
        <v>1565</v>
      </c>
      <c r="F40" s="3" t="s">
        <v>1570</v>
      </c>
      <c r="AD40" s="251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1523</v>
      </c>
      <c r="BR40" s="118">
        <f t="shared" si="2"/>
        <v>46381</v>
      </c>
      <c r="BS40" s="52" t="s">
        <v>1414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115.5">
      <c r="A41" s="3">
        <v>27</v>
      </c>
      <c r="B41" s="3" t="s">
        <v>1507</v>
      </c>
      <c r="C41" s="3" t="s">
        <v>176</v>
      </c>
      <c r="D41" s="3" t="s">
        <v>1571</v>
      </c>
      <c r="E41" s="3" t="s">
        <v>1572</v>
      </c>
      <c r="F41" s="3" t="s">
        <v>1573</v>
      </c>
      <c r="AD41" s="251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1523</v>
      </c>
      <c r="BR41" s="118">
        <f t="shared" si="2"/>
        <v>46381</v>
      </c>
      <c r="BS41" s="52" t="s">
        <v>1414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115.5">
      <c r="A42" s="3">
        <v>28</v>
      </c>
      <c r="B42" s="3" t="s">
        <v>1507</v>
      </c>
      <c r="C42" s="3" t="s">
        <v>176</v>
      </c>
      <c r="D42" s="3" t="s">
        <v>1574</v>
      </c>
      <c r="E42" s="3" t="s">
        <v>1572</v>
      </c>
      <c r="F42" s="3" t="s">
        <v>1575</v>
      </c>
      <c r="AD42" s="251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1523</v>
      </c>
      <c r="BR42" s="118">
        <f t="shared" si="2"/>
        <v>46381</v>
      </c>
      <c r="BS42" s="52" t="s">
        <v>1414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115.5">
      <c r="A43" s="3">
        <v>29</v>
      </c>
      <c r="B43" s="3" t="s">
        <v>1507</v>
      </c>
      <c r="C43" s="3" t="s">
        <v>176</v>
      </c>
      <c r="D43" s="3" t="s">
        <v>1576</v>
      </c>
      <c r="E43" s="3" t="s">
        <v>1572</v>
      </c>
      <c r="F43" s="3" t="s">
        <v>1577</v>
      </c>
      <c r="AD43" s="251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1523</v>
      </c>
      <c r="BR43" s="118">
        <f t="shared" si="2"/>
        <v>46381</v>
      </c>
      <c r="BS43" s="52" t="s">
        <v>1414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115.5">
      <c r="A44" s="3">
        <v>30</v>
      </c>
      <c r="B44" s="3" t="s">
        <v>1507</v>
      </c>
      <c r="C44" s="3" t="s">
        <v>176</v>
      </c>
      <c r="D44" s="3" t="s">
        <v>1578</v>
      </c>
      <c r="E44" s="3" t="s">
        <v>1579</v>
      </c>
      <c r="F44" s="3" t="s">
        <v>1580</v>
      </c>
      <c r="AD44" s="251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1523</v>
      </c>
      <c r="BR44" s="118">
        <f t="shared" si="2"/>
        <v>46381</v>
      </c>
      <c r="BS44" s="52" t="s">
        <v>1414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115.5">
      <c r="A45" s="3">
        <v>31</v>
      </c>
      <c r="B45" s="3" t="s">
        <v>1507</v>
      </c>
      <c r="C45" s="3" t="s">
        <v>176</v>
      </c>
      <c r="D45" s="3" t="s">
        <v>1581</v>
      </c>
      <c r="E45" s="3" t="s">
        <v>1582</v>
      </c>
      <c r="F45" s="3" t="s">
        <v>1583</v>
      </c>
      <c r="AD45" s="251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1523</v>
      </c>
      <c r="BR45" s="118">
        <f t="shared" si="2"/>
        <v>46381</v>
      </c>
      <c r="BS45" s="52" t="s">
        <v>1414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115.5">
      <c r="A46" s="3">
        <v>32</v>
      </c>
      <c r="B46" s="3" t="s">
        <v>1507</v>
      </c>
      <c r="C46" s="3" t="s">
        <v>176</v>
      </c>
      <c r="D46" s="3" t="s">
        <v>1584</v>
      </c>
      <c r="E46" s="3" t="s">
        <v>1579</v>
      </c>
      <c r="F46" s="3" t="s">
        <v>1585</v>
      </c>
      <c r="AD46" s="251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1523</v>
      </c>
      <c r="BR46" s="118">
        <f t="shared" si="2"/>
        <v>46381</v>
      </c>
      <c r="BS46" s="52" t="s">
        <v>1414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76.5">
      <c r="A47" s="3">
        <v>33</v>
      </c>
      <c r="B47" s="3" t="s">
        <v>1507</v>
      </c>
      <c r="C47" s="3" t="s">
        <v>176</v>
      </c>
      <c r="D47" s="3" t="s">
        <v>1586</v>
      </c>
      <c r="E47" s="3" t="s">
        <v>1587</v>
      </c>
      <c r="F47" s="3" t="s">
        <v>1588</v>
      </c>
      <c r="AD47" s="251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1515</v>
      </c>
      <c r="BR47" s="118">
        <f t="shared" si="2"/>
        <v>46381</v>
      </c>
      <c r="BS47" s="52" t="s">
        <v>262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76.5">
      <c r="A48" s="3">
        <v>34</v>
      </c>
      <c r="B48" s="3" t="s">
        <v>1507</v>
      </c>
      <c r="C48" s="3" t="s">
        <v>176</v>
      </c>
      <c r="D48" s="3" t="s">
        <v>1589</v>
      </c>
      <c r="E48" s="3" t="s">
        <v>1587</v>
      </c>
      <c r="F48" s="3" t="s">
        <v>1590</v>
      </c>
      <c r="AD48" s="251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1515</v>
      </c>
      <c r="BR48" s="118">
        <f t="shared" si="2"/>
        <v>46381</v>
      </c>
      <c r="BS48" s="52" t="s">
        <v>262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76.5">
      <c r="A49" s="3">
        <v>37</v>
      </c>
      <c r="B49" s="3" t="s">
        <v>1507</v>
      </c>
      <c r="C49" s="3" t="s">
        <v>176</v>
      </c>
      <c r="D49" s="3" t="s">
        <v>1591</v>
      </c>
      <c r="E49" s="3" t="s">
        <v>1592</v>
      </c>
      <c r="F49" s="3" t="s">
        <v>1593</v>
      </c>
      <c r="AD49" s="251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1515</v>
      </c>
      <c r="BR49" s="118">
        <f t="shared" si="2"/>
        <v>46381</v>
      </c>
      <c r="BS49" s="52" t="s">
        <v>262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76.5">
      <c r="A50" s="3">
        <v>38</v>
      </c>
      <c r="B50" s="3" t="s">
        <v>1507</v>
      </c>
      <c r="C50" s="3" t="s">
        <v>176</v>
      </c>
      <c r="D50" s="3" t="s">
        <v>1594</v>
      </c>
      <c r="E50" s="3" t="s">
        <v>1595</v>
      </c>
      <c r="F50" s="3" t="s">
        <v>1596</v>
      </c>
      <c r="AD50" s="251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1515</v>
      </c>
      <c r="BR50" s="118">
        <f t="shared" si="2"/>
        <v>46381</v>
      </c>
      <c r="BS50" s="52" t="s">
        <v>262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76.5">
      <c r="A51" s="3">
        <v>39</v>
      </c>
      <c r="B51" s="3" t="s">
        <v>1507</v>
      </c>
      <c r="C51" s="3" t="s">
        <v>176</v>
      </c>
      <c r="D51" s="3" t="s">
        <v>1597</v>
      </c>
      <c r="E51" s="3" t="s">
        <v>1598</v>
      </c>
      <c r="F51" s="3" t="s">
        <v>1599</v>
      </c>
      <c r="AD51" s="251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1515</v>
      </c>
      <c r="BR51" s="118">
        <f t="shared" si="2"/>
        <v>46381</v>
      </c>
      <c r="BS51" s="52" t="s">
        <v>262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76.5">
      <c r="A52" s="3">
        <v>40</v>
      </c>
      <c r="B52" s="3" t="s">
        <v>1507</v>
      </c>
      <c r="C52" s="3" t="s">
        <v>176</v>
      </c>
      <c r="D52" s="3" t="s">
        <v>1600</v>
      </c>
      <c r="E52" s="3" t="s">
        <v>1601</v>
      </c>
      <c r="F52" s="3" t="s">
        <v>1602</v>
      </c>
      <c r="AD52" s="251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1515</v>
      </c>
      <c r="BR52" s="118">
        <f t="shared" si="2"/>
        <v>46381</v>
      </c>
      <c r="BS52" s="52" t="s">
        <v>262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115.5">
      <c r="A53" s="3">
        <v>41</v>
      </c>
      <c r="B53" s="3" t="s">
        <v>1507</v>
      </c>
      <c r="C53" s="3" t="s">
        <v>176</v>
      </c>
      <c r="D53" s="3" t="s">
        <v>1603</v>
      </c>
      <c r="E53" s="3" t="s">
        <v>1604</v>
      </c>
      <c r="F53" s="3" t="s">
        <v>1605</v>
      </c>
      <c r="AD53" s="251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1523</v>
      </c>
      <c r="BR53" s="118">
        <f t="shared" si="2"/>
        <v>46381</v>
      </c>
      <c r="BS53" s="52" t="s">
        <v>1414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115.5">
      <c r="A54" s="3">
        <v>42</v>
      </c>
      <c r="B54" s="3" t="s">
        <v>1507</v>
      </c>
      <c r="C54" s="3" t="s">
        <v>176</v>
      </c>
      <c r="D54" s="3" t="s">
        <v>1606</v>
      </c>
      <c r="E54" s="3" t="s">
        <v>1604</v>
      </c>
      <c r="F54" s="3" t="s">
        <v>1607</v>
      </c>
      <c r="AD54" s="251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1523</v>
      </c>
      <c r="BR54" s="118">
        <f t="shared" si="2"/>
        <v>46381</v>
      </c>
      <c r="BS54" s="52" t="s">
        <v>1414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115.5">
      <c r="A55" s="3">
        <v>43</v>
      </c>
      <c r="B55" s="3" t="s">
        <v>1507</v>
      </c>
      <c r="C55" s="3" t="s">
        <v>176</v>
      </c>
      <c r="D55" s="3" t="s">
        <v>1608</v>
      </c>
      <c r="E55" s="3" t="s">
        <v>1604</v>
      </c>
      <c r="F55" s="3" t="s">
        <v>1609</v>
      </c>
      <c r="AD55" s="251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1523</v>
      </c>
      <c r="BR55" s="118">
        <f t="shared" si="2"/>
        <v>46381</v>
      </c>
      <c r="BS55" s="52" t="s">
        <v>1414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158" bestFit="1" customWidth="1"/>
    <col min="2" max="2" width="39.85546875" style="158" bestFit="1" customWidth="1"/>
    <col min="3" max="3" width="27.7109375" style="158" customWidth="1"/>
    <col min="4" max="4" width="33.5703125" style="158" bestFit="1" customWidth="1"/>
    <col min="5" max="5" width="108.140625" style="158" bestFit="1" customWidth="1"/>
    <col min="6" max="6" width="34.7109375" style="158" bestFit="1" customWidth="1"/>
    <col min="7" max="7" width="108.140625" style="158" bestFit="1" customWidth="1"/>
    <col min="8" max="8" width="25.42578125" style="158" bestFit="1" customWidth="1"/>
    <col min="9" max="9" width="20.5703125" style="158" bestFit="1" customWidth="1"/>
    <col min="10" max="52" width="7.42578125" style="158" customWidth="1"/>
    <col min="53" max="53" width="16.28515625" style="177" customWidth="1"/>
    <col min="54" max="54" width="19.42578125" style="177" customWidth="1"/>
    <col min="55" max="55" width="18.42578125" style="177" customWidth="1"/>
    <col min="56" max="56" width="18.7109375" style="177" customWidth="1"/>
    <col min="57" max="60" width="16.28515625" style="177" customWidth="1"/>
    <col min="61" max="61" width="23.140625" style="177" customWidth="1"/>
    <col min="62" max="64" width="16.28515625" style="177" customWidth="1"/>
    <col min="65" max="69" width="10.85546875" style="158"/>
    <col min="70" max="72" width="32.42578125" style="158" customWidth="1"/>
    <col min="73" max="87" width="10.85546875" style="158"/>
    <col min="88" max="93" width="35.42578125" style="170" customWidth="1"/>
    <col min="94" max="105" width="35.42578125" style="161" customWidth="1"/>
    <col min="106" max="16384" width="10.85546875" style="158"/>
  </cols>
  <sheetData>
    <row r="1" spans="1:105" s="156" customFormat="1" ht="27.95">
      <c r="A1" s="195"/>
      <c r="B1" s="196" t="s">
        <v>13</v>
      </c>
      <c r="C1" s="197" t="s">
        <v>248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20" t="s">
        <v>1610</v>
      </c>
      <c r="B2" s="52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254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1019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256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255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257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258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7.95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7.95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7.95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7.95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.100000000000001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56" customFormat="1" ht="56.1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.1">
      <c r="A16" s="157" t="s">
        <v>10</v>
      </c>
      <c r="B16" s="157" t="s">
        <v>1611</v>
      </c>
      <c r="C16" s="157" t="s">
        <v>14</v>
      </c>
      <c r="D16" s="157" t="s">
        <v>15</v>
      </c>
      <c r="E16" s="157" t="s">
        <v>1612</v>
      </c>
      <c r="F16" s="157" t="s">
        <v>1613</v>
      </c>
      <c r="G16" s="157" t="s">
        <v>1614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29.94999999999999">
      <c r="A17" s="159">
        <v>1</v>
      </c>
      <c r="B17" s="159" t="s">
        <v>1507</v>
      </c>
      <c r="C17" s="159" t="s">
        <v>176</v>
      </c>
      <c r="D17" s="159" t="s">
        <v>1615</v>
      </c>
      <c r="E17" s="159" t="s">
        <v>1616</v>
      </c>
      <c r="F17" s="159"/>
      <c r="G17" s="159" t="s">
        <v>1616</v>
      </c>
      <c r="H17" s="159" t="s">
        <v>1617</v>
      </c>
      <c r="I17" s="159" t="s">
        <v>1618</v>
      </c>
      <c r="BA17" s="159">
        <v>1</v>
      </c>
      <c r="BB17" s="159">
        <v>1</v>
      </c>
      <c r="BC17" s="159"/>
      <c r="BD17" s="159">
        <v>1</v>
      </c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3</v>
      </c>
      <c r="BL17" s="160">
        <f t="shared" ref="BL17:BL56" si="1">+BK17/BJ17</f>
        <v>0.33333333333333331</v>
      </c>
      <c r="BR17" s="52" t="s">
        <v>1619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45" customHeight="1">
      <c r="A18" s="159">
        <v>2</v>
      </c>
      <c r="B18" s="159" t="s">
        <v>1507</v>
      </c>
      <c r="C18" s="159" t="s">
        <v>176</v>
      </c>
      <c r="D18" s="159" t="s">
        <v>1620</v>
      </c>
      <c r="E18" s="159" t="s">
        <v>1621</v>
      </c>
      <c r="F18" s="159"/>
      <c r="G18" s="159" t="s">
        <v>1621</v>
      </c>
      <c r="H18" s="159" t="s">
        <v>1622</v>
      </c>
      <c r="I18" s="159" t="s">
        <v>1618</v>
      </c>
      <c r="BA18" s="159">
        <v>1</v>
      </c>
      <c r="BB18" s="159">
        <v>1</v>
      </c>
      <c r="BC18" s="159"/>
      <c r="BD18" s="159">
        <v>1</v>
      </c>
      <c r="BE18" s="176"/>
      <c r="BF18" s="176"/>
      <c r="BG18" s="176"/>
      <c r="BH18" s="176"/>
      <c r="BI18" s="176"/>
      <c r="BJ18" s="159">
        <v>9</v>
      </c>
      <c r="BK18" s="159">
        <f t="shared" si="0"/>
        <v>3</v>
      </c>
      <c r="BL18" s="160">
        <f t="shared" si="1"/>
        <v>0.33333333333333331</v>
      </c>
      <c r="BR18" s="52" t="s">
        <v>1619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45" customHeight="1">
      <c r="A19" s="159">
        <v>3</v>
      </c>
      <c r="B19" s="159" t="s">
        <v>1507</v>
      </c>
      <c r="C19" s="159" t="s">
        <v>176</v>
      </c>
      <c r="D19" s="159" t="s">
        <v>1623</v>
      </c>
      <c r="E19" s="159" t="s">
        <v>1624</v>
      </c>
      <c r="F19" s="159"/>
      <c r="G19" s="159" t="s">
        <v>1624</v>
      </c>
      <c r="H19" s="159" t="s">
        <v>635</v>
      </c>
      <c r="I19" s="159" t="s">
        <v>1618</v>
      </c>
      <c r="BA19" s="159">
        <v>1</v>
      </c>
      <c r="BB19" s="159">
        <v>1</v>
      </c>
      <c r="BC19" s="159"/>
      <c r="BD19" s="159">
        <v>1</v>
      </c>
      <c r="BE19" s="159"/>
      <c r="BF19" s="159"/>
      <c r="BG19" s="159"/>
      <c r="BH19" s="159"/>
      <c r="BI19" s="159"/>
      <c r="BJ19" s="159">
        <v>9</v>
      </c>
      <c r="BK19" s="159">
        <f t="shared" si="0"/>
        <v>3</v>
      </c>
      <c r="BL19" s="160">
        <f t="shared" si="1"/>
        <v>0.33333333333333331</v>
      </c>
      <c r="BR19" s="52" t="s">
        <v>1619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45" customHeight="1">
      <c r="A20" s="159">
        <v>4</v>
      </c>
      <c r="B20" s="159" t="s">
        <v>1507</v>
      </c>
      <c r="C20" s="159" t="s">
        <v>176</v>
      </c>
      <c r="D20" s="159" t="s">
        <v>1625</v>
      </c>
      <c r="E20" s="159" t="s">
        <v>1626</v>
      </c>
      <c r="F20" s="159"/>
      <c r="G20" s="159" t="s">
        <v>1626</v>
      </c>
      <c r="H20" s="159" t="s">
        <v>228</v>
      </c>
      <c r="I20" s="159" t="s">
        <v>1618</v>
      </c>
      <c r="BA20" s="159">
        <v>1</v>
      </c>
      <c r="BB20" s="159">
        <v>1</v>
      </c>
      <c r="BC20" s="159"/>
      <c r="BD20" s="159">
        <v>1</v>
      </c>
      <c r="BE20" s="176"/>
      <c r="BF20" s="176"/>
      <c r="BG20" s="176"/>
      <c r="BH20" s="176"/>
      <c r="BI20" s="176"/>
      <c r="BJ20" s="159">
        <v>9</v>
      </c>
      <c r="BK20" s="159">
        <f t="shared" si="0"/>
        <v>3</v>
      </c>
      <c r="BL20" s="160">
        <f t="shared" si="1"/>
        <v>0.33333333333333331</v>
      </c>
      <c r="BR20" s="52" t="s">
        <v>1619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45" customHeight="1">
      <c r="A21" s="159">
        <v>5</v>
      </c>
      <c r="B21" s="159" t="s">
        <v>1507</v>
      </c>
      <c r="C21" s="159" t="s">
        <v>176</v>
      </c>
      <c r="D21" s="159" t="s">
        <v>1627</v>
      </c>
      <c r="E21" s="159" t="s">
        <v>1628</v>
      </c>
      <c r="F21" s="159"/>
      <c r="G21" s="159" t="s">
        <v>1628</v>
      </c>
      <c r="H21" s="159" t="s">
        <v>635</v>
      </c>
      <c r="I21" s="159" t="s">
        <v>1618</v>
      </c>
      <c r="BA21" s="159">
        <v>1</v>
      </c>
      <c r="BB21" s="159">
        <v>1</v>
      </c>
      <c r="BC21" s="159"/>
      <c r="BD21" s="159">
        <v>1</v>
      </c>
      <c r="BE21" s="159"/>
      <c r="BF21" s="159"/>
      <c r="BG21" s="159"/>
      <c r="BH21" s="159"/>
      <c r="BI21" s="159"/>
      <c r="BJ21" s="159">
        <v>9</v>
      </c>
      <c r="BK21" s="159">
        <f t="shared" si="0"/>
        <v>3</v>
      </c>
      <c r="BL21" s="160">
        <f t="shared" si="1"/>
        <v>0.33333333333333331</v>
      </c>
      <c r="BR21" s="52" t="s">
        <v>1619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45" customHeight="1">
      <c r="A22" s="159">
        <v>6</v>
      </c>
      <c r="B22" s="159" t="s">
        <v>1507</v>
      </c>
      <c r="C22" s="159" t="s">
        <v>176</v>
      </c>
      <c r="D22" s="159" t="s">
        <v>1629</v>
      </c>
      <c r="E22" s="159" t="s">
        <v>1630</v>
      </c>
      <c r="F22" s="159"/>
      <c r="G22" s="159" t="s">
        <v>1630</v>
      </c>
      <c r="H22" s="159" t="s">
        <v>1631</v>
      </c>
      <c r="I22" s="159" t="s">
        <v>1618</v>
      </c>
      <c r="BA22" s="159">
        <v>1</v>
      </c>
      <c r="BB22" s="159">
        <v>1</v>
      </c>
      <c r="BC22" s="159"/>
      <c r="BD22" s="159">
        <v>1</v>
      </c>
      <c r="BE22" s="176"/>
      <c r="BF22" s="176"/>
      <c r="BG22" s="176"/>
      <c r="BH22" s="176"/>
      <c r="BI22" s="176"/>
      <c r="BJ22" s="159">
        <v>9</v>
      </c>
      <c r="BK22" s="159">
        <f t="shared" si="0"/>
        <v>3</v>
      </c>
      <c r="BL22" s="160">
        <f t="shared" si="1"/>
        <v>0.33333333333333331</v>
      </c>
      <c r="BR22" s="52" t="s">
        <v>1619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45" customHeight="1">
      <c r="A23" s="159">
        <v>7</v>
      </c>
      <c r="B23" s="159" t="s">
        <v>1507</v>
      </c>
      <c r="C23" s="159" t="s">
        <v>176</v>
      </c>
      <c r="D23" s="159" t="s">
        <v>1632</v>
      </c>
      <c r="E23" s="159" t="s">
        <v>1633</v>
      </c>
      <c r="F23" s="159"/>
      <c r="G23" s="159" t="s">
        <v>1633</v>
      </c>
      <c r="H23" s="159" t="s">
        <v>1337</v>
      </c>
      <c r="I23" s="159" t="s">
        <v>1618</v>
      </c>
      <c r="BA23" s="159">
        <v>1</v>
      </c>
      <c r="BB23" s="159">
        <v>1</v>
      </c>
      <c r="BC23" s="159"/>
      <c r="BD23" s="159">
        <v>1</v>
      </c>
      <c r="BE23" s="159"/>
      <c r="BF23" s="159"/>
      <c r="BG23" s="159"/>
      <c r="BH23" s="159"/>
      <c r="BI23" s="159"/>
      <c r="BJ23" s="159">
        <v>9</v>
      </c>
      <c r="BK23" s="159">
        <f t="shared" si="0"/>
        <v>3</v>
      </c>
      <c r="BL23" s="160">
        <f t="shared" si="1"/>
        <v>0.33333333333333331</v>
      </c>
      <c r="BR23" s="52" t="s">
        <v>1619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45" customHeight="1">
      <c r="A24" s="159">
        <v>8</v>
      </c>
      <c r="B24" s="159" t="s">
        <v>1507</v>
      </c>
      <c r="C24" s="159" t="s">
        <v>176</v>
      </c>
      <c r="D24" s="159" t="s">
        <v>1634</v>
      </c>
      <c r="E24" s="159" t="s">
        <v>1635</v>
      </c>
      <c r="F24" s="159"/>
      <c r="G24" s="159" t="s">
        <v>1635</v>
      </c>
      <c r="H24" s="159" t="s">
        <v>280</v>
      </c>
      <c r="I24" s="159" t="s">
        <v>1618</v>
      </c>
      <c r="BA24" s="159">
        <v>1</v>
      </c>
      <c r="BB24" s="159">
        <v>1</v>
      </c>
      <c r="BC24" s="159"/>
      <c r="BD24" s="159">
        <v>1</v>
      </c>
      <c r="BE24" s="176"/>
      <c r="BF24" s="176"/>
      <c r="BG24" s="176"/>
      <c r="BH24" s="176"/>
      <c r="BI24" s="176"/>
      <c r="BJ24" s="159">
        <v>9</v>
      </c>
      <c r="BK24" s="159">
        <f t="shared" si="0"/>
        <v>3</v>
      </c>
      <c r="BL24" s="160">
        <f t="shared" si="1"/>
        <v>0.33333333333333331</v>
      </c>
      <c r="BR24" s="52" t="s">
        <v>1619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45" customHeight="1">
      <c r="A25" s="159">
        <v>9</v>
      </c>
      <c r="B25" s="159" t="s">
        <v>1507</v>
      </c>
      <c r="C25" s="159" t="s">
        <v>176</v>
      </c>
      <c r="D25" s="159" t="s">
        <v>1636</v>
      </c>
      <c r="E25" s="159" t="s">
        <v>1637</v>
      </c>
      <c r="F25" s="159"/>
      <c r="G25" s="159" t="s">
        <v>1637</v>
      </c>
      <c r="H25" s="159" t="s">
        <v>1622</v>
      </c>
      <c r="I25" s="159" t="s">
        <v>1618</v>
      </c>
      <c r="BA25" s="159">
        <v>1</v>
      </c>
      <c r="BB25" s="159">
        <v>1</v>
      </c>
      <c r="BC25" s="159"/>
      <c r="BD25" s="159">
        <v>1</v>
      </c>
      <c r="BE25" s="159"/>
      <c r="BF25" s="159"/>
      <c r="BG25" s="159"/>
      <c r="BH25" s="159"/>
      <c r="BI25" s="159"/>
      <c r="BJ25" s="159">
        <v>9</v>
      </c>
      <c r="BK25" s="159">
        <f t="shared" si="0"/>
        <v>3</v>
      </c>
      <c r="BL25" s="160">
        <f t="shared" si="1"/>
        <v>0.33333333333333331</v>
      </c>
      <c r="BR25" s="52" t="s">
        <v>1619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45" customHeight="1">
      <c r="A26" s="159">
        <v>10</v>
      </c>
      <c r="B26" s="159" t="s">
        <v>1507</v>
      </c>
      <c r="C26" s="159" t="s">
        <v>176</v>
      </c>
      <c r="D26" s="159" t="s">
        <v>1638</v>
      </c>
      <c r="E26" s="159" t="s">
        <v>1639</v>
      </c>
      <c r="F26" s="159"/>
      <c r="G26" s="159" t="s">
        <v>1639</v>
      </c>
      <c r="H26" s="159" t="s">
        <v>228</v>
      </c>
      <c r="I26" s="159" t="s">
        <v>1618</v>
      </c>
      <c r="BA26" s="159">
        <v>1</v>
      </c>
      <c r="BB26" s="159">
        <v>1</v>
      </c>
      <c r="BC26" s="159"/>
      <c r="BD26" s="159">
        <v>1</v>
      </c>
      <c r="BE26" s="176"/>
      <c r="BF26" s="176"/>
      <c r="BG26" s="176"/>
      <c r="BH26" s="176"/>
      <c r="BI26" s="176"/>
      <c r="BJ26" s="159">
        <v>9</v>
      </c>
      <c r="BK26" s="159">
        <f t="shared" si="0"/>
        <v>3</v>
      </c>
      <c r="BL26" s="160">
        <f t="shared" si="1"/>
        <v>0.33333333333333331</v>
      </c>
      <c r="BR26" s="52" t="s">
        <v>1619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45" customHeight="1">
      <c r="A27" s="159">
        <v>11</v>
      </c>
      <c r="B27" s="159" t="s">
        <v>1507</v>
      </c>
      <c r="C27" s="159" t="s">
        <v>176</v>
      </c>
      <c r="D27" s="159" t="s">
        <v>1640</v>
      </c>
      <c r="E27" s="159" t="s">
        <v>1641</v>
      </c>
      <c r="F27" s="159"/>
      <c r="G27" s="159" t="s">
        <v>1641</v>
      </c>
      <c r="H27" s="159" t="s">
        <v>1642</v>
      </c>
      <c r="I27" s="159" t="s">
        <v>1618</v>
      </c>
      <c r="BA27" s="159">
        <v>1</v>
      </c>
      <c r="BB27" s="159">
        <v>1</v>
      </c>
      <c r="BC27" s="159"/>
      <c r="BD27" s="159">
        <v>1</v>
      </c>
      <c r="BE27" s="159"/>
      <c r="BF27" s="159"/>
      <c r="BG27" s="159"/>
      <c r="BH27" s="159"/>
      <c r="BI27" s="159"/>
      <c r="BJ27" s="159">
        <v>9</v>
      </c>
      <c r="BK27" s="159">
        <f t="shared" si="0"/>
        <v>3</v>
      </c>
      <c r="BL27" s="160">
        <f t="shared" si="1"/>
        <v>0.33333333333333331</v>
      </c>
      <c r="BR27" s="52" t="s">
        <v>1619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45" customHeight="1">
      <c r="A28" s="159">
        <v>12</v>
      </c>
      <c r="B28" s="159" t="s">
        <v>1507</v>
      </c>
      <c r="C28" s="159" t="s">
        <v>176</v>
      </c>
      <c r="D28" s="159" t="s">
        <v>1643</v>
      </c>
      <c r="E28" s="159" t="s">
        <v>1644</v>
      </c>
      <c r="F28" s="159"/>
      <c r="G28" s="159" t="s">
        <v>1644</v>
      </c>
      <c r="H28" s="159" t="s">
        <v>482</v>
      </c>
      <c r="I28" s="159" t="s">
        <v>1618</v>
      </c>
      <c r="BA28" s="159">
        <v>1</v>
      </c>
      <c r="BB28" s="159">
        <v>1</v>
      </c>
      <c r="BC28" s="159"/>
      <c r="BD28" s="159">
        <v>1</v>
      </c>
      <c r="BE28" s="176"/>
      <c r="BF28" s="176"/>
      <c r="BG28" s="176"/>
      <c r="BH28" s="176"/>
      <c r="BI28" s="176"/>
      <c r="BJ28" s="159">
        <v>9</v>
      </c>
      <c r="BK28" s="159">
        <f t="shared" si="0"/>
        <v>3</v>
      </c>
      <c r="BL28" s="160">
        <f t="shared" si="1"/>
        <v>0.33333333333333331</v>
      </c>
      <c r="BR28" s="52" t="s">
        <v>1619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45" customHeight="1">
      <c r="A29" s="159">
        <v>13</v>
      </c>
      <c r="B29" s="159" t="s">
        <v>1507</v>
      </c>
      <c r="C29" s="159" t="s">
        <v>176</v>
      </c>
      <c r="D29" s="159" t="s">
        <v>1645</v>
      </c>
      <c r="E29" s="159" t="s">
        <v>1646</v>
      </c>
      <c r="F29" s="159"/>
      <c r="G29" s="159" t="s">
        <v>1646</v>
      </c>
      <c r="H29" s="159" t="s">
        <v>482</v>
      </c>
      <c r="I29" s="159" t="s">
        <v>1618</v>
      </c>
      <c r="BA29" s="159">
        <v>1</v>
      </c>
      <c r="BB29" s="159">
        <v>1</v>
      </c>
      <c r="BC29" s="159"/>
      <c r="BD29" s="159">
        <v>1</v>
      </c>
      <c r="BE29" s="159"/>
      <c r="BF29" s="159"/>
      <c r="BG29" s="159"/>
      <c r="BH29" s="159"/>
      <c r="BI29" s="159"/>
      <c r="BJ29" s="159">
        <v>9</v>
      </c>
      <c r="BK29" s="159">
        <f t="shared" si="0"/>
        <v>3</v>
      </c>
      <c r="BL29" s="160">
        <f t="shared" si="1"/>
        <v>0.33333333333333331</v>
      </c>
      <c r="BR29" s="52" t="s">
        <v>1619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45" customHeight="1">
      <c r="A30" s="159">
        <v>14</v>
      </c>
      <c r="B30" s="159" t="s">
        <v>1507</v>
      </c>
      <c r="C30" s="159" t="s">
        <v>176</v>
      </c>
      <c r="D30" s="159" t="s">
        <v>1647</v>
      </c>
      <c r="E30" s="159" t="s">
        <v>1648</v>
      </c>
      <c r="F30" s="159"/>
      <c r="G30" s="159" t="s">
        <v>1648</v>
      </c>
      <c r="H30" s="159" t="s">
        <v>482</v>
      </c>
      <c r="I30" s="159" t="s">
        <v>1618</v>
      </c>
      <c r="BA30" s="159">
        <v>1</v>
      </c>
      <c r="BB30" s="159">
        <v>1</v>
      </c>
      <c r="BC30" s="159"/>
      <c r="BD30" s="159">
        <v>1</v>
      </c>
      <c r="BE30" s="176"/>
      <c r="BF30" s="176"/>
      <c r="BG30" s="176"/>
      <c r="BH30" s="176"/>
      <c r="BI30" s="176"/>
      <c r="BJ30" s="159">
        <v>9</v>
      </c>
      <c r="BK30" s="159">
        <f t="shared" si="0"/>
        <v>3</v>
      </c>
      <c r="BL30" s="160">
        <f t="shared" si="1"/>
        <v>0.33333333333333331</v>
      </c>
      <c r="BR30" s="52" t="s">
        <v>1619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45" customHeight="1">
      <c r="A31" s="159">
        <v>15</v>
      </c>
      <c r="B31" s="159" t="s">
        <v>1507</v>
      </c>
      <c r="C31" s="159" t="s">
        <v>176</v>
      </c>
      <c r="D31" s="159" t="s">
        <v>1649</v>
      </c>
      <c r="E31" s="159" t="s">
        <v>1650</v>
      </c>
      <c r="F31" s="159"/>
      <c r="G31" s="159" t="s">
        <v>1650</v>
      </c>
      <c r="H31" s="159" t="s">
        <v>482</v>
      </c>
      <c r="I31" s="159" t="s">
        <v>1618</v>
      </c>
      <c r="BA31" s="159">
        <v>1</v>
      </c>
      <c r="BB31" s="159">
        <v>1</v>
      </c>
      <c r="BC31" s="159"/>
      <c r="BD31" s="159">
        <v>1</v>
      </c>
      <c r="BE31" s="159"/>
      <c r="BF31" s="159"/>
      <c r="BG31" s="159"/>
      <c r="BH31" s="159"/>
      <c r="BI31" s="159"/>
      <c r="BJ31" s="159">
        <v>9</v>
      </c>
      <c r="BK31" s="159">
        <f t="shared" si="0"/>
        <v>3</v>
      </c>
      <c r="BL31" s="160">
        <f t="shared" si="1"/>
        <v>0.33333333333333331</v>
      </c>
      <c r="BR31" s="52" t="s">
        <v>1619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45" customHeight="1">
      <c r="A32" s="159">
        <v>16</v>
      </c>
      <c r="B32" s="159" t="s">
        <v>1507</v>
      </c>
      <c r="C32" s="159" t="s">
        <v>176</v>
      </c>
      <c r="D32" s="159" t="s">
        <v>1651</v>
      </c>
      <c r="E32" s="159" t="s">
        <v>1652</v>
      </c>
      <c r="F32" s="159"/>
      <c r="G32" s="159" t="s">
        <v>1652</v>
      </c>
      <c r="H32" s="159" t="s">
        <v>482</v>
      </c>
      <c r="I32" s="159" t="s">
        <v>1618</v>
      </c>
      <c r="BA32" s="159">
        <v>1</v>
      </c>
      <c r="BB32" s="159">
        <v>1</v>
      </c>
      <c r="BC32" s="159"/>
      <c r="BD32" s="159">
        <v>1</v>
      </c>
      <c r="BE32" s="176"/>
      <c r="BF32" s="176"/>
      <c r="BG32" s="176"/>
      <c r="BH32" s="176"/>
      <c r="BI32" s="176"/>
      <c r="BJ32" s="159">
        <v>9</v>
      </c>
      <c r="BK32" s="159">
        <f t="shared" si="0"/>
        <v>3</v>
      </c>
      <c r="BL32" s="160">
        <f t="shared" si="1"/>
        <v>0.33333333333333331</v>
      </c>
      <c r="BR32" s="52" t="s">
        <v>1619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45" customHeight="1">
      <c r="A33" s="159">
        <v>17</v>
      </c>
      <c r="B33" s="159" t="s">
        <v>1507</v>
      </c>
      <c r="C33" s="159" t="s">
        <v>176</v>
      </c>
      <c r="D33" s="159" t="s">
        <v>1653</v>
      </c>
      <c r="E33" s="159" t="s">
        <v>1654</v>
      </c>
      <c r="F33" s="159"/>
      <c r="G33" s="159" t="s">
        <v>1654</v>
      </c>
      <c r="H33" s="159" t="s">
        <v>482</v>
      </c>
      <c r="I33" s="159" t="s">
        <v>1618</v>
      </c>
      <c r="BA33" s="159">
        <v>1</v>
      </c>
      <c r="BB33" s="159">
        <v>1</v>
      </c>
      <c r="BC33" s="159"/>
      <c r="BD33" s="159">
        <v>1</v>
      </c>
      <c r="BE33" s="159"/>
      <c r="BF33" s="159"/>
      <c r="BG33" s="159"/>
      <c r="BH33" s="159"/>
      <c r="BI33" s="159"/>
      <c r="BJ33" s="159">
        <v>9</v>
      </c>
      <c r="BK33" s="159">
        <f t="shared" si="0"/>
        <v>3</v>
      </c>
      <c r="BL33" s="160">
        <f t="shared" si="1"/>
        <v>0.33333333333333331</v>
      </c>
      <c r="BR33" s="52" t="s">
        <v>1619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45" customHeight="1">
      <c r="A34" s="159">
        <v>18</v>
      </c>
      <c r="B34" s="159" t="s">
        <v>1507</v>
      </c>
      <c r="C34" s="159" t="s">
        <v>176</v>
      </c>
      <c r="D34" s="159" t="s">
        <v>1655</v>
      </c>
      <c r="E34" s="159" t="s">
        <v>1656</v>
      </c>
      <c r="F34" s="159"/>
      <c r="G34" s="159" t="s">
        <v>1656</v>
      </c>
      <c r="H34" s="159" t="s">
        <v>482</v>
      </c>
      <c r="I34" s="159" t="s">
        <v>1618</v>
      </c>
      <c r="BA34" s="159">
        <v>1</v>
      </c>
      <c r="BB34" s="159">
        <v>1</v>
      </c>
      <c r="BC34" s="159"/>
      <c r="BD34" s="159">
        <v>1</v>
      </c>
      <c r="BE34" s="176"/>
      <c r="BF34" s="176"/>
      <c r="BG34" s="176"/>
      <c r="BH34" s="176"/>
      <c r="BI34" s="176"/>
      <c r="BJ34" s="159">
        <v>9</v>
      </c>
      <c r="BK34" s="159">
        <f t="shared" si="0"/>
        <v>3</v>
      </c>
      <c r="BL34" s="160">
        <f t="shared" si="1"/>
        <v>0.33333333333333331</v>
      </c>
      <c r="BR34" s="52" t="s">
        <v>1619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45" customHeight="1">
      <c r="A35" s="159">
        <v>19</v>
      </c>
      <c r="B35" s="159" t="s">
        <v>1507</v>
      </c>
      <c r="C35" s="159" t="s">
        <v>176</v>
      </c>
      <c r="D35" s="159" t="s">
        <v>1657</v>
      </c>
      <c r="E35" s="159" t="s">
        <v>1658</v>
      </c>
      <c r="F35" s="159"/>
      <c r="G35" s="159" t="s">
        <v>1658</v>
      </c>
      <c r="H35" s="159" t="s">
        <v>482</v>
      </c>
      <c r="I35" s="159" t="s">
        <v>1618</v>
      </c>
      <c r="BA35" s="159">
        <v>1</v>
      </c>
      <c r="BB35" s="159">
        <v>1</v>
      </c>
      <c r="BC35" s="159"/>
      <c r="BD35" s="159">
        <v>1</v>
      </c>
      <c r="BE35" s="159"/>
      <c r="BF35" s="159"/>
      <c r="BG35" s="159"/>
      <c r="BH35" s="159"/>
      <c r="BI35" s="159"/>
      <c r="BJ35" s="159">
        <v>9</v>
      </c>
      <c r="BK35" s="159">
        <f t="shared" si="0"/>
        <v>3</v>
      </c>
      <c r="BL35" s="160">
        <f t="shared" si="1"/>
        <v>0.33333333333333331</v>
      </c>
      <c r="BR35" s="52" t="s">
        <v>1619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45" customHeight="1">
      <c r="A36" s="159">
        <v>20</v>
      </c>
      <c r="B36" s="159" t="s">
        <v>1507</v>
      </c>
      <c r="C36" s="159" t="s">
        <v>176</v>
      </c>
      <c r="D36" s="159" t="s">
        <v>1659</v>
      </c>
      <c r="E36" s="159" t="s">
        <v>1660</v>
      </c>
      <c r="F36" s="159"/>
      <c r="G36" s="159" t="s">
        <v>1660</v>
      </c>
      <c r="H36" s="159" t="s">
        <v>482</v>
      </c>
      <c r="I36" s="159" t="s">
        <v>1618</v>
      </c>
      <c r="BA36" s="159">
        <v>1</v>
      </c>
      <c r="BB36" s="159">
        <v>1</v>
      </c>
      <c r="BC36" s="159"/>
      <c r="BD36" s="159">
        <v>1</v>
      </c>
      <c r="BE36" s="176"/>
      <c r="BF36" s="176"/>
      <c r="BG36" s="176"/>
      <c r="BH36" s="176"/>
      <c r="BI36" s="176"/>
      <c r="BJ36" s="159">
        <v>9</v>
      </c>
      <c r="BK36" s="159">
        <f t="shared" si="0"/>
        <v>3</v>
      </c>
      <c r="BL36" s="160">
        <f t="shared" si="1"/>
        <v>0.33333333333333331</v>
      </c>
      <c r="BR36" s="52" t="s">
        <v>1619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45" customHeight="1">
      <c r="A37" s="159">
        <v>21</v>
      </c>
      <c r="B37" s="159" t="s">
        <v>1507</v>
      </c>
      <c r="C37" s="159" t="s">
        <v>176</v>
      </c>
      <c r="D37" s="159" t="s">
        <v>1661</v>
      </c>
      <c r="E37" s="159" t="s">
        <v>1662</v>
      </c>
      <c r="F37" s="159"/>
      <c r="G37" s="159" t="s">
        <v>1662</v>
      </c>
      <c r="H37" s="159"/>
      <c r="I37" s="159" t="s">
        <v>1618</v>
      </c>
      <c r="BA37" s="159">
        <v>1</v>
      </c>
      <c r="BB37" s="159">
        <v>1</v>
      </c>
      <c r="BC37" s="159"/>
      <c r="BD37" s="159">
        <v>1</v>
      </c>
      <c r="BE37" s="159"/>
      <c r="BF37" s="159"/>
      <c r="BG37" s="159"/>
      <c r="BH37" s="159"/>
      <c r="BI37" s="159"/>
      <c r="BJ37" s="159">
        <v>9</v>
      </c>
      <c r="BK37" s="159">
        <f t="shared" si="0"/>
        <v>3</v>
      </c>
      <c r="BL37" s="160">
        <f t="shared" si="1"/>
        <v>0.33333333333333331</v>
      </c>
      <c r="BR37" s="52" t="s">
        <v>1619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45" customHeight="1">
      <c r="A38" s="159">
        <v>22</v>
      </c>
      <c r="B38" s="159" t="s">
        <v>1507</v>
      </c>
      <c r="C38" s="159" t="s">
        <v>176</v>
      </c>
      <c r="D38" s="159" t="s">
        <v>1663</v>
      </c>
      <c r="E38" s="159" t="s">
        <v>1664</v>
      </c>
      <c r="F38" s="159"/>
      <c r="G38" s="159" t="s">
        <v>1664</v>
      </c>
      <c r="H38" s="159"/>
      <c r="I38" s="159" t="s">
        <v>1618</v>
      </c>
      <c r="BA38" s="159">
        <v>1</v>
      </c>
      <c r="BB38" s="159">
        <v>1</v>
      </c>
      <c r="BC38" s="159"/>
      <c r="BD38" s="159">
        <v>1</v>
      </c>
      <c r="BE38" s="176"/>
      <c r="BF38" s="176"/>
      <c r="BG38" s="176"/>
      <c r="BH38" s="176"/>
      <c r="BI38" s="176"/>
      <c r="BJ38" s="159">
        <v>9</v>
      </c>
      <c r="BK38" s="159">
        <f t="shared" si="0"/>
        <v>3</v>
      </c>
      <c r="BL38" s="160">
        <f t="shared" si="1"/>
        <v>0.33333333333333331</v>
      </c>
      <c r="BR38" s="52" t="s">
        <v>1619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45" customHeight="1">
      <c r="A39" s="159">
        <v>23</v>
      </c>
      <c r="B39" s="159" t="s">
        <v>1507</v>
      </c>
      <c r="C39" s="159" t="s">
        <v>176</v>
      </c>
      <c r="D39" s="159" t="s">
        <v>1665</v>
      </c>
      <c r="E39" s="159" t="s">
        <v>1666</v>
      </c>
      <c r="F39" s="159"/>
      <c r="G39" s="159" t="s">
        <v>1666</v>
      </c>
      <c r="H39" s="159" t="s">
        <v>228</v>
      </c>
      <c r="I39" s="159" t="s">
        <v>1667</v>
      </c>
      <c r="BA39" s="159">
        <v>1</v>
      </c>
      <c r="BB39" s="159">
        <v>1</v>
      </c>
      <c r="BC39" s="159"/>
      <c r="BD39" s="159">
        <v>1</v>
      </c>
      <c r="BE39" s="159"/>
      <c r="BF39" s="159"/>
      <c r="BG39" s="159"/>
      <c r="BH39" s="159"/>
      <c r="BI39" s="159"/>
      <c r="BJ39" s="159">
        <v>9</v>
      </c>
      <c r="BK39" s="159">
        <f t="shared" si="0"/>
        <v>3</v>
      </c>
      <c r="BL39" s="160">
        <f t="shared" si="1"/>
        <v>0.33333333333333331</v>
      </c>
      <c r="BR39" s="52" t="s">
        <v>1619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45" customHeight="1">
      <c r="A40" s="159">
        <v>24</v>
      </c>
      <c r="B40" s="159" t="s">
        <v>1507</v>
      </c>
      <c r="C40" s="159" t="s">
        <v>176</v>
      </c>
      <c r="D40" s="159" t="s">
        <v>1668</v>
      </c>
      <c r="E40" s="159" t="s">
        <v>1669</v>
      </c>
      <c r="F40" s="159"/>
      <c r="G40" s="159" t="s">
        <v>1669</v>
      </c>
      <c r="H40" s="159" t="s">
        <v>80</v>
      </c>
      <c r="I40" s="159" t="s">
        <v>1667</v>
      </c>
      <c r="BA40" s="159">
        <v>1</v>
      </c>
      <c r="BB40" s="159">
        <v>1</v>
      </c>
      <c r="BC40" s="159"/>
      <c r="BD40" s="159">
        <v>1</v>
      </c>
      <c r="BE40" s="176"/>
      <c r="BF40" s="176"/>
      <c r="BG40" s="176"/>
      <c r="BH40" s="176"/>
      <c r="BI40" s="176"/>
      <c r="BJ40" s="159">
        <v>9</v>
      </c>
      <c r="BK40" s="159">
        <f t="shared" si="0"/>
        <v>3</v>
      </c>
      <c r="BL40" s="160">
        <f t="shared" si="1"/>
        <v>0.33333333333333331</v>
      </c>
      <c r="BR40" s="52" t="s">
        <v>1619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45" customHeight="1">
      <c r="A41" s="159">
        <v>25</v>
      </c>
      <c r="B41" s="159" t="s">
        <v>1507</v>
      </c>
      <c r="C41" s="159" t="s">
        <v>176</v>
      </c>
      <c r="D41" s="159" t="s">
        <v>1670</v>
      </c>
      <c r="E41" s="159" t="s">
        <v>1671</v>
      </c>
      <c r="F41" s="159"/>
      <c r="G41" s="159" t="s">
        <v>1671</v>
      </c>
      <c r="H41" s="159" t="s">
        <v>482</v>
      </c>
      <c r="I41" s="159" t="s">
        <v>1667</v>
      </c>
      <c r="BA41" s="159">
        <v>1</v>
      </c>
      <c r="BB41" s="159">
        <v>1</v>
      </c>
      <c r="BC41" s="159"/>
      <c r="BD41" s="159">
        <v>1</v>
      </c>
      <c r="BE41" s="159"/>
      <c r="BF41" s="159"/>
      <c r="BG41" s="159"/>
      <c r="BH41" s="159"/>
      <c r="BI41" s="159"/>
      <c r="BJ41" s="159">
        <v>9</v>
      </c>
      <c r="BK41" s="159">
        <f t="shared" si="0"/>
        <v>3</v>
      </c>
      <c r="BL41" s="160">
        <f t="shared" si="1"/>
        <v>0.33333333333333331</v>
      </c>
      <c r="BR41" s="52" t="s">
        <v>1619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45" customHeight="1">
      <c r="A42" s="159">
        <v>26</v>
      </c>
      <c r="B42" s="159" t="s">
        <v>1507</v>
      </c>
      <c r="C42" s="159" t="s">
        <v>176</v>
      </c>
      <c r="D42" s="159" t="s">
        <v>1672</v>
      </c>
      <c r="E42" s="159" t="s">
        <v>1673</v>
      </c>
      <c r="F42" s="159"/>
      <c r="G42" s="159" t="s">
        <v>1673</v>
      </c>
      <c r="H42" s="159" t="s">
        <v>635</v>
      </c>
      <c r="I42" s="159" t="s">
        <v>1667</v>
      </c>
      <c r="BA42" s="159">
        <v>1</v>
      </c>
      <c r="BB42" s="159">
        <v>1</v>
      </c>
      <c r="BC42" s="159"/>
      <c r="BD42" s="159">
        <v>1</v>
      </c>
      <c r="BE42" s="176"/>
      <c r="BF42" s="176"/>
      <c r="BG42" s="176"/>
      <c r="BH42" s="176"/>
      <c r="BI42" s="176"/>
      <c r="BJ42" s="159">
        <v>9</v>
      </c>
      <c r="BK42" s="159">
        <f t="shared" si="0"/>
        <v>3</v>
      </c>
      <c r="BL42" s="160">
        <f t="shared" si="1"/>
        <v>0.33333333333333331</v>
      </c>
      <c r="BR42" s="52" t="s">
        <v>1619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45" customHeight="1">
      <c r="A43" s="159">
        <v>27</v>
      </c>
      <c r="B43" s="159" t="s">
        <v>1507</v>
      </c>
      <c r="C43" s="159" t="s">
        <v>176</v>
      </c>
      <c r="D43" s="159" t="s">
        <v>1674</v>
      </c>
      <c r="E43" s="159" t="s">
        <v>1675</v>
      </c>
      <c r="F43" s="159"/>
      <c r="G43" s="159" t="s">
        <v>1675</v>
      </c>
      <c r="H43" s="159" t="s">
        <v>1676</v>
      </c>
      <c r="I43" s="159" t="s">
        <v>1667</v>
      </c>
      <c r="BA43" s="159">
        <v>1</v>
      </c>
      <c r="BB43" s="159">
        <v>1</v>
      </c>
      <c r="BC43" s="159"/>
      <c r="BD43" s="159">
        <v>1</v>
      </c>
      <c r="BE43" s="159"/>
      <c r="BF43" s="159"/>
      <c r="BG43" s="159"/>
      <c r="BH43" s="159"/>
      <c r="BI43" s="159"/>
      <c r="BJ43" s="159">
        <v>9</v>
      </c>
      <c r="BK43" s="159">
        <f t="shared" si="0"/>
        <v>3</v>
      </c>
      <c r="BL43" s="160">
        <f t="shared" si="1"/>
        <v>0.33333333333333331</v>
      </c>
      <c r="BR43" s="52" t="s">
        <v>1619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45" customHeight="1">
      <c r="A44" s="159">
        <v>28</v>
      </c>
      <c r="B44" s="159" t="s">
        <v>1507</v>
      </c>
      <c r="C44" s="159" t="s">
        <v>176</v>
      </c>
      <c r="D44" s="159" t="s">
        <v>1677</v>
      </c>
      <c r="E44" s="159" t="s">
        <v>1678</v>
      </c>
      <c r="F44" s="159"/>
      <c r="G44" s="159" t="s">
        <v>1678</v>
      </c>
      <c r="H44" s="159" t="s">
        <v>1679</v>
      </c>
      <c r="I44" s="159" t="s">
        <v>1667</v>
      </c>
      <c r="BA44" s="159">
        <v>1</v>
      </c>
      <c r="BB44" s="159">
        <v>1</v>
      </c>
      <c r="BC44" s="159"/>
      <c r="BD44" s="159">
        <v>1</v>
      </c>
      <c r="BE44" s="176"/>
      <c r="BF44" s="176"/>
      <c r="BG44" s="176"/>
      <c r="BH44" s="176"/>
      <c r="BI44" s="176"/>
      <c r="BJ44" s="159">
        <v>9</v>
      </c>
      <c r="BK44" s="159">
        <f t="shared" si="0"/>
        <v>3</v>
      </c>
      <c r="BL44" s="160">
        <f t="shared" si="1"/>
        <v>0.33333333333333331</v>
      </c>
      <c r="BR44" s="52" t="s">
        <v>1619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45" customHeight="1">
      <c r="A45" s="159">
        <v>29</v>
      </c>
      <c r="B45" s="159" t="s">
        <v>1507</v>
      </c>
      <c r="C45" s="159" t="s">
        <v>176</v>
      </c>
      <c r="D45" s="159" t="s">
        <v>1680</v>
      </c>
      <c r="E45" s="159" t="s">
        <v>1681</v>
      </c>
      <c r="F45" s="159"/>
      <c r="G45" s="159" t="s">
        <v>1681</v>
      </c>
      <c r="H45" s="159" t="s">
        <v>80</v>
      </c>
      <c r="I45" s="159" t="s">
        <v>1667</v>
      </c>
      <c r="BA45" s="159">
        <v>1</v>
      </c>
      <c r="BB45" s="159">
        <v>1</v>
      </c>
      <c r="BC45" s="159"/>
      <c r="BD45" s="159">
        <v>1</v>
      </c>
      <c r="BE45" s="159"/>
      <c r="BF45" s="159"/>
      <c r="BG45" s="159"/>
      <c r="BH45" s="159"/>
      <c r="BI45" s="159"/>
      <c r="BJ45" s="159">
        <v>9</v>
      </c>
      <c r="BK45" s="159">
        <f t="shared" si="0"/>
        <v>3</v>
      </c>
      <c r="BL45" s="160">
        <f t="shared" si="1"/>
        <v>0.33333333333333331</v>
      </c>
      <c r="BR45" s="52" t="s">
        <v>1619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45" customHeight="1">
      <c r="A46" s="159">
        <v>30</v>
      </c>
      <c r="B46" s="159" t="s">
        <v>1507</v>
      </c>
      <c r="C46" s="159" t="s">
        <v>176</v>
      </c>
      <c r="D46" s="159" t="s">
        <v>1682</v>
      </c>
      <c r="E46" s="159" t="s">
        <v>1683</v>
      </c>
      <c r="F46" s="159"/>
      <c r="G46" s="159" t="s">
        <v>1683</v>
      </c>
      <c r="H46" s="159" t="s">
        <v>80</v>
      </c>
      <c r="I46" s="159" t="s">
        <v>1667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1619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45" customHeight="1">
      <c r="A47" s="159">
        <v>31</v>
      </c>
      <c r="B47" s="159" t="s">
        <v>1507</v>
      </c>
      <c r="C47" s="159" t="s">
        <v>176</v>
      </c>
      <c r="D47" s="159" t="s">
        <v>1684</v>
      </c>
      <c r="E47" s="159" t="s">
        <v>1685</v>
      </c>
      <c r="F47" s="159"/>
      <c r="G47" s="159" t="s">
        <v>1685</v>
      </c>
      <c r="H47" s="159" t="s">
        <v>280</v>
      </c>
      <c r="I47" s="159" t="s">
        <v>1667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1619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45" customHeight="1">
      <c r="A48" s="159">
        <v>32</v>
      </c>
      <c r="B48" s="159" t="s">
        <v>1507</v>
      </c>
      <c r="C48" s="159" t="s">
        <v>176</v>
      </c>
      <c r="D48" s="159" t="s">
        <v>1686</v>
      </c>
      <c r="E48" s="159" t="s">
        <v>1687</v>
      </c>
      <c r="F48" s="159"/>
      <c r="G48" s="159" t="s">
        <v>1687</v>
      </c>
      <c r="H48" s="159" t="s">
        <v>489</v>
      </c>
      <c r="I48" s="159" t="s">
        <v>1667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1619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45" customHeight="1">
      <c r="A49" s="159">
        <v>33</v>
      </c>
      <c r="B49" s="159" t="s">
        <v>1507</v>
      </c>
      <c r="C49" s="159" t="s">
        <v>176</v>
      </c>
      <c r="D49" s="159" t="s">
        <v>1688</v>
      </c>
      <c r="E49" s="159" t="s">
        <v>1689</v>
      </c>
      <c r="F49" s="159"/>
      <c r="G49" s="159" t="s">
        <v>1689</v>
      </c>
      <c r="H49" s="159" t="s">
        <v>482</v>
      </c>
      <c r="I49" s="159" t="s">
        <v>1667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1619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45" customHeight="1">
      <c r="A50" s="159">
        <v>34</v>
      </c>
      <c r="B50" s="159" t="s">
        <v>1507</v>
      </c>
      <c r="C50" s="159" t="s">
        <v>176</v>
      </c>
      <c r="D50" s="159" t="s">
        <v>1690</v>
      </c>
      <c r="E50" s="159" t="s">
        <v>1691</v>
      </c>
      <c r="F50" s="159"/>
      <c r="G50" s="159" t="s">
        <v>1691</v>
      </c>
      <c r="H50" s="159" t="s">
        <v>228</v>
      </c>
      <c r="I50" s="159" t="s">
        <v>1667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1619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45" customHeight="1">
      <c r="A51" s="159">
        <v>35</v>
      </c>
      <c r="B51" s="159" t="s">
        <v>1507</v>
      </c>
      <c r="C51" s="159" t="s">
        <v>176</v>
      </c>
      <c r="D51" s="159" t="s">
        <v>1692</v>
      </c>
      <c r="E51" s="159" t="s">
        <v>1693</v>
      </c>
      <c r="F51" s="159"/>
      <c r="G51" s="159" t="s">
        <v>1693</v>
      </c>
      <c r="H51" s="159" t="s">
        <v>1694</v>
      </c>
      <c r="I51" s="159" t="s">
        <v>1667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1619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45" customHeight="1">
      <c r="A52" s="159">
        <v>36</v>
      </c>
      <c r="B52" s="159" t="s">
        <v>1507</v>
      </c>
      <c r="C52" s="159" t="s">
        <v>176</v>
      </c>
      <c r="D52" s="159" t="s">
        <v>1695</v>
      </c>
      <c r="E52" s="159" t="s">
        <v>1696</v>
      </c>
      <c r="F52" s="159"/>
      <c r="G52" s="159" t="s">
        <v>1696</v>
      </c>
      <c r="H52" s="159" t="s">
        <v>1697</v>
      </c>
      <c r="I52" s="159" t="s">
        <v>1667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1619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45" customHeight="1">
      <c r="A53" s="159">
        <v>37</v>
      </c>
      <c r="B53" s="159" t="s">
        <v>1507</v>
      </c>
      <c r="C53" s="159" t="s">
        <v>176</v>
      </c>
      <c r="D53" s="159" t="s">
        <v>1698</v>
      </c>
      <c r="E53" s="159" t="s">
        <v>1699</v>
      </c>
      <c r="F53" s="159"/>
      <c r="G53" s="159" t="s">
        <v>1699</v>
      </c>
      <c r="H53" s="159" t="s">
        <v>80</v>
      </c>
      <c r="I53" s="159" t="s">
        <v>1667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1619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45" customHeight="1">
      <c r="A54" s="159">
        <v>38</v>
      </c>
      <c r="B54" s="159" t="s">
        <v>1507</v>
      </c>
      <c r="C54" s="159" t="s">
        <v>176</v>
      </c>
      <c r="D54" s="159" t="s">
        <v>1700</v>
      </c>
      <c r="E54" s="159" t="s">
        <v>1701</v>
      </c>
      <c r="F54" s="159"/>
      <c r="G54" s="159" t="s">
        <v>1701</v>
      </c>
      <c r="H54" s="159" t="s">
        <v>1631</v>
      </c>
      <c r="I54" s="159" t="s">
        <v>1667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1619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45" customHeight="1">
      <c r="A55" s="159">
        <v>39</v>
      </c>
      <c r="B55" s="159" t="s">
        <v>1507</v>
      </c>
      <c r="C55" s="159" t="s">
        <v>176</v>
      </c>
      <c r="D55" s="159" t="s">
        <v>1702</v>
      </c>
      <c r="E55" s="159" t="s">
        <v>1703</v>
      </c>
      <c r="F55" s="159"/>
      <c r="G55" s="159" t="s">
        <v>1703</v>
      </c>
      <c r="H55" s="159" t="s">
        <v>1704</v>
      </c>
      <c r="I55" s="159" t="s">
        <v>1667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1619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45" customHeight="1">
      <c r="A56" s="159">
        <v>40</v>
      </c>
      <c r="B56" s="159" t="s">
        <v>1507</v>
      </c>
      <c r="C56" s="159" t="s">
        <v>176</v>
      </c>
      <c r="D56" s="159" t="s">
        <v>1705</v>
      </c>
      <c r="E56" s="159" t="s">
        <v>1706</v>
      </c>
      <c r="F56" s="159"/>
      <c r="G56" s="159" t="s">
        <v>1706</v>
      </c>
      <c r="H56" s="159" t="s">
        <v>1707</v>
      </c>
      <c r="I56" s="159" t="s">
        <v>1667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1619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45" customHeight="1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Lucy Andrade</cp:lastModifiedBy>
  <cp:revision>5</cp:revision>
  <dcterms:created xsi:type="dcterms:W3CDTF">2026-04-22T14:27:02Z</dcterms:created>
  <dcterms:modified xsi:type="dcterms:W3CDTF">2026-06-09T20:18:59Z</dcterms:modified>
  <cp:category/>
  <cp:contentStatus/>
</cp:coreProperties>
</file>