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C:\Users\Luci\Dropbox\Desarrollos\OSPOM - Proyecto de Optimización de Sistemas, Procesos, Operaciones y Metodologías\Visibilidad\"/>
    </mc:Choice>
  </mc:AlternateContent>
  <xr:revisionPtr revIDLastSave="409" documentId="13_ncr:1_{5DC81C20-B38C-46A9-A500-5EFC445A7DCE}" xr6:coauthVersionLast="47" xr6:coauthVersionMax="47" xr10:uidLastSave="{1DA38833-44E4-4F05-A99D-38200390CCD3}"/>
  <bookViews>
    <workbookView xWindow="28680" yWindow="-120" windowWidth="29040" windowHeight="15720" tabRatio="876" firstSheet="10" activeTab="5" xr2:uid="{00000000-000D-0000-FFFF-FFFF00000000}"/>
  </bookViews>
  <sheets>
    <sheet name="Yuya 2026" sheetId="1" r:id="rId1"/>
    <sheet name="Velvet 2026 Fase 1" sheetId="2" r:id="rId2"/>
    <sheet name="Velvet 2026 Fase 2" sheetId="3" r:id="rId3"/>
    <sheet name="Minion 2026" sheetId="4" r:id="rId4"/>
    <sheet name="Playboy 2026 Fase 2" sheetId="6" r:id="rId5"/>
    <sheet name="Playboy 2026 Fase 1" sheetId="5" r:id="rId6"/>
    <sheet name="Glam 2026 Fase 1" sheetId="7" r:id="rId7"/>
    <sheet name="Perry Ellis 2026 Fase 1" sheetId="9" r:id="rId8"/>
    <sheet name="Glam 2026 Fase 2" sheetId="8" r:id="rId9"/>
    <sheet name="Perry Ellis 2026 Fase 2" sheetId="10" r:id="rId10"/>
    <sheet name="Forever 21 2026" sheetId="12" r:id="rId11"/>
    <sheet name="Linea Dermo" sheetId="13" r:id="rId12"/>
    <sheet name="Disney Princesas" sheetId="11" r:id="rId13"/>
  </sheet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BS18" i="5" l="1"/>
  <c r="BS19" i="5"/>
  <c r="BS20" i="5"/>
  <c r="BS21" i="5"/>
  <c r="BS22" i="5"/>
  <c r="BS23" i="5"/>
  <c r="BS24" i="5"/>
  <c r="BS25" i="5"/>
  <c r="BS26" i="5"/>
  <c r="BS27" i="5"/>
  <c r="BS28" i="5"/>
  <c r="BS29" i="5"/>
  <c r="BS30" i="5"/>
  <c r="BS31" i="5"/>
  <c r="BS32" i="5"/>
  <c r="BS33" i="5"/>
  <c r="BS34" i="5"/>
  <c r="BS35" i="5"/>
  <c r="BS36" i="5"/>
  <c r="BS37" i="5"/>
  <c r="BS38" i="5"/>
  <c r="BS39" i="5"/>
  <c r="BS40" i="5"/>
  <c r="BS41" i="5"/>
  <c r="BS42" i="5"/>
  <c r="BS43" i="5"/>
  <c r="BS44" i="5"/>
  <c r="BS45" i="5"/>
  <c r="BS46" i="5"/>
  <c r="BS47" i="5"/>
  <c r="BS48" i="5"/>
  <c r="BS49" i="5"/>
  <c r="BS50" i="5"/>
  <c r="BS51" i="5"/>
  <c r="BS52" i="5"/>
  <c r="BS53" i="5"/>
  <c r="BS54" i="5"/>
  <c r="BS55" i="5"/>
  <c r="BS56" i="5"/>
  <c r="BS57" i="5"/>
  <c r="BS58" i="5"/>
  <c r="BS59" i="5"/>
  <c r="BS60" i="5"/>
  <c r="BS61" i="5"/>
  <c r="BS62" i="5"/>
  <c r="BS63" i="5"/>
  <c r="BS64" i="5"/>
  <c r="BS65" i="5"/>
  <c r="BS66" i="5"/>
  <c r="BS67" i="5"/>
  <c r="BS68" i="5"/>
  <c r="BS69" i="5"/>
  <c r="BS70" i="5"/>
  <c r="BS71" i="5"/>
  <c r="BS72" i="5"/>
  <c r="BS17" i="5"/>
  <c r="BT45" i="1"/>
  <c r="BT20" i="1"/>
  <c r="BT21" i="1"/>
  <c r="BT22" i="1"/>
  <c r="BT23" i="1"/>
  <c r="BT24" i="1"/>
  <c r="CL64" i="12"/>
  <c r="CN64" i="12" s="1"/>
  <c r="CP64" i="12" s="1"/>
  <c r="CX84" i="12"/>
  <c r="CV84" i="12"/>
  <c r="CT84" i="12"/>
  <c r="CR84" i="12"/>
  <c r="CP84" i="12"/>
  <c r="CN84" i="12"/>
  <c r="CL84" i="12"/>
  <c r="CP68" i="12"/>
  <c r="CZ17" i="12"/>
  <c r="CV17" i="12"/>
  <c r="CT68" i="12"/>
  <c r="CV68" i="12" s="1"/>
  <c r="CX68" i="12" s="1"/>
  <c r="CZ68" i="12" s="1"/>
  <c r="CT17" i="12"/>
  <c r="CR68" i="12"/>
  <c r="CP17" i="12"/>
  <c r="CN68" i="12"/>
  <c r="CN17" i="12"/>
  <c r="CL68" i="12"/>
  <c r="CN43" i="12"/>
  <c r="CN44" i="12"/>
  <c r="CN45" i="12"/>
  <c r="CN46" i="12"/>
  <c r="CN47" i="12"/>
  <c r="CN48" i="12"/>
  <c r="CN49" i="12"/>
  <c r="CN52" i="12"/>
  <c r="CN57" i="12"/>
  <c r="CN58" i="12"/>
  <c r="CN59" i="12"/>
  <c r="CN60" i="12"/>
  <c r="CN61" i="12"/>
  <c r="CN62" i="12"/>
  <c r="CN63" i="12"/>
  <c r="CN42" i="12"/>
  <c r="CN25" i="12"/>
  <c r="CN26" i="12"/>
  <c r="CN24" i="12"/>
  <c r="CP63" i="12"/>
  <c r="CL63" i="12"/>
  <c r="CN18" i="12"/>
  <c r="CN19" i="12"/>
  <c r="CN20" i="12"/>
  <c r="CN81" i="12"/>
  <c r="CP81" i="12" s="1"/>
  <c r="CL81" i="12"/>
  <c r="CP52" i="12"/>
  <c r="CL52" i="12"/>
  <c r="CP62" i="12"/>
  <c r="CL62" i="12"/>
  <c r="CP61" i="12"/>
  <c r="CL61" i="12"/>
  <c r="CP60" i="12"/>
  <c r="CL60" i="12"/>
  <c r="CP59" i="12"/>
  <c r="CL59" i="12"/>
  <c r="CP58" i="12"/>
  <c r="CL58" i="12"/>
  <c r="CP57" i="12"/>
  <c r="CL57" i="12"/>
  <c r="CP49" i="12"/>
  <c r="CL49" i="12"/>
  <c r="CP48" i="12"/>
  <c r="CL48" i="12"/>
  <c r="CP47" i="12"/>
  <c r="CL47" i="12"/>
  <c r="CP46" i="12"/>
  <c r="CL46" i="12"/>
  <c r="CP45" i="12"/>
  <c r="CL45" i="12"/>
  <c r="CP44" i="12"/>
  <c r="CL44" i="12"/>
  <c r="CP43" i="12"/>
  <c r="CL43" i="12"/>
  <c r="CP42" i="12"/>
  <c r="CL42" i="12"/>
  <c r="CP26" i="12"/>
  <c r="CL26" i="12"/>
  <c r="CP25" i="12"/>
  <c r="CL25" i="12"/>
  <c r="CP24" i="12"/>
  <c r="CL24" i="12"/>
  <c r="CP20" i="12"/>
  <c r="CL20" i="12"/>
  <c r="CP19" i="12"/>
  <c r="CL19" i="12"/>
  <c r="CP18" i="12"/>
  <c r="CL18" i="12"/>
  <c r="CL17" i="12"/>
  <c r="CU17" i="7"/>
  <c r="CQ17" i="1"/>
  <c r="CO17" i="1"/>
  <c r="CM17" i="1"/>
  <c r="CZ17" i="1"/>
  <c r="CX17" i="1"/>
  <c r="CV17" i="1"/>
  <c r="CT17" i="1"/>
  <c r="CR17" i="1"/>
  <c r="CP17" i="1"/>
  <c r="CN17" i="1"/>
  <c r="CL17" i="1"/>
  <c r="CV17" i="7"/>
  <c r="CO17" i="7"/>
  <c r="CQ17" i="7" s="1"/>
  <c r="CN17" i="7"/>
  <c r="CP17" i="7" s="1"/>
  <c r="CR17" i="7" s="1"/>
  <c r="CM17" i="7"/>
  <c r="CL17" i="7"/>
  <c r="G4" i="7"/>
  <c r="G5" i="7" s="1"/>
  <c r="G6" i="7" s="1"/>
  <c r="G7" i="7" s="1"/>
  <c r="G8" i="7" s="1"/>
  <c r="G9" i="7" s="1"/>
  <c r="BS18" i="9"/>
  <c r="BS19" i="9"/>
  <c r="BS20" i="9"/>
  <c r="BS21" i="9"/>
  <c r="BS22" i="9"/>
  <c r="BS23" i="9"/>
  <c r="BS24" i="9"/>
  <c r="BS25" i="9"/>
  <c r="BS26" i="9"/>
  <c r="BS27" i="9"/>
  <c r="BS28" i="9"/>
  <c r="BS29" i="9"/>
  <c r="BS30" i="9"/>
  <c r="BS31" i="9"/>
  <c r="BS32" i="9"/>
  <c r="BS33" i="9"/>
  <c r="BS34" i="9"/>
  <c r="BS35" i="9"/>
  <c r="BS36" i="9"/>
  <c r="BS37" i="9"/>
  <c r="BS38" i="9"/>
  <c r="BS39" i="9"/>
  <c r="BS40" i="9"/>
  <c r="BS41" i="9"/>
  <c r="BS42" i="9"/>
  <c r="BS43" i="9"/>
  <c r="BS44" i="9"/>
  <c r="BS45" i="9"/>
  <c r="BS46" i="9"/>
  <c r="BS47" i="9"/>
  <c r="BS48" i="9"/>
  <c r="BS49" i="9"/>
  <c r="BS50" i="9"/>
  <c r="BS51" i="9"/>
  <c r="BS52" i="9"/>
  <c r="BS53" i="9"/>
  <c r="BS54" i="9"/>
  <c r="BS55" i="9"/>
  <c r="BS56" i="9"/>
  <c r="BS57" i="9"/>
  <c r="BS58" i="9"/>
  <c r="BS59" i="9"/>
  <c r="BS60" i="9"/>
  <c r="BS61" i="9"/>
  <c r="BS62" i="9"/>
  <c r="BS63" i="9"/>
  <c r="BS64" i="9"/>
  <c r="BS65" i="9"/>
  <c r="BS66" i="9"/>
  <c r="BS67" i="9"/>
  <c r="BS68" i="9"/>
  <c r="BS69" i="9"/>
  <c r="BS70" i="9"/>
  <c r="BS71" i="9"/>
  <c r="BS72" i="9"/>
  <c r="BS73" i="9"/>
  <c r="BS74" i="9"/>
  <c r="BS75" i="9"/>
  <c r="BS76" i="9"/>
  <c r="BS17" i="9"/>
  <c r="P25" i="1"/>
  <c r="S25" i="1" s="1"/>
  <c r="P24" i="1"/>
  <c r="S24" i="1" s="1"/>
  <c r="BR59" i="7"/>
  <c r="BS18" i="7"/>
  <c r="BS19" i="7"/>
  <c r="BS20" i="7"/>
  <c r="BS21" i="7"/>
  <c r="BS22" i="7"/>
  <c r="BS23" i="7"/>
  <c r="BS24" i="7"/>
  <c r="BS25" i="7"/>
  <c r="BS26" i="7"/>
  <c r="BS27" i="7"/>
  <c r="BS28" i="7"/>
  <c r="BS29" i="7"/>
  <c r="BS30" i="7"/>
  <c r="BS31" i="7"/>
  <c r="BS32" i="7"/>
  <c r="BS33" i="7"/>
  <c r="BS34" i="7"/>
  <c r="BS35" i="7"/>
  <c r="BS36" i="7"/>
  <c r="BS37" i="7"/>
  <c r="BS38" i="7"/>
  <c r="BS39" i="7"/>
  <c r="BS40" i="7"/>
  <c r="BS41" i="7"/>
  <c r="BS42" i="7"/>
  <c r="BS43" i="7"/>
  <c r="BS44" i="7"/>
  <c r="BS45" i="7"/>
  <c r="BS46" i="7"/>
  <c r="BS47" i="7"/>
  <c r="BS48" i="7"/>
  <c r="BS49" i="7"/>
  <c r="BS50" i="7"/>
  <c r="BS51" i="7"/>
  <c r="BS52" i="7"/>
  <c r="BS53" i="7"/>
  <c r="BS54" i="7"/>
  <c r="BS55" i="7"/>
  <c r="BS56" i="7"/>
  <c r="BS57" i="7"/>
  <c r="BS58" i="7"/>
  <c r="BS59" i="7"/>
  <c r="BS60" i="7"/>
  <c r="BS61" i="7"/>
  <c r="BS62" i="7"/>
  <c r="BS63" i="7"/>
  <c r="BS64" i="7"/>
  <c r="BS65" i="7"/>
  <c r="BS66" i="7"/>
  <c r="BS67" i="7"/>
  <c r="BS68" i="7"/>
  <c r="BS69" i="7"/>
  <c r="BS70" i="7"/>
  <c r="BS71" i="7"/>
  <c r="BS72" i="7"/>
  <c r="BS73" i="7"/>
  <c r="BS74" i="7"/>
  <c r="BS75" i="7"/>
  <c r="BS17" i="7"/>
  <c r="BR31" i="7"/>
  <c r="BR32" i="7"/>
  <c r="BR33" i="7"/>
  <c r="BR34" i="7"/>
  <c r="AJ40" i="7"/>
  <c r="U108" i="2"/>
  <c r="V108" i="2" s="1"/>
  <c r="U109" i="2"/>
  <c r="V109" i="2" s="1"/>
  <c r="U110" i="2"/>
  <c r="V110" i="2" s="1"/>
  <c r="U111" i="2"/>
  <c r="V111" i="2" s="1"/>
  <c r="U112" i="2"/>
  <c r="V112" i="2" s="1"/>
  <c r="U113" i="2"/>
  <c r="V113" i="2" s="1"/>
  <c r="AM113" i="2"/>
  <c r="AP113" i="2" s="1"/>
  <c r="AN113" i="2"/>
  <c r="AO113" i="2"/>
  <c r="AM109" i="2"/>
  <c r="AP109" i="2"/>
  <c r="AM110" i="2"/>
  <c r="AP110" i="2"/>
  <c r="AM111" i="2"/>
  <c r="AP111" i="2"/>
  <c r="AM112" i="2"/>
  <c r="AP112" i="2"/>
  <c r="S17" i="2"/>
  <c r="BR49" i="2"/>
  <c r="BR50" i="2"/>
  <c r="BR51" i="2"/>
  <c r="BR52" i="2"/>
  <c r="BR45" i="2"/>
  <c r="BR46" i="2"/>
  <c r="BR47" i="2"/>
  <c r="BR48" i="2"/>
  <c r="BR38" i="2"/>
  <c r="BR39" i="2"/>
  <c r="BR40" i="2"/>
  <c r="BR41" i="2"/>
  <c r="BR42" i="2"/>
  <c r="BR43" i="2"/>
  <c r="BR44" i="2"/>
  <c r="BR34" i="2"/>
  <c r="BR35" i="2"/>
  <c r="BR36" i="2"/>
  <c r="BR37" i="2"/>
  <c r="BR29" i="7"/>
  <c r="BR30" i="7"/>
  <c r="BR58" i="7"/>
  <c r="BR61" i="7"/>
  <c r="BR60" i="7"/>
  <c r="C5" i="12"/>
  <c r="C6" i="12" s="1"/>
  <c r="C6" i="5"/>
  <c r="M17" i="4"/>
  <c r="BR17" i="7"/>
  <c r="BR18" i="7"/>
  <c r="BR19" i="7"/>
  <c r="BR20" i="7"/>
  <c r="BR21" i="7"/>
  <c r="BR22" i="7"/>
  <c r="BR23" i="7"/>
  <c r="BR24" i="7"/>
  <c r="BR25" i="7"/>
  <c r="BR26" i="7"/>
  <c r="BR27" i="7"/>
  <c r="BR28" i="7"/>
  <c r="BR35" i="7"/>
  <c r="BR36" i="7"/>
  <c r="BR37" i="7"/>
  <c r="BR38" i="7"/>
  <c r="BR39" i="7"/>
  <c r="BR40" i="7"/>
  <c r="BR41" i="7"/>
  <c r="BR42" i="7"/>
  <c r="BR43" i="7"/>
  <c r="BR44" i="7"/>
  <c r="BR45" i="7"/>
  <c r="BR46" i="7"/>
  <c r="BR47" i="7"/>
  <c r="BR48" i="7"/>
  <c r="BR49" i="7"/>
  <c r="BR50" i="7"/>
  <c r="BR51" i="7"/>
  <c r="BR52" i="7"/>
  <c r="BR53" i="7"/>
  <c r="BR54" i="7"/>
  <c r="BR55" i="7"/>
  <c r="BR56" i="7"/>
  <c r="BR57" i="7"/>
  <c r="BR62" i="7"/>
  <c r="BR63" i="7"/>
  <c r="BR64" i="7"/>
  <c r="BR65" i="7"/>
  <c r="BR66" i="7"/>
  <c r="BR67" i="7"/>
  <c r="BR68" i="7"/>
  <c r="BR69" i="7"/>
  <c r="BR70" i="7"/>
  <c r="BR71" i="7"/>
  <c r="BR72" i="7"/>
  <c r="BR73" i="7"/>
  <c r="BR74" i="7"/>
  <c r="BR75" i="7"/>
  <c r="BR18" i="5"/>
  <c r="BR19" i="5"/>
  <c r="BR20" i="5"/>
  <c r="BR21" i="5"/>
  <c r="BR23" i="5"/>
  <c r="BR24" i="5"/>
  <c r="BR25" i="5"/>
  <c r="BR26" i="5"/>
  <c r="BR27" i="5"/>
  <c r="BR28" i="5"/>
  <c r="BR29" i="5"/>
  <c r="BR30" i="5"/>
  <c r="BR31" i="5"/>
  <c r="BR32" i="5"/>
  <c r="BR33" i="5"/>
  <c r="BR34" i="5"/>
  <c r="BR35" i="5"/>
  <c r="BR36" i="5"/>
  <c r="BR37" i="5"/>
  <c r="BR38" i="5"/>
  <c r="BR39" i="5"/>
  <c r="BR40" i="5"/>
  <c r="BR41" i="5"/>
  <c r="BR42" i="5"/>
  <c r="BR43" i="5"/>
  <c r="BR44" i="5"/>
  <c r="BR45" i="5"/>
  <c r="BR46" i="5"/>
  <c r="BR47" i="5"/>
  <c r="BR48" i="5"/>
  <c r="BR49" i="5"/>
  <c r="BR50" i="5"/>
  <c r="BR51" i="5"/>
  <c r="BR52" i="5"/>
  <c r="BR53" i="5"/>
  <c r="BR54" i="5"/>
  <c r="BR55" i="5"/>
  <c r="BR56" i="5"/>
  <c r="BR57" i="5"/>
  <c r="BR58" i="5"/>
  <c r="BR59" i="5"/>
  <c r="BR60" i="5"/>
  <c r="BR61" i="5"/>
  <c r="BR62" i="5"/>
  <c r="BR63" i="5"/>
  <c r="BR64" i="5"/>
  <c r="BR65" i="5"/>
  <c r="BR66" i="5"/>
  <c r="BR67" i="5"/>
  <c r="BR68" i="5"/>
  <c r="BR69" i="5"/>
  <c r="BR70" i="5"/>
  <c r="BR71" i="5"/>
  <c r="BR72" i="5"/>
  <c r="BR17" i="5"/>
  <c r="BR20" i="4"/>
  <c r="BS20" i="4"/>
  <c r="BR21" i="4"/>
  <c r="BS21" i="4"/>
  <c r="BR22" i="4"/>
  <c r="BS22" i="4"/>
  <c r="BR23" i="4"/>
  <c r="BS23" i="4"/>
  <c r="BR24" i="4"/>
  <c r="BS24" i="4"/>
  <c r="BR25" i="4"/>
  <c r="BS25" i="4"/>
  <c r="BR26" i="4"/>
  <c r="BS26" i="4"/>
  <c r="BR27" i="4"/>
  <c r="BS27" i="4"/>
  <c r="BR18" i="4"/>
  <c r="BS18" i="4"/>
  <c r="BR19" i="4"/>
  <c r="BS19" i="4"/>
  <c r="BS17" i="4"/>
  <c r="BR17" i="4"/>
  <c r="CT63" i="12" l="1"/>
  <c r="CV63" i="12" s="1"/>
  <c r="CX63" i="12" s="1"/>
  <c r="CZ63" i="12" s="1"/>
  <c r="CR63" i="12"/>
  <c r="CT81" i="12"/>
  <c r="CV81" i="12" s="1"/>
  <c r="CX81" i="12" s="1"/>
  <c r="CZ81" i="12" s="1"/>
  <c r="CR81" i="12"/>
  <c r="CT52" i="12"/>
  <c r="CV52" i="12" s="1"/>
  <c r="CX52" i="12" s="1"/>
  <c r="CZ52" i="12" s="1"/>
  <c r="CR52" i="12"/>
  <c r="CT62" i="12"/>
  <c r="CV62" i="12" s="1"/>
  <c r="CX62" i="12" s="1"/>
  <c r="CZ62" i="12" s="1"/>
  <c r="CR62" i="12"/>
  <c r="CT57" i="12"/>
  <c r="CV57" i="12" s="1"/>
  <c r="CX57" i="12" s="1"/>
  <c r="CZ57" i="12" s="1"/>
  <c r="CR57" i="12"/>
  <c r="CT58" i="12"/>
  <c r="CV58" i="12" s="1"/>
  <c r="CX58" i="12" s="1"/>
  <c r="CZ58" i="12" s="1"/>
  <c r="CR58" i="12"/>
  <c r="CT59" i="12"/>
  <c r="CV59" i="12" s="1"/>
  <c r="CX59" i="12" s="1"/>
  <c r="CZ59" i="12" s="1"/>
  <c r="CR59" i="12"/>
  <c r="CT60" i="12"/>
  <c r="CV60" i="12" s="1"/>
  <c r="CX60" i="12" s="1"/>
  <c r="CZ60" i="12" s="1"/>
  <c r="CR60" i="12"/>
  <c r="CT61" i="12"/>
  <c r="CV61" i="12" s="1"/>
  <c r="CX61" i="12" s="1"/>
  <c r="CZ61" i="12" s="1"/>
  <c r="CR61" i="12"/>
  <c r="CT42" i="12"/>
  <c r="CV42" i="12" s="1"/>
  <c r="CX42" i="12" s="1"/>
  <c r="CZ42" i="12" s="1"/>
  <c r="CR42" i="12"/>
  <c r="CT43" i="12"/>
  <c r="CV43" i="12" s="1"/>
  <c r="CX43" i="12" s="1"/>
  <c r="CZ43" i="12" s="1"/>
  <c r="CR43" i="12"/>
  <c r="CT44" i="12"/>
  <c r="CV44" i="12" s="1"/>
  <c r="CX44" i="12" s="1"/>
  <c r="CZ44" i="12" s="1"/>
  <c r="CR44" i="12"/>
  <c r="CT45" i="12"/>
  <c r="CV45" i="12" s="1"/>
  <c r="CX45" i="12" s="1"/>
  <c r="CZ45" i="12" s="1"/>
  <c r="CR45" i="12"/>
  <c r="CT46" i="12"/>
  <c r="CV46" i="12" s="1"/>
  <c r="CX46" i="12" s="1"/>
  <c r="CZ46" i="12" s="1"/>
  <c r="CR46" i="12"/>
  <c r="CT47" i="12"/>
  <c r="CV47" i="12" s="1"/>
  <c r="CX47" i="12" s="1"/>
  <c r="CZ47" i="12" s="1"/>
  <c r="CR47" i="12"/>
  <c r="CT48" i="12"/>
  <c r="CV48" i="12" s="1"/>
  <c r="CX48" i="12" s="1"/>
  <c r="CZ48" i="12" s="1"/>
  <c r="CR48" i="12"/>
  <c r="CT49" i="12"/>
  <c r="CV49" i="12" s="1"/>
  <c r="CX49" i="12" s="1"/>
  <c r="CZ49" i="12" s="1"/>
  <c r="CR49" i="12"/>
  <c r="CT24" i="12"/>
  <c r="CV24" i="12" s="1"/>
  <c r="CX24" i="12" s="1"/>
  <c r="CZ24" i="12" s="1"/>
  <c r="CR24" i="12"/>
  <c r="CT25" i="12"/>
  <c r="CV25" i="12" s="1"/>
  <c r="CX25" i="12" s="1"/>
  <c r="CZ25" i="12" s="1"/>
  <c r="CR25" i="12"/>
  <c r="CT26" i="12"/>
  <c r="CV26" i="12" s="1"/>
  <c r="CX26" i="12" s="1"/>
  <c r="CZ26" i="12" s="1"/>
  <c r="CR26" i="12"/>
  <c r="CT18" i="12"/>
  <c r="CV18" i="12" s="1"/>
  <c r="CX18" i="12" s="1"/>
  <c r="CZ18" i="12" s="1"/>
  <c r="CR18" i="12"/>
  <c r="CT19" i="12"/>
  <c r="CV19" i="12" s="1"/>
  <c r="CX19" i="12" s="1"/>
  <c r="CZ19" i="12" s="1"/>
  <c r="CR19" i="12"/>
  <c r="CT20" i="12"/>
  <c r="CV20" i="12" s="1"/>
  <c r="CX20" i="12" s="1"/>
  <c r="CZ20" i="12" s="1"/>
  <c r="CR20" i="12"/>
  <c r="CX17" i="12"/>
  <c r="CR17" i="12"/>
  <c r="CT17" i="7"/>
  <c r="C7" i="12"/>
  <c r="C8" i="12" s="1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4" i="2"/>
  <c r="BR75" i="2"/>
  <c r="BR76" i="2"/>
  <c r="BR78" i="2"/>
  <c r="BR79" i="2"/>
  <c r="BR82" i="2"/>
  <c r="BR83" i="2"/>
  <c r="BR84" i="2"/>
  <c r="BR85" i="2"/>
  <c r="BR86" i="2"/>
  <c r="BR87" i="2"/>
  <c r="BR88" i="2"/>
  <c r="BR89" i="2"/>
  <c r="BR90" i="2"/>
  <c r="BR91" i="2"/>
  <c r="BR92" i="2"/>
  <c r="BR93" i="2"/>
  <c r="BR94" i="2"/>
  <c r="BR95" i="2"/>
  <c r="BR96" i="2"/>
  <c r="BR97" i="2"/>
  <c r="BR98" i="2"/>
  <c r="BR102" i="2"/>
  <c r="BR103" i="2"/>
  <c r="BR104" i="2"/>
  <c r="BR105" i="2"/>
  <c r="BR106" i="2"/>
  <c r="BR107" i="2"/>
  <c r="BR108" i="2"/>
  <c r="BR109" i="2"/>
  <c r="V45" i="1"/>
  <c r="X45" i="1" s="1"/>
  <c r="W45" i="1" l="1"/>
  <c r="BT18" i="1" l="1"/>
  <c r="BT19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17" i="1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17" i="12"/>
  <c r="R23" i="9"/>
  <c r="R24" i="9"/>
  <c r="R25" i="9"/>
  <c r="R26" i="9"/>
  <c r="R27" i="9"/>
  <c r="R28" i="9"/>
  <c r="R29" i="9"/>
  <c r="R30" i="9"/>
  <c r="R31" i="9"/>
  <c r="R17" i="9"/>
  <c r="P17" i="9"/>
  <c r="P23" i="9"/>
  <c r="P24" i="9"/>
  <c r="P25" i="9"/>
  <c r="P26" i="9"/>
  <c r="P27" i="9"/>
  <c r="P28" i="9"/>
  <c r="P29" i="9"/>
  <c r="P30" i="9"/>
  <c r="P31" i="9"/>
  <c r="P33" i="9"/>
  <c r="P34" i="9"/>
  <c r="P35" i="9"/>
  <c r="P36" i="9"/>
  <c r="P39" i="9"/>
  <c r="P40" i="9"/>
  <c r="P41" i="9"/>
  <c r="P42" i="9"/>
  <c r="P43" i="9"/>
  <c r="P44" i="9"/>
  <c r="P45" i="9"/>
  <c r="P46" i="9"/>
  <c r="P47" i="9"/>
  <c r="P48" i="9"/>
  <c r="P49" i="9"/>
  <c r="P50" i="9"/>
  <c r="P51" i="9"/>
  <c r="P52" i="9"/>
  <c r="P53" i="9"/>
  <c r="P54" i="9"/>
  <c r="P55" i="9"/>
  <c r="P56" i="9"/>
  <c r="P57" i="9"/>
  <c r="P58" i="9"/>
  <c r="P59" i="9"/>
  <c r="P60" i="9"/>
  <c r="P61" i="9"/>
  <c r="P62" i="9"/>
  <c r="P63" i="9"/>
  <c r="P64" i="9"/>
  <c r="P65" i="9"/>
  <c r="P66" i="9"/>
  <c r="P67" i="9"/>
  <c r="P68" i="9"/>
  <c r="P69" i="9"/>
  <c r="P70" i="9"/>
  <c r="P71" i="9"/>
  <c r="P72" i="9"/>
  <c r="P73" i="9"/>
  <c r="P74" i="9"/>
  <c r="P75" i="9"/>
  <c r="P76" i="9"/>
  <c r="O17" i="9"/>
  <c r="W17" i="7"/>
  <c r="V18" i="1"/>
  <c r="W18" i="1" s="1"/>
  <c r="V19" i="1"/>
  <c r="W19" i="1" s="1"/>
  <c r="V20" i="1"/>
  <c r="W20" i="1" s="1"/>
  <c r="V21" i="1"/>
  <c r="W21" i="1" s="1"/>
  <c r="V22" i="1"/>
  <c r="X22" i="1" s="1"/>
  <c r="V23" i="1"/>
  <c r="X23" i="1" s="1"/>
  <c r="V24" i="1"/>
  <c r="X24" i="1" s="1"/>
  <c r="V25" i="1"/>
  <c r="X25" i="1" s="1"/>
  <c r="V26" i="1"/>
  <c r="X26" i="1" s="1"/>
  <c r="V27" i="1"/>
  <c r="X27" i="1" s="1"/>
  <c r="V28" i="1"/>
  <c r="X28" i="1" s="1"/>
  <c r="V29" i="1"/>
  <c r="W29" i="1" s="1"/>
  <c r="V30" i="1"/>
  <c r="W30" i="1" s="1"/>
  <c r="V31" i="1"/>
  <c r="W31" i="1" s="1"/>
  <c r="V32" i="1"/>
  <c r="W32" i="1" s="1"/>
  <c r="V33" i="1"/>
  <c r="W33" i="1" s="1"/>
  <c r="V34" i="1"/>
  <c r="W34" i="1" s="1"/>
  <c r="V35" i="1"/>
  <c r="W35" i="1" s="1"/>
  <c r="V36" i="1"/>
  <c r="W36" i="1" s="1"/>
  <c r="V37" i="1"/>
  <c r="W37" i="1" s="1"/>
  <c r="V38" i="1"/>
  <c r="X38" i="1" s="1"/>
  <c r="V39" i="1"/>
  <c r="X39" i="1" s="1"/>
  <c r="V40" i="1"/>
  <c r="X40" i="1" s="1"/>
  <c r="V41" i="1"/>
  <c r="X41" i="1" s="1"/>
  <c r="V42" i="1"/>
  <c r="X42" i="1" s="1"/>
  <c r="V43" i="1"/>
  <c r="X43" i="1" s="1"/>
  <c r="V44" i="1"/>
  <c r="W44" i="1" s="1"/>
  <c r="V46" i="1"/>
  <c r="W46" i="1" s="1"/>
  <c r="V47" i="1"/>
  <c r="W47" i="1" s="1"/>
  <c r="V48" i="1"/>
  <c r="W48" i="1" s="1"/>
  <c r="V49" i="1"/>
  <c r="W49" i="1" s="1"/>
  <c r="V50" i="1"/>
  <c r="W50" i="1" s="1"/>
  <c r="V51" i="1"/>
  <c r="X51" i="1" s="1"/>
  <c r="V52" i="1"/>
  <c r="X52" i="1" s="1"/>
  <c r="V53" i="1"/>
  <c r="X53" i="1" s="1"/>
  <c r="V54" i="1"/>
  <c r="X54" i="1" s="1"/>
  <c r="V55" i="1"/>
  <c r="X55" i="1" s="1"/>
  <c r="V56" i="1"/>
  <c r="X56" i="1" s="1"/>
  <c r="V57" i="1"/>
  <c r="X57" i="1" s="1"/>
  <c r="V58" i="1"/>
  <c r="W58" i="1" s="1"/>
  <c r="V59" i="1"/>
  <c r="W59" i="1" s="1"/>
  <c r="V60" i="1"/>
  <c r="W60" i="1" s="1"/>
  <c r="V61" i="1"/>
  <c r="W61" i="1" s="1"/>
  <c r="V62" i="1"/>
  <c r="W62" i="1" s="1"/>
  <c r="V63" i="1"/>
  <c r="W63" i="1" s="1"/>
  <c r="V64" i="1"/>
  <c r="W64" i="1" s="1"/>
  <c r="V65" i="1"/>
  <c r="W65" i="1" s="1"/>
  <c r="V66" i="1"/>
  <c r="W66" i="1" s="1"/>
  <c r="V67" i="1"/>
  <c r="X67" i="1" s="1"/>
  <c r="V68" i="1"/>
  <c r="X68" i="1" s="1"/>
  <c r="V17" i="1"/>
  <c r="X17" i="1" s="1"/>
  <c r="BK56" i="13"/>
  <c r="BL56" i="13" s="1"/>
  <c r="BK55" i="13"/>
  <c r="BL55" i="13" s="1"/>
  <c r="BK54" i="13"/>
  <c r="BL54" i="13" s="1"/>
  <c r="BK53" i="13"/>
  <c r="BL53" i="13" s="1"/>
  <c r="BK52" i="13"/>
  <c r="BL52" i="13" s="1"/>
  <c r="BK51" i="13"/>
  <c r="BL51" i="13" s="1"/>
  <c r="BK50" i="13"/>
  <c r="BL50" i="13" s="1"/>
  <c r="BK49" i="13"/>
  <c r="BL49" i="13" s="1"/>
  <c r="BK48" i="13"/>
  <c r="BL48" i="13" s="1"/>
  <c r="BK47" i="13"/>
  <c r="BL47" i="13" s="1"/>
  <c r="BK46" i="13"/>
  <c r="BL46" i="13" s="1"/>
  <c r="BK45" i="13"/>
  <c r="BL45" i="13" s="1"/>
  <c r="BK44" i="13"/>
  <c r="BL44" i="13" s="1"/>
  <c r="BL43" i="13"/>
  <c r="BK43" i="13"/>
  <c r="BK42" i="13"/>
  <c r="BL42" i="13" s="1"/>
  <c r="BK41" i="13"/>
  <c r="BL41" i="13" s="1"/>
  <c r="BK40" i="13"/>
  <c r="BL40" i="13" s="1"/>
  <c r="BK39" i="13"/>
  <c r="BL39" i="13" s="1"/>
  <c r="BK38" i="13"/>
  <c r="BL38" i="13" s="1"/>
  <c r="BK37" i="13"/>
  <c r="BL37" i="13" s="1"/>
  <c r="BK36" i="13"/>
  <c r="BL36" i="13" s="1"/>
  <c r="BK35" i="13"/>
  <c r="BL35" i="13" s="1"/>
  <c r="BK34" i="13"/>
  <c r="BL34" i="13" s="1"/>
  <c r="BK33" i="13"/>
  <c r="BL33" i="13" s="1"/>
  <c r="BK32" i="13"/>
  <c r="BL32" i="13" s="1"/>
  <c r="BK31" i="13"/>
  <c r="BL31" i="13" s="1"/>
  <c r="BK30" i="13"/>
  <c r="BL30" i="13" s="1"/>
  <c r="BK29" i="13"/>
  <c r="BL29" i="13" s="1"/>
  <c r="BK28" i="13"/>
  <c r="BL28" i="13" s="1"/>
  <c r="BK27" i="13"/>
  <c r="BL27" i="13" s="1"/>
  <c r="BK26" i="13"/>
  <c r="BL26" i="13" s="1"/>
  <c r="BK25" i="13"/>
  <c r="BL25" i="13" s="1"/>
  <c r="BK24" i="13"/>
  <c r="BL24" i="13" s="1"/>
  <c r="BK23" i="13"/>
  <c r="BL23" i="13" s="1"/>
  <c r="BK22" i="13"/>
  <c r="BL22" i="13" s="1"/>
  <c r="BK21" i="13"/>
  <c r="BL21" i="13" s="1"/>
  <c r="BK20" i="13"/>
  <c r="BL20" i="13" s="1"/>
  <c r="BK19" i="13"/>
  <c r="BL19" i="13" s="1"/>
  <c r="BK18" i="13"/>
  <c r="BL18" i="13" s="1"/>
  <c r="BK17" i="13"/>
  <c r="BL17" i="13" s="1"/>
  <c r="BK85" i="12"/>
  <c r="BL85" i="12" s="1"/>
  <c r="AH85" i="12"/>
  <c r="AK85" i="12" s="1"/>
  <c r="U85" i="12"/>
  <c r="V85" i="12" s="1"/>
  <c r="Y85" i="12" s="1"/>
  <c r="BK84" i="12"/>
  <c r="BL84" i="12" s="1"/>
  <c r="AH84" i="12"/>
  <c r="AK84" i="12" s="1"/>
  <c r="U84" i="12"/>
  <c r="V84" i="12" s="1"/>
  <c r="Y84" i="12" s="1"/>
  <c r="BK83" i="12"/>
  <c r="BL83" i="12" s="1"/>
  <c r="AH83" i="12"/>
  <c r="AK83" i="12" s="1"/>
  <c r="U83" i="12"/>
  <c r="V83" i="12" s="1"/>
  <c r="Y83" i="12" s="1"/>
  <c r="BK82" i="12"/>
  <c r="BL82" i="12" s="1"/>
  <c r="AH82" i="12"/>
  <c r="AK82" i="12" s="1"/>
  <c r="U82" i="12"/>
  <c r="V82" i="12" s="1"/>
  <c r="Y82" i="12" s="1"/>
  <c r="BK81" i="12"/>
  <c r="BL81" i="12" s="1"/>
  <c r="AH81" i="12"/>
  <c r="AK81" i="12" s="1"/>
  <c r="U81" i="12"/>
  <c r="V81" i="12" s="1"/>
  <c r="Y81" i="12" s="1"/>
  <c r="BK80" i="12"/>
  <c r="BL80" i="12" s="1"/>
  <c r="AH80" i="12"/>
  <c r="AK80" i="12" s="1"/>
  <c r="U80" i="12"/>
  <c r="V80" i="12" s="1"/>
  <c r="Y80" i="12" s="1"/>
  <c r="BK79" i="12"/>
  <c r="BL79" i="12" s="1"/>
  <c r="AH79" i="12"/>
  <c r="AK79" i="12" s="1"/>
  <c r="U79" i="12"/>
  <c r="V79" i="12" s="1"/>
  <c r="Y79" i="12" s="1"/>
  <c r="BK78" i="12"/>
  <c r="BL78" i="12" s="1"/>
  <c r="AH78" i="12"/>
  <c r="AK78" i="12" s="1"/>
  <c r="U78" i="12"/>
  <c r="V78" i="12" s="1"/>
  <c r="Y78" i="12" s="1"/>
  <c r="BK77" i="12"/>
  <c r="BL77" i="12" s="1"/>
  <c r="AH77" i="12"/>
  <c r="AK77" i="12" s="1"/>
  <c r="U77" i="12"/>
  <c r="V77" i="12" s="1"/>
  <c r="Y77" i="12" s="1"/>
  <c r="BK76" i="12"/>
  <c r="BL76" i="12" s="1"/>
  <c r="AH76" i="12"/>
  <c r="AK76" i="12" s="1"/>
  <c r="U76" i="12"/>
  <c r="V76" i="12" s="1"/>
  <c r="Y76" i="12" s="1"/>
  <c r="BK75" i="12"/>
  <c r="BL75" i="12" s="1"/>
  <c r="AH75" i="12"/>
  <c r="AK75" i="12" s="1"/>
  <c r="U75" i="12"/>
  <c r="V75" i="12" s="1"/>
  <c r="Y75" i="12" s="1"/>
  <c r="M75" i="12"/>
  <c r="BK74" i="12"/>
  <c r="BL74" i="12" s="1"/>
  <c r="AH74" i="12"/>
  <c r="AK74" i="12" s="1"/>
  <c r="U74" i="12"/>
  <c r="V74" i="12" s="1"/>
  <c r="Y74" i="12" s="1"/>
  <c r="M74" i="12"/>
  <c r="BK73" i="12"/>
  <c r="BL73" i="12" s="1"/>
  <c r="AH73" i="12"/>
  <c r="AK73" i="12" s="1"/>
  <c r="U73" i="12"/>
  <c r="V73" i="12" s="1"/>
  <c r="Y73" i="12" s="1"/>
  <c r="M73" i="12"/>
  <c r="BK72" i="12"/>
  <c r="BL72" i="12" s="1"/>
  <c r="AH72" i="12"/>
  <c r="AK72" i="12" s="1"/>
  <c r="U72" i="12"/>
  <c r="V72" i="12" s="1"/>
  <c r="Y72" i="12" s="1"/>
  <c r="M72" i="12"/>
  <c r="BK71" i="12"/>
  <c r="BL71" i="12" s="1"/>
  <c r="AH71" i="12"/>
  <c r="AK71" i="12" s="1"/>
  <c r="U71" i="12"/>
  <c r="V71" i="12" s="1"/>
  <c r="Y71" i="12" s="1"/>
  <c r="M71" i="12"/>
  <c r="BK70" i="12"/>
  <c r="BL70" i="12" s="1"/>
  <c r="AH70" i="12"/>
  <c r="AK70" i="12" s="1"/>
  <c r="U70" i="12"/>
  <c r="V70" i="12" s="1"/>
  <c r="Y70" i="12" s="1"/>
  <c r="M70" i="12"/>
  <c r="BK69" i="12"/>
  <c r="BL69" i="12" s="1"/>
  <c r="AH69" i="12"/>
  <c r="AK69" i="12" s="1"/>
  <c r="U69" i="12"/>
  <c r="V69" i="12" s="1"/>
  <c r="Y69" i="12" s="1"/>
  <c r="M69" i="12"/>
  <c r="BK68" i="12"/>
  <c r="BL68" i="12" s="1"/>
  <c r="AH68" i="12"/>
  <c r="AK68" i="12" s="1"/>
  <c r="U68" i="12"/>
  <c r="V68" i="12" s="1"/>
  <c r="Y68" i="12" s="1"/>
  <c r="M68" i="12"/>
  <c r="BK67" i="12"/>
  <c r="BL67" i="12" s="1"/>
  <c r="AH67" i="12"/>
  <c r="AK67" i="12" s="1"/>
  <c r="U67" i="12"/>
  <c r="V67" i="12" s="1"/>
  <c r="Y67" i="12" s="1"/>
  <c r="BK66" i="12"/>
  <c r="BL66" i="12" s="1"/>
  <c r="AH66" i="12"/>
  <c r="AK66" i="12" s="1"/>
  <c r="U66" i="12"/>
  <c r="V66" i="12" s="1"/>
  <c r="Y66" i="12" s="1"/>
  <c r="BK65" i="12"/>
  <c r="BL65" i="12" s="1"/>
  <c r="AH65" i="12"/>
  <c r="AK65" i="12" s="1"/>
  <c r="U65" i="12"/>
  <c r="V65" i="12" s="1"/>
  <c r="Y65" i="12" s="1"/>
  <c r="BK64" i="12"/>
  <c r="BL64" i="12" s="1"/>
  <c r="AH64" i="12"/>
  <c r="AK64" i="12" s="1"/>
  <c r="U64" i="12"/>
  <c r="V64" i="12" s="1"/>
  <c r="Y64" i="12" s="1"/>
  <c r="BK63" i="12"/>
  <c r="BL63" i="12" s="1"/>
  <c r="AH63" i="12"/>
  <c r="AK63" i="12" s="1"/>
  <c r="U63" i="12"/>
  <c r="V63" i="12" s="1"/>
  <c r="Y63" i="12" s="1"/>
  <c r="BK62" i="12"/>
  <c r="BL62" i="12" s="1"/>
  <c r="AH62" i="12"/>
  <c r="AK62" i="12" s="1"/>
  <c r="U62" i="12"/>
  <c r="V62" i="12" s="1"/>
  <c r="Y62" i="12" s="1"/>
  <c r="BK61" i="12"/>
  <c r="BL61" i="12" s="1"/>
  <c r="AH61" i="12"/>
  <c r="AK61" i="12" s="1"/>
  <c r="U61" i="12"/>
  <c r="V61" i="12" s="1"/>
  <c r="Y61" i="12" s="1"/>
  <c r="BK60" i="12"/>
  <c r="BL60" i="12" s="1"/>
  <c r="AH60" i="12"/>
  <c r="AK60" i="12" s="1"/>
  <c r="U60" i="12"/>
  <c r="V60" i="12" s="1"/>
  <c r="Y60" i="12" s="1"/>
  <c r="BK59" i="12"/>
  <c r="BL59" i="12" s="1"/>
  <c r="AH59" i="12"/>
  <c r="AK59" i="12" s="1"/>
  <c r="U59" i="12"/>
  <c r="V59" i="12" s="1"/>
  <c r="Y59" i="12" s="1"/>
  <c r="BK58" i="12"/>
  <c r="BL58" i="12" s="1"/>
  <c r="AH58" i="12"/>
  <c r="AK58" i="12" s="1"/>
  <c r="U58" i="12"/>
  <c r="V58" i="12" s="1"/>
  <c r="Y58" i="12" s="1"/>
  <c r="BK57" i="12"/>
  <c r="BL57" i="12" s="1"/>
  <c r="AH57" i="12"/>
  <c r="AK57" i="12" s="1"/>
  <c r="U57" i="12"/>
  <c r="V57" i="12" s="1"/>
  <c r="Y57" i="12" s="1"/>
  <c r="BK56" i="12"/>
  <c r="BL56" i="12" s="1"/>
  <c r="AH56" i="12"/>
  <c r="AK56" i="12" s="1"/>
  <c r="U56" i="12"/>
  <c r="V56" i="12" s="1"/>
  <c r="Y56" i="12" s="1"/>
  <c r="BK55" i="12"/>
  <c r="BL55" i="12" s="1"/>
  <c r="AH55" i="12"/>
  <c r="AK55" i="12" s="1"/>
  <c r="U55" i="12"/>
  <c r="V55" i="12" s="1"/>
  <c r="Y55" i="12" s="1"/>
  <c r="BK54" i="12"/>
  <c r="BL54" i="12" s="1"/>
  <c r="AH54" i="12"/>
  <c r="AK54" i="12" s="1"/>
  <c r="U54" i="12"/>
  <c r="V54" i="12" s="1"/>
  <c r="Y54" i="12" s="1"/>
  <c r="BK53" i="12"/>
  <c r="BL53" i="12" s="1"/>
  <c r="AH53" i="12"/>
  <c r="AI53" i="12" s="1"/>
  <c r="U53" i="12"/>
  <c r="V53" i="12" s="1"/>
  <c r="BK52" i="12"/>
  <c r="BL52" i="12" s="1"/>
  <c r="AH52" i="12"/>
  <c r="AK52" i="12" s="1"/>
  <c r="U52" i="12"/>
  <c r="V52" i="12" s="1"/>
  <c r="Y52" i="12" s="1"/>
  <c r="BK51" i="12"/>
  <c r="BL51" i="12" s="1"/>
  <c r="AH51" i="12"/>
  <c r="AK51" i="12" s="1"/>
  <c r="U51" i="12"/>
  <c r="V51" i="12" s="1"/>
  <c r="Y51" i="12" s="1"/>
  <c r="BK50" i="12"/>
  <c r="BL50" i="12" s="1"/>
  <c r="AH50" i="12"/>
  <c r="AK50" i="12" s="1"/>
  <c r="U50" i="12"/>
  <c r="V50" i="12" s="1"/>
  <c r="Y50" i="12" s="1"/>
  <c r="BK49" i="12"/>
  <c r="BL49" i="12" s="1"/>
  <c r="AH49" i="12"/>
  <c r="AK49" i="12" s="1"/>
  <c r="U49" i="12"/>
  <c r="V49" i="12" s="1"/>
  <c r="Y49" i="12" s="1"/>
  <c r="BK48" i="12"/>
  <c r="BL48" i="12" s="1"/>
  <c r="AH48" i="12"/>
  <c r="AK48" i="12" s="1"/>
  <c r="U48" i="12"/>
  <c r="V48" i="12" s="1"/>
  <c r="Y48" i="12" s="1"/>
  <c r="BK47" i="12"/>
  <c r="BL47" i="12" s="1"/>
  <c r="AH47" i="12"/>
  <c r="AK47" i="12" s="1"/>
  <c r="U47" i="12"/>
  <c r="V47" i="12" s="1"/>
  <c r="Y47" i="12" s="1"/>
  <c r="BK46" i="12"/>
  <c r="BL46" i="12" s="1"/>
  <c r="AH46" i="12"/>
  <c r="AK46" i="12" s="1"/>
  <c r="U46" i="12"/>
  <c r="V46" i="12" s="1"/>
  <c r="Y46" i="12" s="1"/>
  <c r="BK45" i="12"/>
  <c r="BL45" i="12" s="1"/>
  <c r="AH45" i="12"/>
  <c r="AK45" i="12" s="1"/>
  <c r="U45" i="12"/>
  <c r="V45" i="12" s="1"/>
  <c r="Y45" i="12" s="1"/>
  <c r="BK44" i="12"/>
  <c r="BL44" i="12" s="1"/>
  <c r="AH44" i="12"/>
  <c r="AK44" i="12" s="1"/>
  <c r="U44" i="12"/>
  <c r="V44" i="12" s="1"/>
  <c r="Y44" i="12" s="1"/>
  <c r="BK43" i="12"/>
  <c r="BL43" i="12" s="1"/>
  <c r="AH43" i="12"/>
  <c r="AK43" i="12" s="1"/>
  <c r="U43" i="12"/>
  <c r="V43" i="12" s="1"/>
  <c r="Y43" i="12" s="1"/>
  <c r="BK42" i="12"/>
  <c r="BL42" i="12" s="1"/>
  <c r="AH42" i="12"/>
  <c r="AK42" i="12" s="1"/>
  <c r="U42" i="12"/>
  <c r="V42" i="12" s="1"/>
  <c r="Y42" i="12" s="1"/>
  <c r="BK41" i="12"/>
  <c r="BL41" i="12" s="1"/>
  <c r="AH41" i="12"/>
  <c r="AK41" i="12" s="1"/>
  <c r="U41" i="12"/>
  <c r="V41" i="12" s="1"/>
  <c r="Y41" i="12" s="1"/>
  <c r="BK40" i="12"/>
  <c r="BL40" i="12" s="1"/>
  <c r="AH40" i="12"/>
  <c r="AK40" i="12" s="1"/>
  <c r="U40" i="12"/>
  <c r="V40" i="12" s="1"/>
  <c r="Y40" i="12" s="1"/>
  <c r="BK38" i="12"/>
  <c r="BL38" i="12" s="1"/>
  <c r="AH38" i="12"/>
  <c r="AK38" i="12" s="1"/>
  <c r="U38" i="12"/>
  <c r="V38" i="12" s="1"/>
  <c r="Y38" i="12" s="1"/>
  <c r="BK37" i="12"/>
  <c r="BL37" i="12" s="1"/>
  <c r="AH37" i="12"/>
  <c r="AK37" i="12" s="1"/>
  <c r="U37" i="12"/>
  <c r="V37" i="12" s="1"/>
  <c r="Y37" i="12" s="1"/>
  <c r="BK36" i="12"/>
  <c r="BL36" i="12" s="1"/>
  <c r="AH36" i="12"/>
  <c r="AK36" i="12" s="1"/>
  <c r="U36" i="12"/>
  <c r="V36" i="12" s="1"/>
  <c r="Y36" i="12" s="1"/>
  <c r="BK35" i="12"/>
  <c r="BL35" i="12" s="1"/>
  <c r="AH35" i="12"/>
  <c r="AK35" i="12" s="1"/>
  <c r="U35" i="12"/>
  <c r="V35" i="12" s="1"/>
  <c r="Y35" i="12" s="1"/>
  <c r="BK34" i="12"/>
  <c r="BL34" i="12" s="1"/>
  <c r="AH34" i="12"/>
  <c r="AK34" i="12" s="1"/>
  <c r="U34" i="12"/>
  <c r="V34" i="12" s="1"/>
  <c r="Y34" i="12" s="1"/>
  <c r="BK33" i="12"/>
  <c r="BL33" i="12" s="1"/>
  <c r="AH33" i="12"/>
  <c r="AK33" i="12" s="1"/>
  <c r="U33" i="12"/>
  <c r="V33" i="12" s="1"/>
  <c r="Y33" i="12" s="1"/>
  <c r="BK32" i="12"/>
  <c r="BL32" i="12" s="1"/>
  <c r="AH32" i="12"/>
  <c r="AK32" i="12" s="1"/>
  <c r="U32" i="12"/>
  <c r="V32" i="12" s="1"/>
  <c r="Y32" i="12" s="1"/>
  <c r="BK31" i="12"/>
  <c r="BL31" i="12" s="1"/>
  <c r="AH31" i="12"/>
  <c r="AK31" i="12" s="1"/>
  <c r="U31" i="12"/>
  <c r="V31" i="12" s="1"/>
  <c r="Y31" i="12" s="1"/>
  <c r="BK30" i="12"/>
  <c r="BL30" i="12" s="1"/>
  <c r="AH30" i="12"/>
  <c r="AK30" i="12" s="1"/>
  <c r="U30" i="12"/>
  <c r="V30" i="12" s="1"/>
  <c r="Y30" i="12" s="1"/>
  <c r="BK29" i="12"/>
  <c r="BL29" i="12" s="1"/>
  <c r="AH29" i="12"/>
  <c r="AK29" i="12" s="1"/>
  <c r="U29" i="12"/>
  <c r="V29" i="12" s="1"/>
  <c r="Y29" i="12" s="1"/>
  <c r="BK28" i="12"/>
  <c r="BL28" i="12" s="1"/>
  <c r="AH28" i="12"/>
  <c r="AK28" i="12" s="1"/>
  <c r="U28" i="12"/>
  <c r="V28" i="12" s="1"/>
  <c r="Y28" i="12" s="1"/>
  <c r="BK27" i="12"/>
  <c r="BL27" i="12" s="1"/>
  <c r="AH27" i="12"/>
  <c r="AK27" i="12" s="1"/>
  <c r="U27" i="12"/>
  <c r="V27" i="12" s="1"/>
  <c r="Y27" i="12" s="1"/>
  <c r="BK26" i="12"/>
  <c r="BL26" i="12" s="1"/>
  <c r="AH26" i="12"/>
  <c r="AK26" i="12" s="1"/>
  <c r="U26" i="12"/>
  <c r="V26" i="12" s="1"/>
  <c r="Y26" i="12" s="1"/>
  <c r="BK25" i="12"/>
  <c r="BL25" i="12" s="1"/>
  <c r="AH25" i="12"/>
  <c r="AK25" i="12" s="1"/>
  <c r="U25" i="12"/>
  <c r="V25" i="12" s="1"/>
  <c r="Y25" i="12" s="1"/>
  <c r="BK24" i="12"/>
  <c r="BL24" i="12" s="1"/>
  <c r="AH24" i="12"/>
  <c r="AK24" i="12" s="1"/>
  <c r="U24" i="12"/>
  <c r="V24" i="12" s="1"/>
  <c r="Y24" i="12" s="1"/>
  <c r="BK23" i="12"/>
  <c r="BL23" i="12" s="1"/>
  <c r="AH23" i="12"/>
  <c r="AK23" i="12" s="1"/>
  <c r="U23" i="12"/>
  <c r="V23" i="12" s="1"/>
  <c r="Y23" i="12" s="1"/>
  <c r="BK22" i="12"/>
  <c r="BL22" i="12" s="1"/>
  <c r="AH22" i="12"/>
  <c r="AK22" i="12" s="1"/>
  <c r="U22" i="12"/>
  <c r="V22" i="12" s="1"/>
  <c r="Y22" i="12" s="1"/>
  <c r="BK21" i="12"/>
  <c r="BL21" i="12" s="1"/>
  <c r="AH21" i="12"/>
  <c r="AK21" i="12" s="1"/>
  <c r="U21" i="12"/>
  <c r="V21" i="12" s="1"/>
  <c r="Y21" i="12" s="1"/>
  <c r="BK20" i="12"/>
  <c r="BL20" i="12" s="1"/>
  <c r="AH20" i="12"/>
  <c r="AK20" i="12" s="1"/>
  <c r="AC20" i="12"/>
  <c r="U20" i="12"/>
  <c r="V20" i="12" s="1"/>
  <c r="Y20" i="12" s="1"/>
  <c r="BK19" i="12"/>
  <c r="BL19" i="12" s="1"/>
  <c r="AH19" i="12"/>
  <c r="AK19" i="12" s="1"/>
  <c r="AC19" i="12"/>
  <c r="U19" i="12"/>
  <c r="V19" i="12" s="1"/>
  <c r="Y19" i="12" s="1"/>
  <c r="BK18" i="12"/>
  <c r="BL18" i="12" s="1"/>
  <c r="AH18" i="12"/>
  <c r="AK18" i="12" s="1"/>
  <c r="AC18" i="12"/>
  <c r="U18" i="12"/>
  <c r="V18" i="12" s="1"/>
  <c r="Y18" i="12" s="1"/>
  <c r="BK17" i="12"/>
  <c r="BL17" i="12" s="1"/>
  <c r="AH17" i="12"/>
  <c r="AK17" i="12" s="1"/>
  <c r="AC17" i="12"/>
  <c r="U17" i="12"/>
  <c r="V17" i="12" s="1"/>
  <c r="Y17" i="12" s="1"/>
  <c r="B5" i="12"/>
  <c r="B6" i="12" s="1"/>
  <c r="BK55" i="11"/>
  <c r="BL55" i="11" s="1"/>
  <c r="BK54" i="11"/>
  <c r="BL54" i="11" s="1"/>
  <c r="BK53" i="11"/>
  <c r="BL53" i="11" s="1"/>
  <c r="BK52" i="11"/>
  <c r="BL52" i="11" s="1"/>
  <c r="BK51" i="11"/>
  <c r="BL51" i="11" s="1"/>
  <c r="BK50" i="11"/>
  <c r="BL50" i="11" s="1"/>
  <c r="BK49" i="11"/>
  <c r="BL49" i="11" s="1"/>
  <c r="BK48" i="11"/>
  <c r="BL48" i="11" s="1"/>
  <c r="BK47" i="11"/>
  <c r="BL47" i="11" s="1"/>
  <c r="BK46" i="11"/>
  <c r="BL46" i="11" s="1"/>
  <c r="BK45" i="11"/>
  <c r="BL45" i="11" s="1"/>
  <c r="BK44" i="11"/>
  <c r="BL44" i="11" s="1"/>
  <c r="BK43" i="11"/>
  <c r="BL43" i="11" s="1"/>
  <c r="BK42" i="11"/>
  <c r="BL42" i="11" s="1"/>
  <c r="BK41" i="11"/>
  <c r="BL41" i="11" s="1"/>
  <c r="BK40" i="11"/>
  <c r="BL40" i="11" s="1"/>
  <c r="BK39" i="11"/>
  <c r="BL39" i="11" s="1"/>
  <c r="BK38" i="11"/>
  <c r="BL38" i="11" s="1"/>
  <c r="BK37" i="11"/>
  <c r="BL37" i="11" s="1"/>
  <c r="BK36" i="11"/>
  <c r="BL36" i="11" s="1"/>
  <c r="BK35" i="11"/>
  <c r="BL35" i="11" s="1"/>
  <c r="BK34" i="11"/>
  <c r="BL34" i="11" s="1"/>
  <c r="BK33" i="11"/>
  <c r="BL33" i="11" s="1"/>
  <c r="BK32" i="11"/>
  <c r="BL32" i="11" s="1"/>
  <c r="BK31" i="11"/>
  <c r="BL31" i="11" s="1"/>
  <c r="BK30" i="11"/>
  <c r="BL30" i="11" s="1"/>
  <c r="BK29" i="11"/>
  <c r="BL29" i="11" s="1"/>
  <c r="BK28" i="11"/>
  <c r="BL28" i="11" s="1"/>
  <c r="BK27" i="11"/>
  <c r="BL27" i="11" s="1"/>
  <c r="BK26" i="11"/>
  <c r="BL26" i="11" s="1"/>
  <c r="BK25" i="11"/>
  <c r="BL25" i="11" s="1"/>
  <c r="BK24" i="11"/>
  <c r="BL24" i="11" s="1"/>
  <c r="BK23" i="11"/>
  <c r="BL23" i="11" s="1"/>
  <c r="BK22" i="11"/>
  <c r="BL22" i="11" s="1"/>
  <c r="BK21" i="11"/>
  <c r="BL21" i="11" s="1"/>
  <c r="BK20" i="11"/>
  <c r="BL20" i="11" s="1"/>
  <c r="BK19" i="11"/>
  <c r="BL19" i="11" s="1"/>
  <c r="BK18" i="11"/>
  <c r="BL18" i="11" s="1"/>
  <c r="BK17" i="11"/>
  <c r="BL17" i="11" s="1"/>
  <c r="BK18" i="10"/>
  <c r="BL18" i="10" s="1"/>
  <c r="AH18" i="10"/>
  <c r="AK18" i="10" s="1"/>
  <c r="V18" i="10"/>
  <c r="W18" i="10" s="1"/>
  <c r="Z18" i="10" s="1"/>
  <c r="P18" i="10"/>
  <c r="BK17" i="10"/>
  <c r="BL17" i="10" s="1"/>
  <c r="AH17" i="10"/>
  <c r="AK17" i="10" s="1"/>
  <c r="V17" i="10"/>
  <c r="W17" i="10" s="1"/>
  <c r="Z17" i="10" s="1"/>
  <c r="P17" i="10"/>
  <c r="BL76" i="9"/>
  <c r="BM76" i="9" s="1"/>
  <c r="AI76" i="9"/>
  <c r="AJ76" i="9" s="1"/>
  <c r="AM76" i="9" s="1"/>
  <c r="W76" i="9"/>
  <c r="X76" i="9" s="1"/>
  <c r="AA76" i="9" s="1"/>
  <c r="BL75" i="9"/>
  <c r="BM75" i="9" s="1"/>
  <c r="AI75" i="9"/>
  <c r="AJ75" i="9" s="1"/>
  <c r="AM75" i="9" s="1"/>
  <c r="W75" i="9"/>
  <c r="X75" i="9" s="1"/>
  <c r="AA75" i="9" s="1"/>
  <c r="BL74" i="9"/>
  <c r="BM74" i="9" s="1"/>
  <c r="AI74" i="9"/>
  <c r="AJ74" i="9" s="1"/>
  <c r="AM74" i="9" s="1"/>
  <c r="W74" i="9"/>
  <c r="X74" i="9" s="1"/>
  <c r="AA74" i="9" s="1"/>
  <c r="BL73" i="9"/>
  <c r="BM73" i="9" s="1"/>
  <c r="AI73" i="9"/>
  <c r="AJ73" i="9" s="1"/>
  <c r="AM73" i="9" s="1"/>
  <c r="W73" i="9"/>
  <c r="X73" i="9" s="1"/>
  <c r="AA73" i="9" s="1"/>
  <c r="BL72" i="9"/>
  <c r="BM72" i="9" s="1"/>
  <c r="AJ72" i="9"/>
  <c r="AM72" i="9" s="1"/>
  <c r="W72" i="9"/>
  <c r="X72" i="9" s="1"/>
  <c r="AA72" i="9" s="1"/>
  <c r="BL71" i="9"/>
  <c r="BM71" i="9" s="1"/>
  <c r="AJ71" i="9"/>
  <c r="AM71" i="9" s="1"/>
  <c r="W71" i="9"/>
  <c r="X71" i="9" s="1"/>
  <c r="AA71" i="9" s="1"/>
  <c r="BL70" i="9"/>
  <c r="BM70" i="9" s="1"/>
  <c r="AJ70" i="9"/>
  <c r="AM70" i="9" s="1"/>
  <c r="W70" i="9"/>
  <c r="X70" i="9" s="1"/>
  <c r="AA70" i="9" s="1"/>
  <c r="BL69" i="9"/>
  <c r="BM69" i="9" s="1"/>
  <c r="AJ69" i="9"/>
  <c r="AM69" i="9" s="1"/>
  <c r="W69" i="9"/>
  <c r="X69" i="9" s="1"/>
  <c r="AA69" i="9" s="1"/>
  <c r="BL68" i="9"/>
  <c r="BM68" i="9" s="1"/>
  <c r="AJ68" i="9"/>
  <c r="AM68" i="9" s="1"/>
  <c r="W68" i="9"/>
  <c r="X68" i="9" s="1"/>
  <c r="AA68" i="9" s="1"/>
  <c r="BL67" i="9"/>
  <c r="BM67" i="9" s="1"/>
  <c r="AJ67" i="9"/>
  <c r="AM67" i="9" s="1"/>
  <c r="W67" i="9"/>
  <c r="X67" i="9" s="1"/>
  <c r="AA67" i="9" s="1"/>
  <c r="BL66" i="9"/>
  <c r="BM66" i="9" s="1"/>
  <c r="AJ66" i="9"/>
  <c r="AM66" i="9" s="1"/>
  <c r="W66" i="9"/>
  <c r="X66" i="9" s="1"/>
  <c r="AA66" i="9" s="1"/>
  <c r="BL65" i="9"/>
  <c r="BM65" i="9" s="1"/>
  <c r="AJ65" i="9"/>
  <c r="AM65" i="9" s="1"/>
  <c r="W65" i="9"/>
  <c r="X65" i="9" s="1"/>
  <c r="AA65" i="9" s="1"/>
  <c r="BL64" i="9"/>
  <c r="BM64" i="9" s="1"/>
  <c r="AJ64" i="9"/>
  <c r="AM64" i="9" s="1"/>
  <c r="W64" i="9"/>
  <c r="X64" i="9" s="1"/>
  <c r="AA64" i="9" s="1"/>
  <c r="BL63" i="9"/>
  <c r="BM63" i="9" s="1"/>
  <c r="AI63" i="9"/>
  <c r="AJ63" i="9" s="1"/>
  <c r="AM63" i="9" s="1"/>
  <c r="W63" i="9"/>
  <c r="X63" i="9" s="1"/>
  <c r="AA63" i="9" s="1"/>
  <c r="BL62" i="9"/>
  <c r="BM62" i="9" s="1"/>
  <c r="AI62" i="9"/>
  <c r="AJ62" i="9" s="1"/>
  <c r="AM62" i="9" s="1"/>
  <c r="W62" i="9"/>
  <c r="X62" i="9" s="1"/>
  <c r="AA62" i="9" s="1"/>
  <c r="BL61" i="9"/>
  <c r="BM61" i="9" s="1"/>
  <c r="AI61" i="9"/>
  <c r="AJ61" i="9" s="1"/>
  <c r="AM61" i="9" s="1"/>
  <c r="W61" i="9"/>
  <c r="X61" i="9" s="1"/>
  <c r="AA61" i="9" s="1"/>
  <c r="BL60" i="9"/>
  <c r="BM60" i="9" s="1"/>
  <c r="AI60" i="9"/>
  <c r="AJ60" i="9" s="1"/>
  <c r="AM60" i="9" s="1"/>
  <c r="W60" i="9"/>
  <c r="X60" i="9" s="1"/>
  <c r="AA60" i="9" s="1"/>
  <c r="BL59" i="9"/>
  <c r="BM59" i="9" s="1"/>
  <c r="AI59" i="9"/>
  <c r="AJ59" i="9" s="1"/>
  <c r="AM59" i="9" s="1"/>
  <c r="W59" i="9"/>
  <c r="X59" i="9" s="1"/>
  <c r="AA59" i="9" s="1"/>
  <c r="BL58" i="9"/>
  <c r="BM58" i="9" s="1"/>
  <c r="AJ58" i="9"/>
  <c r="AM58" i="9" s="1"/>
  <c r="W58" i="9"/>
  <c r="X58" i="9" s="1"/>
  <c r="AA58" i="9" s="1"/>
  <c r="BL57" i="9"/>
  <c r="BM57" i="9" s="1"/>
  <c r="AJ57" i="9"/>
  <c r="AM57" i="9" s="1"/>
  <c r="W57" i="9"/>
  <c r="X57" i="9" s="1"/>
  <c r="AA57" i="9" s="1"/>
  <c r="BL56" i="9"/>
  <c r="BM56" i="9" s="1"/>
  <c r="AJ56" i="9"/>
  <c r="AM56" i="9" s="1"/>
  <c r="W56" i="9"/>
  <c r="X56" i="9" s="1"/>
  <c r="AA56" i="9" s="1"/>
  <c r="BL55" i="9"/>
  <c r="BM55" i="9" s="1"/>
  <c r="AJ55" i="9"/>
  <c r="AM55" i="9" s="1"/>
  <c r="W55" i="9"/>
  <c r="X55" i="9" s="1"/>
  <c r="AA55" i="9" s="1"/>
  <c r="BL54" i="9"/>
  <c r="BM54" i="9" s="1"/>
  <c r="AJ54" i="9"/>
  <c r="AM54" i="9" s="1"/>
  <c r="W54" i="9"/>
  <c r="X54" i="9" s="1"/>
  <c r="AA54" i="9" s="1"/>
  <c r="BL53" i="9"/>
  <c r="BM53" i="9" s="1"/>
  <c r="AJ53" i="9"/>
  <c r="AM53" i="9" s="1"/>
  <c r="W53" i="9"/>
  <c r="X53" i="9" s="1"/>
  <c r="AA53" i="9" s="1"/>
  <c r="BL52" i="9"/>
  <c r="BM52" i="9" s="1"/>
  <c r="AJ52" i="9"/>
  <c r="AM52" i="9" s="1"/>
  <c r="W52" i="9"/>
  <c r="X52" i="9" s="1"/>
  <c r="AA52" i="9" s="1"/>
  <c r="BL51" i="9"/>
  <c r="BM51" i="9" s="1"/>
  <c r="AJ51" i="9"/>
  <c r="AM51" i="9" s="1"/>
  <c r="W51" i="9"/>
  <c r="X51" i="9" s="1"/>
  <c r="AA51" i="9" s="1"/>
  <c r="BL50" i="9"/>
  <c r="BM50" i="9" s="1"/>
  <c r="AJ50" i="9"/>
  <c r="AM50" i="9" s="1"/>
  <c r="W50" i="9"/>
  <c r="X50" i="9" s="1"/>
  <c r="AA50" i="9" s="1"/>
  <c r="BL49" i="9"/>
  <c r="BM49" i="9" s="1"/>
  <c r="AI49" i="9"/>
  <c r="AJ49" i="9" s="1"/>
  <c r="AM49" i="9" s="1"/>
  <c r="W49" i="9"/>
  <c r="X49" i="9" s="1"/>
  <c r="AA49" i="9" s="1"/>
  <c r="BL48" i="9"/>
  <c r="BM48" i="9" s="1"/>
  <c r="AJ48" i="9"/>
  <c r="AM48" i="9" s="1"/>
  <c r="W48" i="9"/>
  <c r="X48" i="9" s="1"/>
  <c r="AA48" i="9" s="1"/>
  <c r="BL47" i="9"/>
  <c r="BM47" i="9" s="1"/>
  <c r="AJ47" i="9"/>
  <c r="AM47" i="9" s="1"/>
  <c r="W47" i="9"/>
  <c r="X47" i="9" s="1"/>
  <c r="AA47" i="9" s="1"/>
  <c r="BL46" i="9"/>
  <c r="BM46" i="9" s="1"/>
  <c r="AJ46" i="9"/>
  <c r="AM46" i="9" s="1"/>
  <c r="W46" i="9"/>
  <c r="X46" i="9" s="1"/>
  <c r="AA46" i="9" s="1"/>
  <c r="BL45" i="9"/>
  <c r="BM45" i="9" s="1"/>
  <c r="AJ45" i="9"/>
  <c r="AM45" i="9" s="1"/>
  <c r="W45" i="9"/>
  <c r="X45" i="9" s="1"/>
  <c r="AA45" i="9" s="1"/>
  <c r="BL44" i="9"/>
  <c r="BM44" i="9" s="1"/>
  <c r="AJ44" i="9"/>
  <c r="AM44" i="9" s="1"/>
  <c r="W44" i="9"/>
  <c r="X44" i="9" s="1"/>
  <c r="AA44" i="9" s="1"/>
  <c r="BL43" i="9"/>
  <c r="BM43" i="9" s="1"/>
  <c r="AJ43" i="9"/>
  <c r="AM43" i="9" s="1"/>
  <c r="W43" i="9"/>
  <c r="X43" i="9" s="1"/>
  <c r="AA43" i="9" s="1"/>
  <c r="BL42" i="9"/>
  <c r="BM42" i="9" s="1"/>
  <c r="AJ42" i="9"/>
  <c r="AM42" i="9" s="1"/>
  <c r="W42" i="9"/>
  <c r="X42" i="9" s="1"/>
  <c r="AA42" i="9" s="1"/>
  <c r="BL41" i="9"/>
  <c r="BM41" i="9" s="1"/>
  <c r="AJ41" i="9"/>
  <c r="AM41" i="9" s="1"/>
  <c r="W41" i="9"/>
  <c r="X41" i="9" s="1"/>
  <c r="AA41" i="9" s="1"/>
  <c r="BL40" i="9"/>
  <c r="BM40" i="9" s="1"/>
  <c r="AJ40" i="9"/>
  <c r="AM40" i="9" s="1"/>
  <c r="W40" i="9"/>
  <c r="X40" i="9" s="1"/>
  <c r="AA40" i="9" s="1"/>
  <c r="BL39" i="9"/>
  <c r="BM39" i="9" s="1"/>
  <c r="AJ39" i="9"/>
  <c r="AM39" i="9" s="1"/>
  <c r="W39" i="9"/>
  <c r="X39" i="9" s="1"/>
  <c r="AA39" i="9" s="1"/>
  <c r="BL38" i="9"/>
  <c r="BM38" i="9" s="1"/>
  <c r="AJ38" i="9"/>
  <c r="AM38" i="9" s="1"/>
  <c r="BL37" i="9"/>
  <c r="BM37" i="9" s="1"/>
  <c r="AJ37" i="9"/>
  <c r="AK37" i="9" s="1"/>
  <c r="S37" i="9"/>
  <c r="BL36" i="9"/>
  <c r="BM36" i="9" s="1"/>
  <c r="AJ36" i="9"/>
  <c r="AM36" i="9" s="1"/>
  <c r="W36" i="9"/>
  <c r="X36" i="9" s="1"/>
  <c r="AA36" i="9" s="1"/>
  <c r="BL35" i="9"/>
  <c r="BM35" i="9" s="1"/>
  <c r="AJ35" i="9"/>
  <c r="AM35" i="9" s="1"/>
  <c r="W35" i="9"/>
  <c r="X35" i="9" s="1"/>
  <c r="AA35" i="9" s="1"/>
  <c r="BL34" i="9"/>
  <c r="BM34" i="9" s="1"/>
  <c r="AJ34" i="9"/>
  <c r="AM34" i="9" s="1"/>
  <c r="W34" i="9"/>
  <c r="X34" i="9" s="1"/>
  <c r="AA34" i="9" s="1"/>
  <c r="BL33" i="9"/>
  <c r="BM33" i="9" s="1"/>
  <c r="AJ33" i="9"/>
  <c r="AM33" i="9" s="1"/>
  <c r="W33" i="9"/>
  <c r="X33" i="9" s="1"/>
  <c r="AA33" i="9" s="1"/>
  <c r="BL32" i="9"/>
  <c r="BM32" i="9" s="1"/>
  <c r="AJ32" i="9"/>
  <c r="AM32" i="9" s="1"/>
  <c r="BL31" i="9"/>
  <c r="BM31" i="9" s="1"/>
  <c r="AJ31" i="9"/>
  <c r="AM31" i="9" s="1"/>
  <c r="W31" i="9"/>
  <c r="X31" i="9" s="1"/>
  <c r="AA31" i="9" s="1"/>
  <c r="BL30" i="9"/>
  <c r="BM30" i="9" s="1"/>
  <c r="AJ30" i="9"/>
  <c r="AM30" i="9" s="1"/>
  <c r="W30" i="9"/>
  <c r="X30" i="9" s="1"/>
  <c r="AA30" i="9" s="1"/>
  <c r="BL29" i="9"/>
  <c r="BM29" i="9" s="1"/>
  <c r="AJ29" i="9"/>
  <c r="AM29" i="9" s="1"/>
  <c r="W29" i="9"/>
  <c r="X29" i="9" s="1"/>
  <c r="AA29" i="9" s="1"/>
  <c r="BL28" i="9"/>
  <c r="BM28" i="9" s="1"/>
  <c r="AJ28" i="9"/>
  <c r="AM28" i="9" s="1"/>
  <c r="W28" i="9"/>
  <c r="X28" i="9" s="1"/>
  <c r="AA28" i="9" s="1"/>
  <c r="BL27" i="9"/>
  <c r="BM27" i="9" s="1"/>
  <c r="AJ27" i="9"/>
  <c r="AM27" i="9" s="1"/>
  <c r="W27" i="9"/>
  <c r="X27" i="9" s="1"/>
  <c r="AA27" i="9" s="1"/>
  <c r="BL26" i="9"/>
  <c r="BM26" i="9" s="1"/>
  <c r="AJ26" i="9"/>
  <c r="AM26" i="9" s="1"/>
  <c r="W26" i="9"/>
  <c r="X26" i="9" s="1"/>
  <c r="AA26" i="9" s="1"/>
  <c r="S26" i="9"/>
  <c r="BL25" i="9"/>
  <c r="BM25" i="9" s="1"/>
  <c r="AJ25" i="9"/>
  <c r="AM25" i="9" s="1"/>
  <c r="W25" i="9"/>
  <c r="X25" i="9" s="1"/>
  <c r="AA25" i="9" s="1"/>
  <c r="S25" i="9"/>
  <c r="BL24" i="9"/>
  <c r="BM24" i="9" s="1"/>
  <c r="AJ24" i="9"/>
  <c r="AM24" i="9" s="1"/>
  <c r="W24" i="9"/>
  <c r="X24" i="9" s="1"/>
  <c r="AA24" i="9" s="1"/>
  <c r="S24" i="9"/>
  <c r="BL23" i="9"/>
  <c r="BM23" i="9" s="1"/>
  <c r="AJ23" i="9"/>
  <c r="AM23" i="9" s="1"/>
  <c r="W23" i="9"/>
  <c r="X23" i="9" s="1"/>
  <c r="AA23" i="9" s="1"/>
  <c r="S23" i="9"/>
  <c r="BL22" i="9"/>
  <c r="BM22" i="9" s="1"/>
  <c r="AJ22" i="9"/>
  <c r="AM22" i="9" s="1"/>
  <c r="W22" i="9"/>
  <c r="X22" i="9" s="1"/>
  <c r="AA22" i="9" s="1"/>
  <c r="N22" i="9"/>
  <c r="S22" i="9" s="1"/>
  <c r="BL21" i="9"/>
  <c r="BM21" i="9" s="1"/>
  <c r="AJ21" i="9"/>
  <c r="AM21" i="9" s="1"/>
  <c r="W21" i="9"/>
  <c r="X21" i="9" s="1"/>
  <c r="AA21" i="9" s="1"/>
  <c r="N21" i="9"/>
  <c r="P21" i="9" s="1"/>
  <c r="BL20" i="9"/>
  <c r="BM20" i="9" s="1"/>
  <c r="AJ20" i="9"/>
  <c r="AM20" i="9" s="1"/>
  <c r="W20" i="9"/>
  <c r="X20" i="9" s="1"/>
  <c r="AA20" i="9" s="1"/>
  <c r="N20" i="9"/>
  <c r="S20" i="9" s="1"/>
  <c r="BL19" i="9"/>
  <c r="BM19" i="9" s="1"/>
  <c r="AJ19" i="9"/>
  <c r="AM19" i="9" s="1"/>
  <c r="W19" i="9"/>
  <c r="X19" i="9" s="1"/>
  <c r="AA19" i="9" s="1"/>
  <c r="N19" i="9"/>
  <c r="R19" i="9" s="1"/>
  <c r="BL18" i="9"/>
  <c r="BM18" i="9" s="1"/>
  <c r="AJ18" i="9"/>
  <c r="AM18" i="9" s="1"/>
  <c r="W18" i="9"/>
  <c r="X18" i="9" s="1"/>
  <c r="AA18" i="9" s="1"/>
  <c r="N18" i="9"/>
  <c r="S18" i="9" s="1"/>
  <c r="BL17" i="9"/>
  <c r="BM17" i="9" s="1"/>
  <c r="AJ17" i="9"/>
  <c r="AM17" i="9" s="1"/>
  <c r="W17" i="9"/>
  <c r="X17" i="9" s="1"/>
  <c r="AA17" i="9" s="1"/>
  <c r="S17" i="9"/>
  <c r="C5" i="9"/>
  <c r="C6" i="9" s="1"/>
  <c r="C7" i="9" s="1"/>
  <c r="C8" i="9" s="1"/>
  <c r="B5" i="9"/>
  <c r="B6" i="9" s="1"/>
  <c r="B7" i="9" s="1"/>
  <c r="B8" i="9" s="1"/>
  <c r="BK21" i="8"/>
  <c r="BL21" i="8" s="1"/>
  <c r="AM21" i="8"/>
  <c r="AN21" i="8" s="1"/>
  <c r="AQ21" i="8" s="1"/>
  <c r="AJ21" i="8"/>
  <c r="AC21" i="8"/>
  <c r="AF21" i="8" s="1"/>
  <c r="AB21" i="8"/>
  <c r="M21" i="8"/>
  <c r="BK20" i="8"/>
  <c r="BL20" i="8" s="1"/>
  <c r="AM20" i="8"/>
  <c r="AN20" i="8" s="1"/>
  <c r="AQ20" i="8" s="1"/>
  <c r="AJ20" i="8"/>
  <c r="AC20" i="8"/>
  <c r="AF20" i="8" s="1"/>
  <c r="AB20" i="8"/>
  <c r="M20" i="8"/>
  <c r="BK19" i="8"/>
  <c r="BL19" i="8" s="1"/>
  <c r="AM19" i="8"/>
  <c r="AN19" i="8" s="1"/>
  <c r="AQ19" i="8" s="1"/>
  <c r="AJ19" i="8"/>
  <c r="AC19" i="8"/>
  <c r="AF19" i="8" s="1"/>
  <c r="AB19" i="8"/>
  <c r="O19" i="8"/>
  <c r="T19" i="8" s="1"/>
  <c r="M19" i="8"/>
  <c r="BK18" i="8"/>
  <c r="BL18" i="8" s="1"/>
  <c r="AM18" i="8"/>
  <c r="AN18" i="8" s="1"/>
  <c r="AQ18" i="8" s="1"/>
  <c r="AJ18" i="8"/>
  <c r="AC18" i="8"/>
  <c r="AF18" i="8" s="1"/>
  <c r="AB18" i="8"/>
  <c r="S18" i="8"/>
  <c r="M18" i="8"/>
  <c r="BK17" i="8"/>
  <c r="BL17" i="8" s="1"/>
  <c r="AN17" i="8"/>
  <c r="AQ17" i="8" s="1"/>
  <c r="AJ17" i="8"/>
  <c r="AC17" i="8"/>
  <c r="AF17" i="8" s="1"/>
  <c r="AB17" i="8"/>
  <c r="S17" i="8"/>
  <c r="M17" i="8"/>
  <c r="BK22" i="6"/>
  <c r="BL22" i="6" s="1"/>
  <c r="AS22" i="6"/>
  <c r="AV22" i="6" s="1"/>
  <c r="AG22" i="6"/>
  <c r="AH22" i="6" s="1"/>
  <c r="X22" i="6"/>
  <c r="Y22" i="6" s="1"/>
  <c r="BK21" i="6"/>
  <c r="BL21" i="6" s="1"/>
  <c r="AS21" i="6"/>
  <c r="AV21" i="6" s="1"/>
  <c r="AG21" i="6"/>
  <c r="AH21" i="6" s="1"/>
  <c r="AK21" i="6" s="1"/>
  <c r="BK20" i="6"/>
  <c r="BL20" i="6" s="1"/>
  <c r="AS20" i="6"/>
  <c r="AV20" i="6" s="1"/>
  <c r="AH20" i="6"/>
  <c r="AK20" i="6" s="1"/>
  <c r="AG20" i="6"/>
  <c r="BK19" i="6"/>
  <c r="BL19" i="6" s="1"/>
  <c r="AS19" i="6"/>
  <c r="AV19" i="6" s="1"/>
  <c r="AG19" i="6"/>
  <c r="AH19" i="6" s="1"/>
  <c r="AK19" i="6" s="1"/>
  <c r="BK18" i="6"/>
  <c r="BL18" i="6" s="1"/>
  <c r="AS18" i="6"/>
  <c r="AV18" i="6" s="1"/>
  <c r="AG18" i="6"/>
  <c r="AH18" i="6" s="1"/>
  <c r="AK18" i="6" s="1"/>
  <c r="BK17" i="6"/>
  <c r="BL17" i="6" s="1"/>
  <c r="AS17" i="6"/>
  <c r="AV17" i="6" s="1"/>
  <c r="AG17" i="6"/>
  <c r="AH17" i="6" s="1"/>
  <c r="BK72" i="5"/>
  <c r="BL72" i="5" s="1"/>
  <c r="AR72" i="5"/>
  <c r="AS72" i="5" s="1"/>
  <c r="AT72" i="5" s="1"/>
  <c r="AN72" i="5"/>
  <c r="AF72" i="5"/>
  <c r="AG72" i="5" s="1"/>
  <c r="W72" i="5"/>
  <c r="X72" i="5" s="1"/>
  <c r="BK71" i="5"/>
  <c r="BL71" i="5" s="1"/>
  <c r="AR71" i="5"/>
  <c r="AS71" i="5" s="1"/>
  <c r="AT71" i="5" s="1"/>
  <c r="AN71" i="5"/>
  <c r="AF71" i="5"/>
  <c r="AG71" i="5" s="1"/>
  <c r="Z71" i="5" s="1"/>
  <c r="W71" i="5"/>
  <c r="X71" i="5" s="1"/>
  <c r="BK70" i="5"/>
  <c r="BL70" i="5" s="1"/>
  <c r="AR70" i="5"/>
  <c r="AS70" i="5" s="1"/>
  <c r="AN70" i="5"/>
  <c r="AF70" i="5"/>
  <c r="AG70" i="5" s="1"/>
  <c r="AJ70" i="5" s="1"/>
  <c r="W70" i="5"/>
  <c r="X70" i="5" s="1"/>
  <c r="BK69" i="5"/>
  <c r="BL69" i="5" s="1"/>
  <c r="AR69" i="5"/>
  <c r="AS69" i="5" s="1"/>
  <c r="AT69" i="5" s="1"/>
  <c r="AN69" i="5"/>
  <c r="AF69" i="5"/>
  <c r="AG69" i="5" s="1"/>
  <c r="W69" i="5"/>
  <c r="X69" i="5" s="1"/>
  <c r="BK68" i="5"/>
  <c r="BL68" i="5" s="1"/>
  <c r="AR68" i="5"/>
  <c r="AS68" i="5" s="1"/>
  <c r="AT68" i="5" s="1"/>
  <c r="AN68" i="5"/>
  <c r="AF68" i="5"/>
  <c r="AG68" i="5" s="1"/>
  <c r="W68" i="5"/>
  <c r="X68" i="5" s="1"/>
  <c r="BK67" i="5"/>
  <c r="BL67" i="5" s="1"/>
  <c r="AR67" i="5"/>
  <c r="AS67" i="5" s="1"/>
  <c r="AT67" i="5" s="1"/>
  <c r="AN67" i="5"/>
  <c r="AF67" i="5"/>
  <c r="AG67" i="5" s="1"/>
  <c r="W67" i="5"/>
  <c r="X67" i="5" s="1"/>
  <c r="BK66" i="5"/>
  <c r="BL66" i="5" s="1"/>
  <c r="AR66" i="5"/>
  <c r="AS66" i="5" s="1"/>
  <c r="AN66" i="5"/>
  <c r="AF66" i="5"/>
  <c r="AG66" i="5" s="1"/>
  <c r="AI66" i="5" s="1"/>
  <c r="W66" i="5"/>
  <c r="X66" i="5" s="1"/>
  <c r="BK65" i="5"/>
  <c r="BL65" i="5" s="1"/>
  <c r="AR65" i="5"/>
  <c r="AS65" i="5" s="1"/>
  <c r="AT65" i="5" s="1"/>
  <c r="AN65" i="5"/>
  <c r="AF65" i="5"/>
  <c r="AG65" i="5" s="1"/>
  <c r="W65" i="5"/>
  <c r="X65" i="5" s="1"/>
  <c r="BK64" i="5"/>
  <c r="BL64" i="5" s="1"/>
  <c r="AR64" i="5"/>
  <c r="AS64" i="5" s="1"/>
  <c r="AT64" i="5" s="1"/>
  <c r="AN64" i="5"/>
  <c r="AF64" i="5"/>
  <c r="AG64" i="5" s="1"/>
  <c r="W64" i="5"/>
  <c r="X64" i="5" s="1"/>
  <c r="BK63" i="5"/>
  <c r="BL63" i="5" s="1"/>
  <c r="AR63" i="5"/>
  <c r="AS63" i="5" s="1"/>
  <c r="AT63" i="5" s="1"/>
  <c r="AN63" i="5"/>
  <c r="AF63" i="5"/>
  <c r="AG63" i="5" s="1"/>
  <c r="W63" i="5"/>
  <c r="X63" i="5" s="1"/>
  <c r="BK62" i="5"/>
  <c r="BL62" i="5" s="1"/>
  <c r="AR62" i="5"/>
  <c r="AS62" i="5" s="1"/>
  <c r="AN62" i="5"/>
  <c r="AF62" i="5"/>
  <c r="AG62" i="5" s="1"/>
  <c r="AJ62" i="5" s="1"/>
  <c r="W62" i="5"/>
  <c r="X62" i="5" s="1"/>
  <c r="BK61" i="5"/>
  <c r="BL61" i="5" s="1"/>
  <c r="AR61" i="5"/>
  <c r="AS61" i="5" s="1"/>
  <c r="AT61" i="5" s="1"/>
  <c r="AN61" i="5"/>
  <c r="AF61" i="5"/>
  <c r="AG61" i="5" s="1"/>
  <c r="W61" i="5"/>
  <c r="X61" i="5" s="1"/>
  <c r="BK60" i="5"/>
  <c r="BL60" i="5" s="1"/>
  <c r="AR60" i="5"/>
  <c r="AS60" i="5" s="1"/>
  <c r="AT60" i="5" s="1"/>
  <c r="AN60" i="5"/>
  <c r="AF60" i="5"/>
  <c r="AG60" i="5" s="1"/>
  <c r="W60" i="5"/>
  <c r="X60" i="5" s="1"/>
  <c r="BK59" i="5"/>
  <c r="BL59" i="5" s="1"/>
  <c r="AR59" i="5"/>
  <c r="AS59" i="5" s="1"/>
  <c r="AT59" i="5" s="1"/>
  <c r="AN59" i="5"/>
  <c r="AF59" i="5"/>
  <c r="AG59" i="5" s="1"/>
  <c r="W59" i="5"/>
  <c r="X59" i="5" s="1"/>
  <c r="BK58" i="5"/>
  <c r="BL58" i="5" s="1"/>
  <c r="AR58" i="5"/>
  <c r="AS58" i="5" s="1"/>
  <c r="AN58" i="5"/>
  <c r="AF58" i="5"/>
  <c r="AG58" i="5" s="1"/>
  <c r="AJ58" i="5" s="1"/>
  <c r="W58" i="5"/>
  <c r="X58" i="5" s="1"/>
  <c r="BK57" i="5"/>
  <c r="BL57" i="5" s="1"/>
  <c r="AR57" i="5"/>
  <c r="AS57" i="5" s="1"/>
  <c r="AT57" i="5" s="1"/>
  <c r="AN57" i="5"/>
  <c r="AF57" i="5"/>
  <c r="AG57" i="5" s="1"/>
  <c r="W57" i="5"/>
  <c r="X57" i="5" s="1"/>
  <c r="BK56" i="5"/>
  <c r="BL56" i="5" s="1"/>
  <c r="AR56" i="5"/>
  <c r="AS56" i="5" s="1"/>
  <c r="AT56" i="5" s="1"/>
  <c r="AN56" i="5"/>
  <c r="AF56" i="5"/>
  <c r="AG56" i="5" s="1"/>
  <c r="W56" i="5"/>
  <c r="X56" i="5" s="1"/>
  <c r="BK55" i="5"/>
  <c r="BL55" i="5" s="1"/>
  <c r="AR55" i="5"/>
  <c r="AS55" i="5" s="1"/>
  <c r="AV55" i="5" s="1"/>
  <c r="AN55" i="5"/>
  <c r="AF55" i="5"/>
  <c r="AG55" i="5" s="1"/>
  <c r="W55" i="5"/>
  <c r="X55" i="5" s="1"/>
  <c r="BK54" i="5"/>
  <c r="BL54" i="5" s="1"/>
  <c r="AR54" i="5"/>
  <c r="AS54" i="5" s="1"/>
  <c r="AT54" i="5" s="1"/>
  <c r="AN54" i="5"/>
  <c r="AF54" i="5"/>
  <c r="AG54" i="5" s="1"/>
  <c r="W54" i="5"/>
  <c r="X54" i="5" s="1"/>
  <c r="BK53" i="5"/>
  <c r="BL53" i="5" s="1"/>
  <c r="AR53" i="5"/>
  <c r="AS53" i="5" s="1"/>
  <c r="AV53" i="5" s="1"/>
  <c r="AN53" i="5"/>
  <c r="AF53" i="5"/>
  <c r="AG53" i="5" s="1"/>
  <c r="W53" i="5"/>
  <c r="X53" i="5" s="1"/>
  <c r="BK52" i="5"/>
  <c r="BL52" i="5" s="1"/>
  <c r="AR52" i="5"/>
  <c r="AS52" i="5" s="1"/>
  <c r="AV52" i="5" s="1"/>
  <c r="AN52" i="5"/>
  <c r="AF52" i="5"/>
  <c r="AG52" i="5" s="1"/>
  <c r="Z52" i="5" s="1"/>
  <c r="W52" i="5"/>
  <c r="X52" i="5" s="1"/>
  <c r="BK51" i="5"/>
  <c r="BL51" i="5" s="1"/>
  <c r="AR51" i="5"/>
  <c r="AS51" i="5" s="1"/>
  <c r="AN51" i="5"/>
  <c r="AF51" i="5"/>
  <c r="AG51" i="5" s="1"/>
  <c r="AJ51" i="5" s="1"/>
  <c r="W51" i="5"/>
  <c r="X51" i="5" s="1"/>
  <c r="BK50" i="5"/>
  <c r="BL50" i="5" s="1"/>
  <c r="AR50" i="5"/>
  <c r="AS50" i="5" s="1"/>
  <c r="AN50" i="5"/>
  <c r="AF50" i="5"/>
  <c r="AG50" i="5" s="1"/>
  <c r="W50" i="5"/>
  <c r="X50" i="5" s="1"/>
  <c r="BK49" i="5"/>
  <c r="BL49" i="5" s="1"/>
  <c r="AR49" i="5"/>
  <c r="AS49" i="5" s="1"/>
  <c r="AV49" i="5" s="1"/>
  <c r="AN49" i="5"/>
  <c r="AF49" i="5"/>
  <c r="AG49" i="5" s="1"/>
  <c r="AJ49" i="5" s="1"/>
  <c r="W49" i="5"/>
  <c r="X49" i="5" s="1"/>
  <c r="BK48" i="5"/>
  <c r="BL48" i="5" s="1"/>
  <c r="AR48" i="5"/>
  <c r="AS48" i="5" s="1"/>
  <c r="AV48" i="5" s="1"/>
  <c r="AN48" i="5"/>
  <c r="AF48" i="5"/>
  <c r="AG48" i="5" s="1"/>
  <c r="W48" i="5"/>
  <c r="X48" i="5" s="1"/>
  <c r="BK47" i="5"/>
  <c r="BL47" i="5" s="1"/>
  <c r="AR47" i="5"/>
  <c r="AS47" i="5" s="1"/>
  <c r="AV47" i="5" s="1"/>
  <c r="AN47" i="5"/>
  <c r="AF47" i="5"/>
  <c r="AG47" i="5" s="1"/>
  <c r="W47" i="5"/>
  <c r="X47" i="5" s="1"/>
  <c r="BK46" i="5"/>
  <c r="BL46" i="5" s="1"/>
  <c r="AR46" i="5"/>
  <c r="AS46" i="5" s="1"/>
  <c r="AV46" i="5" s="1"/>
  <c r="AN46" i="5"/>
  <c r="AF46" i="5"/>
  <c r="AG46" i="5" s="1"/>
  <c r="W46" i="5"/>
  <c r="X46" i="5" s="1"/>
  <c r="BK45" i="5"/>
  <c r="BL45" i="5" s="1"/>
  <c r="AR45" i="5"/>
  <c r="AS45" i="5" s="1"/>
  <c r="AV45" i="5" s="1"/>
  <c r="AN45" i="5"/>
  <c r="AF45" i="5"/>
  <c r="AG45" i="5" s="1"/>
  <c r="AH45" i="5" s="1"/>
  <c r="W45" i="5"/>
  <c r="X45" i="5" s="1"/>
  <c r="BK44" i="5"/>
  <c r="BL44" i="5" s="1"/>
  <c r="AR44" i="5"/>
  <c r="AS44" i="5" s="1"/>
  <c r="AV44" i="5" s="1"/>
  <c r="AN44" i="5"/>
  <c r="AF44" i="5"/>
  <c r="AG44" i="5" s="1"/>
  <c r="AJ44" i="5" s="1"/>
  <c r="W44" i="5"/>
  <c r="X44" i="5" s="1"/>
  <c r="BK43" i="5"/>
  <c r="BL43" i="5" s="1"/>
  <c r="AR43" i="5"/>
  <c r="AS43" i="5" s="1"/>
  <c r="AN43" i="5"/>
  <c r="AF43" i="5"/>
  <c r="AG43" i="5" s="1"/>
  <c r="AJ43" i="5" s="1"/>
  <c r="W43" i="5"/>
  <c r="X43" i="5" s="1"/>
  <c r="BK42" i="5"/>
  <c r="BL42" i="5" s="1"/>
  <c r="AR42" i="5"/>
  <c r="AS42" i="5" s="1"/>
  <c r="AV42" i="5" s="1"/>
  <c r="AN42" i="5"/>
  <c r="AF42" i="5"/>
  <c r="AG42" i="5" s="1"/>
  <c r="W42" i="5"/>
  <c r="X42" i="5" s="1"/>
  <c r="BK41" i="5"/>
  <c r="BL41" i="5" s="1"/>
  <c r="AR41" i="5"/>
  <c r="AS41" i="5" s="1"/>
  <c r="AV41" i="5" s="1"/>
  <c r="AN41" i="5"/>
  <c r="AF41" i="5"/>
  <c r="AG41" i="5" s="1"/>
  <c r="Z41" i="5" s="1"/>
  <c r="W41" i="5"/>
  <c r="X41" i="5" s="1"/>
  <c r="BK40" i="5"/>
  <c r="BL40" i="5" s="1"/>
  <c r="AR40" i="5"/>
  <c r="AS40" i="5" s="1"/>
  <c r="AV40" i="5" s="1"/>
  <c r="AN40" i="5"/>
  <c r="AF40" i="5"/>
  <c r="AG40" i="5" s="1"/>
  <c r="AI40" i="5" s="1"/>
  <c r="W40" i="5"/>
  <c r="X40" i="5" s="1"/>
  <c r="BK39" i="5"/>
  <c r="BL39" i="5" s="1"/>
  <c r="AR39" i="5"/>
  <c r="AS39" i="5" s="1"/>
  <c r="AV39" i="5" s="1"/>
  <c r="AN39" i="5"/>
  <c r="AF39" i="5"/>
  <c r="AG39" i="5" s="1"/>
  <c r="Z39" i="5" s="1"/>
  <c r="W39" i="5"/>
  <c r="X39" i="5" s="1"/>
  <c r="BK38" i="5"/>
  <c r="BL38" i="5" s="1"/>
  <c r="AR38" i="5"/>
  <c r="AS38" i="5" s="1"/>
  <c r="AT38" i="5" s="1"/>
  <c r="AN38" i="5"/>
  <c r="AF38" i="5"/>
  <c r="AG38" i="5" s="1"/>
  <c r="W38" i="5"/>
  <c r="X38" i="5" s="1"/>
  <c r="BK37" i="5"/>
  <c r="BL37" i="5" s="1"/>
  <c r="AR37" i="5"/>
  <c r="AS37" i="5" s="1"/>
  <c r="AV37" i="5" s="1"/>
  <c r="AN37" i="5"/>
  <c r="AF37" i="5"/>
  <c r="AG37" i="5" s="1"/>
  <c r="Z37" i="5" s="1"/>
  <c r="W37" i="5"/>
  <c r="X37" i="5" s="1"/>
  <c r="BK36" i="5"/>
  <c r="BL36" i="5" s="1"/>
  <c r="AR36" i="5"/>
  <c r="AS36" i="5" s="1"/>
  <c r="AV36" i="5" s="1"/>
  <c r="AN36" i="5"/>
  <c r="AF36" i="5"/>
  <c r="AG36" i="5" s="1"/>
  <c r="Z36" i="5" s="1"/>
  <c r="W36" i="5"/>
  <c r="X36" i="5" s="1"/>
  <c r="BK35" i="5"/>
  <c r="BL35" i="5" s="1"/>
  <c r="AR35" i="5"/>
  <c r="AS35" i="5" s="1"/>
  <c r="AN35" i="5"/>
  <c r="AF35" i="5"/>
  <c r="AG35" i="5" s="1"/>
  <c r="W35" i="5"/>
  <c r="X35" i="5" s="1"/>
  <c r="BK34" i="5"/>
  <c r="BL34" i="5" s="1"/>
  <c r="AR34" i="5"/>
  <c r="AS34" i="5" s="1"/>
  <c r="AN34" i="5"/>
  <c r="AF34" i="5"/>
  <c r="AG34" i="5" s="1"/>
  <c r="W34" i="5"/>
  <c r="X34" i="5" s="1"/>
  <c r="BK33" i="5"/>
  <c r="BL33" i="5" s="1"/>
  <c r="AR33" i="5"/>
  <c r="AS33" i="5" s="1"/>
  <c r="AV33" i="5" s="1"/>
  <c r="AN33" i="5"/>
  <c r="AF33" i="5"/>
  <c r="AG33" i="5" s="1"/>
  <c r="AJ33" i="5" s="1"/>
  <c r="W33" i="5"/>
  <c r="X33" i="5" s="1"/>
  <c r="BK32" i="5"/>
  <c r="BL32" i="5" s="1"/>
  <c r="AR32" i="5"/>
  <c r="AS32" i="5" s="1"/>
  <c r="AN32" i="5"/>
  <c r="AF32" i="5"/>
  <c r="AG32" i="5" s="1"/>
  <c r="W32" i="5"/>
  <c r="X32" i="5" s="1"/>
  <c r="BK31" i="5"/>
  <c r="BL31" i="5" s="1"/>
  <c r="AR31" i="5"/>
  <c r="AS31" i="5" s="1"/>
  <c r="AV31" i="5" s="1"/>
  <c r="AF31" i="5"/>
  <c r="AG31" i="5" s="1"/>
  <c r="AJ31" i="5" s="1"/>
  <c r="W31" i="5"/>
  <c r="X31" i="5" s="1"/>
  <c r="BK30" i="5"/>
  <c r="BL30" i="5" s="1"/>
  <c r="AR30" i="5"/>
  <c r="AS30" i="5" s="1"/>
  <c r="AF30" i="5"/>
  <c r="AG30" i="5" s="1"/>
  <c r="W30" i="5"/>
  <c r="X30" i="5" s="1"/>
  <c r="BK29" i="5"/>
  <c r="BL29" i="5" s="1"/>
  <c r="AR29" i="5"/>
  <c r="AS29" i="5" s="1"/>
  <c r="AF29" i="5"/>
  <c r="AG29" i="5" s="1"/>
  <c r="W29" i="5"/>
  <c r="X29" i="5" s="1"/>
  <c r="BK28" i="5"/>
  <c r="BL28" i="5" s="1"/>
  <c r="AR28" i="5"/>
  <c r="AS28" i="5" s="1"/>
  <c r="AF28" i="5"/>
  <c r="AG28" i="5" s="1"/>
  <c r="W28" i="5"/>
  <c r="X28" i="5" s="1"/>
  <c r="BK27" i="5"/>
  <c r="BL27" i="5" s="1"/>
  <c r="AR27" i="5"/>
  <c r="AS27" i="5" s="1"/>
  <c r="AV27" i="5" s="1"/>
  <c r="AF27" i="5"/>
  <c r="AG27" i="5" s="1"/>
  <c r="W27" i="5"/>
  <c r="X27" i="5" s="1"/>
  <c r="BK26" i="5"/>
  <c r="BL26" i="5" s="1"/>
  <c r="AR26" i="5"/>
  <c r="AS26" i="5" s="1"/>
  <c r="AT26" i="5" s="1"/>
  <c r="AF26" i="5"/>
  <c r="AG26" i="5" s="1"/>
  <c r="AJ26" i="5" s="1"/>
  <c r="W26" i="5"/>
  <c r="X26" i="5" s="1"/>
  <c r="BK25" i="5"/>
  <c r="BL25" i="5" s="1"/>
  <c r="AR25" i="5"/>
  <c r="AS25" i="5" s="1"/>
  <c r="AF25" i="5"/>
  <c r="AG25" i="5" s="1"/>
  <c r="W25" i="5"/>
  <c r="X25" i="5" s="1"/>
  <c r="BK24" i="5"/>
  <c r="BL24" i="5" s="1"/>
  <c r="AR24" i="5"/>
  <c r="AS24" i="5" s="1"/>
  <c r="AV24" i="5" s="1"/>
  <c r="AF24" i="5"/>
  <c r="AG24" i="5" s="1"/>
  <c r="W24" i="5"/>
  <c r="X24" i="5" s="1"/>
  <c r="BK23" i="5"/>
  <c r="BL23" i="5" s="1"/>
  <c r="AR23" i="5"/>
  <c r="AS23" i="5" s="1"/>
  <c r="AT23" i="5" s="1"/>
  <c r="AF23" i="5"/>
  <c r="AG23" i="5" s="1"/>
  <c r="Z23" i="5" s="1"/>
  <c r="W23" i="5"/>
  <c r="X23" i="5" s="1"/>
  <c r="BK22" i="5"/>
  <c r="BL22" i="5" s="1"/>
  <c r="AR22" i="5"/>
  <c r="AS22" i="5" s="1"/>
  <c r="AV22" i="5" s="1"/>
  <c r="AF22" i="5"/>
  <c r="AG22" i="5" s="1"/>
  <c r="Z22" i="5" s="1"/>
  <c r="W22" i="5"/>
  <c r="X22" i="5" s="1"/>
  <c r="BK21" i="5"/>
  <c r="BL21" i="5" s="1"/>
  <c r="AS21" i="5"/>
  <c r="AT21" i="5" s="1"/>
  <c r="AF21" i="5"/>
  <c r="AG21" i="5" s="1"/>
  <c r="W21" i="5"/>
  <c r="X21" i="5" s="1"/>
  <c r="BK20" i="5"/>
  <c r="BL20" i="5" s="1"/>
  <c r="AS20" i="5"/>
  <c r="AU20" i="5" s="1"/>
  <c r="AF20" i="5"/>
  <c r="AG20" i="5" s="1"/>
  <c r="W20" i="5"/>
  <c r="X20" i="5" s="1"/>
  <c r="BK19" i="5"/>
  <c r="BL19" i="5" s="1"/>
  <c r="AS19" i="5"/>
  <c r="AT19" i="5" s="1"/>
  <c r="AF19" i="5"/>
  <c r="AG19" i="5" s="1"/>
  <c r="AH19" i="5" s="1"/>
  <c r="W19" i="5"/>
  <c r="X19" i="5" s="1"/>
  <c r="BK18" i="5"/>
  <c r="BL18" i="5" s="1"/>
  <c r="AS18" i="5"/>
  <c r="AV18" i="5" s="1"/>
  <c r="AF18" i="5"/>
  <c r="AG18" i="5" s="1"/>
  <c r="W18" i="5"/>
  <c r="X18" i="5" s="1"/>
  <c r="BK17" i="5"/>
  <c r="BL17" i="5" s="1"/>
  <c r="AS17" i="5"/>
  <c r="AF17" i="5"/>
  <c r="AG17" i="5" s="1"/>
  <c r="AJ17" i="5" s="1"/>
  <c r="W17" i="5"/>
  <c r="X17" i="5" s="1"/>
  <c r="B6" i="5"/>
  <c r="B7" i="5" s="1"/>
  <c r="B5" i="5"/>
  <c r="BK27" i="4"/>
  <c r="BL27" i="4" s="1"/>
  <c r="AJ27" i="4"/>
  <c r="AM27" i="4" s="1"/>
  <c r="AD27" i="4"/>
  <c r="W27" i="4"/>
  <c r="M27" i="4"/>
  <c r="BK26" i="4"/>
  <c r="BL26" i="4" s="1"/>
  <c r="AJ26" i="4"/>
  <c r="AM26" i="4" s="1"/>
  <c r="AD26" i="4"/>
  <c r="W26" i="4"/>
  <c r="Z26" i="4" s="1"/>
  <c r="M26" i="4"/>
  <c r="BK25" i="4"/>
  <c r="BL25" i="4" s="1"/>
  <c r="AJ25" i="4"/>
  <c r="AM25" i="4" s="1"/>
  <c r="AD25" i="4"/>
  <c r="W25" i="4"/>
  <c r="Z25" i="4" s="1"/>
  <c r="BK24" i="4"/>
  <c r="BL24" i="4" s="1"/>
  <c r="AJ24" i="4"/>
  <c r="AM24" i="4" s="1"/>
  <c r="AD24" i="4"/>
  <c r="W24" i="4"/>
  <c r="Z24" i="4" s="1"/>
  <c r="BK23" i="4"/>
  <c r="BL23" i="4" s="1"/>
  <c r="AJ23" i="4"/>
  <c r="AM23" i="4" s="1"/>
  <c r="AD23" i="4"/>
  <c r="W23" i="4"/>
  <c r="Z23" i="4" s="1"/>
  <c r="M23" i="4"/>
  <c r="BK22" i="4"/>
  <c r="BL22" i="4" s="1"/>
  <c r="AJ22" i="4"/>
  <c r="AM22" i="4" s="1"/>
  <c r="AD22" i="4"/>
  <c r="W22" i="4"/>
  <c r="Z22" i="4" s="1"/>
  <c r="M22" i="4"/>
  <c r="BK21" i="4"/>
  <c r="BL21" i="4" s="1"/>
  <c r="AJ21" i="4"/>
  <c r="AM21" i="4" s="1"/>
  <c r="AD21" i="4"/>
  <c r="W21" i="4"/>
  <c r="Z21" i="4" s="1"/>
  <c r="M21" i="4"/>
  <c r="BK20" i="4"/>
  <c r="BL20" i="4" s="1"/>
  <c r="AJ20" i="4"/>
  <c r="AM20" i="4" s="1"/>
  <c r="AD20" i="4"/>
  <c r="W20" i="4"/>
  <c r="Z20" i="4" s="1"/>
  <c r="M20" i="4"/>
  <c r="BK19" i="4"/>
  <c r="BL19" i="4" s="1"/>
  <c r="AJ19" i="4"/>
  <c r="AM19" i="4" s="1"/>
  <c r="AD19" i="4"/>
  <c r="W19" i="4"/>
  <c r="Z19" i="4" s="1"/>
  <c r="M19" i="4"/>
  <c r="BK18" i="4"/>
  <c r="BL18" i="4" s="1"/>
  <c r="AJ18" i="4"/>
  <c r="AM18" i="4" s="1"/>
  <c r="AD18" i="4"/>
  <c r="W18" i="4"/>
  <c r="Z18" i="4" s="1"/>
  <c r="M18" i="4"/>
  <c r="BK17" i="4"/>
  <c r="BL17" i="4" s="1"/>
  <c r="AJ17" i="4"/>
  <c r="AM17" i="4" s="1"/>
  <c r="AD17" i="4"/>
  <c r="W17" i="4"/>
  <c r="C8" i="4"/>
  <c r="C10" i="4" s="1"/>
  <c r="C11" i="4" s="1"/>
  <c r="C5" i="4"/>
  <c r="C6" i="4" s="1"/>
  <c r="B5" i="4"/>
  <c r="B6" i="4" s="1"/>
  <c r="B7" i="4" s="1"/>
  <c r="B8" i="4" s="1"/>
  <c r="BK21" i="3"/>
  <c r="BL21" i="3" s="1"/>
  <c r="AM21" i="3"/>
  <c r="AJ21" i="3"/>
  <c r="X21" i="3"/>
  <c r="Y21" i="3" s="1"/>
  <c r="AB21" i="3" s="1"/>
  <c r="S21" i="3"/>
  <c r="BK20" i="3"/>
  <c r="BL20" i="3" s="1"/>
  <c r="AJ20" i="3"/>
  <c r="AM20" i="3" s="1"/>
  <c r="X20" i="3"/>
  <c r="Y20" i="3" s="1"/>
  <c r="AB20" i="3" s="1"/>
  <c r="S20" i="3"/>
  <c r="T20" i="3" s="1"/>
  <c r="BK19" i="3"/>
  <c r="BL19" i="3" s="1"/>
  <c r="AJ19" i="3"/>
  <c r="AM19" i="3" s="1"/>
  <c r="X19" i="3"/>
  <c r="Y19" i="3" s="1"/>
  <c r="AB19" i="3" s="1"/>
  <c r="S19" i="3"/>
  <c r="BK18" i="3"/>
  <c r="BL18" i="3" s="1"/>
  <c r="AM18" i="3"/>
  <c r="AJ18" i="3"/>
  <c r="X18" i="3"/>
  <c r="Y18" i="3" s="1"/>
  <c r="AB18" i="3" s="1"/>
  <c r="S18" i="3"/>
  <c r="BK17" i="3"/>
  <c r="BL17" i="3" s="1"/>
  <c r="AJ17" i="3"/>
  <c r="AM17" i="3" s="1"/>
  <c r="X17" i="3"/>
  <c r="Y17" i="3" s="1"/>
  <c r="AB17" i="3" s="1"/>
  <c r="S17" i="3"/>
  <c r="BK109" i="2"/>
  <c r="BL109" i="2" s="1"/>
  <c r="BK108" i="2"/>
  <c r="BL108" i="2" s="1"/>
  <c r="AM108" i="2"/>
  <c r="BK107" i="2"/>
  <c r="BL107" i="2" s="1"/>
  <c r="AM107" i="2"/>
  <c r="AN107" i="2" s="1"/>
  <c r="X108" i="2"/>
  <c r="Y108" i="2" s="1"/>
  <c r="BK106" i="2"/>
  <c r="BL106" i="2" s="1"/>
  <c r="AM106" i="2"/>
  <c r="AP106" i="2" s="1"/>
  <c r="X107" i="2"/>
  <c r="Y107" i="2" s="1"/>
  <c r="AB107" i="2" s="1"/>
  <c r="BK105" i="2"/>
  <c r="BL105" i="2" s="1"/>
  <c r="AM105" i="2"/>
  <c r="AP105" i="2" s="1"/>
  <c r="X106" i="2"/>
  <c r="Y106" i="2" s="1"/>
  <c r="AB106" i="2" s="1"/>
  <c r="BK104" i="2"/>
  <c r="BL104" i="2" s="1"/>
  <c r="AM104" i="2"/>
  <c r="AP104" i="2" s="1"/>
  <c r="X105" i="2"/>
  <c r="Y105" i="2" s="1"/>
  <c r="AB105" i="2" s="1"/>
  <c r="BK103" i="2"/>
  <c r="BL103" i="2" s="1"/>
  <c r="AM103" i="2"/>
  <c r="AP103" i="2" s="1"/>
  <c r="X104" i="2"/>
  <c r="Y104" i="2" s="1"/>
  <c r="AB104" i="2" s="1"/>
  <c r="BK102" i="2"/>
  <c r="BL102" i="2" s="1"/>
  <c r="AM102" i="2"/>
  <c r="AP102" i="2" s="1"/>
  <c r="X103" i="2"/>
  <c r="Y103" i="2" s="1"/>
  <c r="AB103" i="2" s="1"/>
  <c r="BK101" i="2"/>
  <c r="BL101" i="2" s="1"/>
  <c r="AM101" i="2"/>
  <c r="AP101" i="2" s="1"/>
  <c r="X102" i="2"/>
  <c r="Y102" i="2" s="1"/>
  <c r="AB102" i="2" s="1"/>
  <c r="BK100" i="2"/>
  <c r="BL100" i="2" s="1"/>
  <c r="AM100" i="2"/>
  <c r="AP100" i="2" s="1"/>
  <c r="X101" i="2"/>
  <c r="Y101" i="2" s="1"/>
  <c r="AB101" i="2" s="1"/>
  <c r="BK99" i="2"/>
  <c r="BL99" i="2" s="1"/>
  <c r="AM99" i="2"/>
  <c r="AP99" i="2" s="1"/>
  <c r="X100" i="2"/>
  <c r="Y100" i="2" s="1"/>
  <c r="AB100" i="2" s="1"/>
  <c r="BK98" i="2"/>
  <c r="BL98" i="2" s="1"/>
  <c r="AM98" i="2"/>
  <c r="AP98" i="2" s="1"/>
  <c r="X99" i="2"/>
  <c r="Y99" i="2" s="1"/>
  <c r="AB99" i="2" s="1"/>
  <c r="BK97" i="2"/>
  <c r="BL97" i="2" s="1"/>
  <c r="AM97" i="2"/>
  <c r="AP97" i="2" s="1"/>
  <c r="X98" i="2"/>
  <c r="Y98" i="2" s="1"/>
  <c r="AB98" i="2" s="1"/>
  <c r="BK96" i="2"/>
  <c r="BL96" i="2" s="1"/>
  <c r="AM96" i="2"/>
  <c r="AP96" i="2" s="1"/>
  <c r="X97" i="2"/>
  <c r="Y97" i="2" s="1"/>
  <c r="AB97" i="2" s="1"/>
  <c r="S97" i="2"/>
  <c r="T97" i="2" s="1"/>
  <c r="U97" i="2" s="1"/>
  <c r="BK95" i="2"/>
  <c r="BL95" i="2" s="1"/>
  <c r="AM95" i="2"/>
  <c r="AP95" i="2" s="1"/>
  <c r="X96" i="2"/>
  <c r="Y96" i="2" s="1"/>
  <c r="AB96" i="2" s="1"/>
  <c r="S96" i="2"/>
  <c r="T96" i="2" s="1"/>
  <c r="U96" i="2" s="1"/>
  <c r="BK94" i="2"/>
  <c r="BL94" i="2" s="1"/>
  <c r="AM94" i="2"/>
  <c r="AP94" i="2" s="1"/>
  <c r="X95" i="2"/>
  <c r="Y95" i="2" s="1"/>
  <c r="AB95" i="2" s="1"/>
  <c r="S95" i="2"/>
  <c r="BK93" i="2"/>
  <c r="BL93" i="2" s="1"/>
  <c r="AM93" i="2"/>
  <c r="AP93" i="2" s="1"/>
  <c r="X94" i="2"/>
  <c r="Y94" i="2" s="1"/>
  <c r="AB94" i="2" s="1"/>
  <c r="BK92" i="2"/>
  <c r="BL92" i="2" s="1"/>
  <c r="AM92" i="2"/>
  <c r="AP92" i="2" s="1"/>
  <c r="X93" i="2"/>
  <c r="Y93" i="2" s="1"/>
  <c r="AB93" i="2" s="1"/>
  <c r="S93" i="2"/>
  <c r="BK91" i="2"/>
  <c r="BL91" i="2" s="1"/>
  <c r="AM91" i="2"/>
  <c r="AP91" i="2" s="1"/>
  <c r="X92" i="2"/>
  <c r="Y92" i="2" s="1"/>
  <c r="AB92" i="2" s="1"/>
  <c r="S92" i="2"/>
  <c r="T92" i="2" s="1"/>
  <c r="BK90" i="2"/>
  <c r="BL90" i="2" s="1"/>
  <c r="AM90" i="2"/>
  <c r="AP90" i="2" s="1"/>
  <c r="X91" i="2"/>
  <c r="Y91" i="2" s="1"/>
  <c r="AB91" i="2" s="1"/>
  <c r="S91" i="2"/>
  <c r="BK89" i="2"/>
  <c r="BL89" i="2" s="1"/>
  <c r="AM89" i="2"/>
  <c r="AP89" i="2" s="1"/>
  <c r="X90" i="2"/>
  <c r="Y90" i="2" s="1"/>
  <c r="AB90" i="2" s="1"/>
  <c r="BK88" i="2"/>
  <c r="BL88" i="2" s="1"/>
  <c r="AM88" i="2"/>
  <c r="AP88" i="2" s="1"/>
  <c r="X89" i="2"/>
  <c r="Y89" i="2" s="1"/>
  <c r="AB89" i="2" s="1"/>
  <c r="BK87" i="2"/>
  <c r="BL87" i="2" s="1"/>
  <c r="AM87" i="2"/>
  <c r="AP87" i="2" s="1"/>
  <c r="X88" i="2"/>
  <c r="Y88" i="2" s="1"/>
  <c r="AB88" i="2" s="1"/>
  <c r="S88" i="2"/>
  <c r="T88" i="2" s="1"/>
  <c r="BK86" i="2"/>
  <c r="BL86" i="2" s="1"/>
  <c r="AM86" i="2"/>
  <c r="AP86" i="2" s="1"/>
  <c r="X87" i="2"/>
  <c r="Y87" i="2" s="1"/>
  <c r="AB87" i="2" s="1"/>
  <c r="S87" i="2"/>
  <c r="BK85" i="2"/>
  <c r="BL85" i="2" s="1"/>
  <c r="AM85" i="2"/>
  <c r="AP85" i="2" s="1"/>
  <c r="X86" i="2"/>
  <c r="Y86" i="2" s="1"/>
  <c r="AB86" i="2" s="1"/>
  <c r="S86" i="2"/>
  <c r="BK84" i="2"/>
  <c r="BL84" i="2" s="1"/>
  <c r="AM84" i="2"/>
  <c r="AP84" i="2" s="1"/>
  <c r="X85" i="2"/>
  <c r="Y85" i="2" s="1"/>
  <c r="AB85" i="2" s="1"/>
  <c r="S85" i="2"/>
  <c r="BK83" i="2"/>
  <c r="BL83" i="2" s="1"/>
  <c r="AM83" i="2"/>
  <c r="AP83" i="2" s="1"/>
  <c r="X84" i="2"/>
  <c r="Y84" i="2" s="1"/>
  <c r="AB84" i="2" s="1"/>
  <c r="S84" i="2"/>
  <c r="T84" i="2" s="1"/>
  <c r="U84" i="2" s="1"/>
  <c r="V84" i="2" s="1"/>
  <c r="BK82" i="2"/>
  <c r="BL82" i="2" s="1"/>
  <c r="AM82" i="2"/>
  <c r="AP82" i="2" s="1"/>
  <c r="X83" i="2"/>
  <c r="Y83" i="2" s="1"/>
  <c r="AB83" i="2" s="1"/>
  <c r="S83" i="2"/>
  <c r="BK81" i="2"/>
  <c r="BL81" i="2" s="1"/>
  <c r="AM81" i="2"/>
  <c r="AP81" i="2" s="1"/>
  <c r="X82" i="2"/>
  <c r="Y82" i="2" s="1"/>
  <c r="AB82" i="2" s="1"/>
  <c r="BK80" i="2"/>
  <c r="BL80" i="2" s="1"/>
  <c r="AM80" i="2"/>
  <c r="AP80" i="2" s="1"/>
  <c r="X81" i="2"/>
  <c r="Y81" i="2" s="1"/>
  <c r="AB81" i="2" s="1"/>
  <c r="BK79" i="2"/>
  <c r="BL79" i="2" s="1"/>
  <c r="AM79" i="2"/>
  <c r="AP79" i="2" s="1"/>
  <c r="X80" i="2"/>
  <c r="Y80" i="2" s="1"/>
  <c r="AB80" i="2" s="1"/>
  <c r="BK78" i="2"/>
  <c r="BL78" i="2" s="1"/>
  <c r="AM78" i="2"/>
  <c r="AP78" i="2" s="1"/>
  <c r="X79" i="2"/>
  <c r="Y79" i="2" s="1"/>
  <c r="AB79" i="2" s="1"/>
  <c r="S79" i="2"/>
  <c r="T79" i="2" s="1"/>
  <c r="BK77" i="2"/>
  <c r="BL77" i="2" s="1"/>
  <c r="AM77" i="2"/>
  <c r="AP77" i="2" s="1"/>
  <c r="X78" i="2"/>
  <c r="Y78" i="2" s="1"/>
  <c r="AB78" i="2" s="1"/>
  <c r="BK76" i="2"/>
  <c r="BL76" i="2" s="1"/>
  <c r="AM76" i="2"/>
  <c r="AP76" i="2" s="1"/>
  <c r="X77" i="2"/>
  <c r="Y77" i="2" s="1"/>
  <c r="AB77" i="2" s="1"/>
  <c r="BK75" i="2"/>
  <c r="BL75" i="2" s="1"/>
  <c r="AM75" i="2"/>
  <c r="AP75" i="2" s="1"/>
  <c r="X76" i="2"/>
  <c r="Y76" i="2" s="1"/>
  <c r="AB76" i="2" s="1"/>
  <c r="BK74" i="2"/>
  <c r="BL74" i="2" s="1"/>
  <c r="AM74" i="2"/>
  <c r="AP74" i="2" s="1"/>
  <c r="X75" i="2"/>
  <c r="Y75" i="2" s="1"/>
  <c r="AB75" i="2" s="1"/>
  <c r="BK73" i="2"/>
  <c r="BL73" i="2" s="1"/>
  <c r="AM73" i="2"/>
  <c r="AP73" i="2" s="1"/>
  <c r="X74" i="2"/>
  <c r="Y74" i="2" s="1"/>
  <c r="AB74" i="2" s="1"/>
  <c r="BK72" i="2"/>
  <c r="BL72" i="2" s="1"/>
  <c r="AM72" i="2"/>
  <c r="AP72" i="2" s="1"/>
  <c r="X73" i="2"/>
  <c r="Y73" i="2" s="1"/>
  <c r="AB73" i="2" s="1"/>
  <c r="BK71" i="2"/>
  <c r="BL71" i="2" s="1"/>
  <c r="AM71" i="2"/>
  <c r="AP71" i="2" s="1"/>
  <c r="X72" i="2"/>
  <c r="Y72" i="2" s="1"/>
  <c r="AB72" i="2" s="1"/>
  <c r="BK70" i="2"/>
  <c r="BL70" i="2" s="1"/>
  <c r="AM70" i="2"/>
  <c r="AP70" i="2" s="1"/>
  <c r="X71" i="2"/>
  <c r="Y71" i="2" s="1"/>
  <c r="AB71" i="2" s="1"/>
  <c r="BK69" i="2"/>
  <c r="BL69" i="2" s="1"/>
  <c r="AM69" i="2"/>
  <c r="AP69" i="2" s="1"/>
  <c r="X70" i="2"/>
  <c r="Y70" i="2" s="1"/>
  <c r="AB70" i="2" s="1"/>
  <c r="BK68" i="2"/>
  <c r="BL68" i="2" s="1"/>
  <c r="AM68" i="2"/>
  <c r="AP68" i="2" s="1"/>
  <c r="X69" i="2"/>
  <c r="Y69" i="2" s="1"/>
  <c r="AB69" i="2" s="1"/>
  <c r="BK67" i="2"/>
  <c r="BL67" i="2" s="1"/>
  <c r="AM67" i="2"/>
  <c r="AP67" i="2" s="1"/>
  <c r="X68" i="2"/>
  <c r="Y68" i="2" s="1"/>
  <c r="AB68" i="2" s="1"/>
  <c r="BK66" i="2"/>
  <c r="BL66" i="2" s="1"/>
  <c r="AM66" i="2"/>
  <c r="AP66" i="2" s="1"/>
  <c r="X67" i="2"/>
  <c r="Y67" i="2" s="1"/>
  <c r="AB67" i="2" s="1"/>
  <c r="BK65" i="2"/>
  <c r="BL65" i="2" s="1"/>
  <c r="AM65" i="2"/>
  <c r="AP65" i="2" s="1"/>
  <c r="X66" i="2"/>
  <c r="Y66" i="2" s="1"/>
  <c r="AB66" i="2" s="1"/>
  <c r="BK64" i="2"/>
  <c r="BL64" i="2" s="1"/>
  <c r="AM64" i="2"/>
  <c r="AP64" i="2" s="1"/>
  <c r="X65" i="2"/>
  <c r="Y65" i="2" s="1"/>
  <c r="AB65" i="2" s="1"/>
  <c r="BK63" i="2"/>
  <c r="BL63" i="2" s="1"/>
  <c r="AM63" i="2"/>
  <c r="AP63" i="2" s="1"/>
  <c r="X64" i="2"/>
  <c r="Y64" i="2" s="1"/>
  <c r="AB64" i="2" s="1"/>
  <c r="BK62" i="2"/>
  <c r="BL62" i="2" s="1"/>
  <c r="AM62" i="2"/>
  <c r="AP62" i="2" s="1"/>
  <c r="X63" i="2"/>
  <c r="Y63" i="2" s="1"/>
  <c r="AB63" i="2" s="1"/>
  <c r="S63" i="2"/>
  <c r="BK61" i="2"/>
  <c r="BL61" i="2" s="1"/>
  <c r="AM61" i="2"/>
  <c r="AP61" i="2" s="1"/>
  <c r="X62" i="2"/>
  <c r="Y62" i="2" s="1"/>
  <c r="AB62" i="2" s="1"/>
  <c r="S62" i="2"/>
  <c r="T62" i="2" s="1"/>
  <c r="U62" i="2" s="1"/>
  <c r="BK60" i="2"/>
  <c r="BL60" i="2" s="1"/>
  <c r="AM60" i="2"/>
  <c r="AP60" i="2" s="1"/>
  <c r="X61" i="2"/>
  <c r="Y61" i="2" s="1"/>
  <c r="AB61" i="2" s="1"/>
  <c r="S61" i="2"/>
  <c r="T61" i="2" s="1"/>
  <c r="U61" i="2" s="1"/>
  <c r="BK59" i="2"/>
  <c r="BL59" i="2" s="1"/>
  <c r="AM59" i="2"/>
  <c r="AP59" i="2" s="1"/>
  <c r="X60" i="2"/>
  <c r="Y60" i="2" s="1"/>
  <c r="AB60" i="2" s="1"/>
  <c r="S60" i="2"/>
  <c r="BK58" i="2"/>
  <c r="BL58" i="2" s="1"/>
  <c r="AM58" i="2"/>
  <c r="AP58" i="2" s="1"/>
  <c r="X59" i="2"/>
  <c r="Y59" i="2" s="1"/>
  <c r="AB59" i="2" s="1"/>
  <c r="S59" i="2"/>
  <c r="BK57" i="2"/>
  <c r="BL57" i="2" s="1"/>
  <c r="AM57" i="2"/>
  <c r="AP57" i="2" s="1"/>
  <c r="X58" i="2"/>
  <c r="Y58" i="2" s="1"/>
  <c r="AB58" i="2" s="1"/>
  <c r="BK56" i="2"/>
  <c r="BL56" i="2" s="1"/>
  <c r="AM56" i="2"/>
  <c r="AP56" i="2" s="1"/>
  <c r="X57" i="2"/>
  <c r="Y57" i="2" s="1"/>
  <c r="AB57" i="2" s="1"/>
  <c r="BK55" i="2"/>
  <c r="BL55" i="2" s="1"/>
  <c r="AM55" i="2"/>
  <c r="AP55" i="2" s="1"/>
  <c r="X56" i="2"/>
  <c r="Y56" i="2" s="1"/>
  <c r="AB56" i="2" s="1"/>
  <c r="BK54" i="2"/>
  <c r="BL54" i="2" s="1"/>
  <c r="AM54" i="2"/>
  <c r="AP54" i="2" s="1"/>
  <c r="X55" i="2"/>
  <c r="Y55" i="2" s="1"/>
  <c r="AB55" i="2" s="1"/>
  <c r="BK53" i="2"/>
  <c r="BL53" i="2" s="1"/>
  <c r="AM53" i="2"/>
  <c r="AP53" i="2" s="1"/>
  <c r="X54" i="2"/>
  <c r="Y54" i="2" s="1"/>
  <c r="AB54" i="2" s="1"/>
  <c r="BK52" i="2"/>
  <c r="BL52" i="2" s="1"/>
  <c r="AM52" i="2"/>
  <c r="AP52" i="2" s="1"/>
  <c r="X53" i="2"/>
  <c r="Y53" i="2" s="1"/>
  <c r="AB53" i="2" s="1"/>
  <c r="BK51" i="2"/>
  <c r="BL51" i="2" s="1"/>
  <c r="AM51" i="2"/>
  <c r="AP51" i="2" s="1"/>
  <c r="X52" i="2"/>
  <c r="Y52" i="2" s="1"/>
  <c r="AB52" i="2" s="1"/>
  <c r="BK50" i="2"/>
  <c r="BL50" i="2" s="1"/>
  <c r="AM50" i="2"/>
  <c r="AP50" i="2" s="1"/>
  <c r="X51" i="2"/>
  <c r="Y51" i="2" s="1"/>
  <c r="AB51" i="2" s="1"/>
  <c r="BK49" i="2"/>
  <c r="BL49" i="2" s="1"/>
  <c r="AM49" i="2"/>
  <c r="AP49" i="2" s="1"/>
  <c r="X50" i="2"/>
  <c r="Y50" i="2" s="1"/>
  <c r="AB50" i="2" s="1"/>
  <c r="BK48" i="2"/>
  <c r="BL48" i="2" s="1"/>
  <c r="AM48" i="2"/>
  <c r="AP48" i="2" s="1"/>
  <c r="X49" i="2"/>
  <c r="Y49" i="2" s="1"/>
  <c r="AB49" i="2" s="1"/>
  <c r="S49" i="2"/>
  <c r="BK47" i="2"/>
  <c r="BL47" i="2" s="1"/>
  <c r="AM47" i="2"/>
  <c r="AP47" i="2" s="1"/>
  <c r="X48" i="2"/>
  <c r="Y48" i="2" s="1"/>
  <c r="AB48" i="2" s="1"/>
  <c r="S48" i="2"/>
  <c r="BK46" i="2"/>
  <c r="BL46" i="2" s="1"/>
  <c r="AM46" i="2"/>
  <c r="AP46" i="2" s="1"/>
  <c r="X47" i="2"/>
  <c r="Y47" i="2" s="1"/>
  <c r="AB47" i="2" s="1"/>
  <c r="V47" i="2"/>
  <c r="BK45" i="2"/>
  <c r="BL45" i="2" s="1"/>
  <c r="AM45" i="2"/>
  <c r="AP45" i="2" s="1"/>
  <c r="X46" i="2"/>
  <c r="Y46" i="2" s="1"/>
  <c r="AB46" i="2" s="1"/>
  <c r="BK44" i="2"/>
  <c r="BL44" i="2" s="1"/>
  <c r="AM44" i="2"/>
  <c r="AP44" i="2" s="1"/>
  <c r="X45" i="2"/>
  <c r="Y45" i="2" s="1"/>
  <c r="AB45" i="2" s="1"/>
  <c r="BK43" i="2"/>
  <c r="BL43" i="2" s="1"/>
  <c r="AM43" i="2"/>
  <c r="AP43" i="2" s="1"/>
  <c r="X44" i="2"/>
  <c r="Y44" i="2" s="1"/>
  <c r="AB44" i="2" s="1"/>
  <c r="BK42" i="2"/>
  <c r="BL42" i="2" s="1"/>
  <c r="AM42" i="2"/>
  <c r="AP42" i="2" s="1"/>
  <c r="X43" i="2"/>
  <c r="Y43" i="2" s="1"/>
  <c r="AB43" i="2" s="1"/>
  <c r="BK41" i="2"/>
  <c r="BL41" i="2" s="1"/>
  <c r="AM41" i="2"/>
  <c r="AP41" i="2" s="1"/>
  <c r="X42" i="2"/>
  <c r="Y42" i="2" s="1"/>
  <c r="AB42" i="2" s="1"/>
  <c r="BK40" i="2"/>
  <c r="BL40" i="2" s="1"/>
  <c r="AM40" i="2"/>
  <c r="AP40" i="2" s="1"/>
  <c r="X41" i="2"/>
  <c r="Y41" i="2" s="1"/>
  <c r="AB41" i="2" s="1"/>
  <c r="BK39" i="2"/>
  <c r="BL39" i="2" s="1"/>
  <c r="AM39" i="2"/>
  <c r="AP39" i="2" s="1"/>
  <c r="X40" i="2"/>
  <c r="Y40" i="2" s="1"/>
  <c r="AB40" i="2" s="1"/>
  <c r="BK38" i="2"/>
  <c r="BL38" i="2" s="1"/>
  <c r="AM38" i="2"/>
  <c r="AP38" i="2" s="1"/>
  <c r="X39" i="2"/>
  <c r="Y39" i="2" s="1"/>
  <c r="AB39" i="2" s="1"/>
  <c r="BK37" i="2"/>
  <c r="BL37" i="2" s="1"/>
  <c r="AM37" i="2"/>
  <c r="AP37" i="2" s="1"/>
  <c r="X38" i="2"/>
  <c r="Y38" i="2" s="1"/>
  <c r="AB38" i="2" s="1"/>
  <c r="BK36" i="2"/>
  <c r="BL36" i="2" s="1"/>
  <c r="AM36" i="2"/>
  <c r="AP36" i="2" s="1"/>
  <c r="X37" i="2"/>
  <c r="Y37" i="2" s="1"/>
  <c r="AB37" i="2" s="1"/>
  <c r="BK35" i="2"/>
  <c r="BL35" i="2" s="1"/>
  <c r="AM35" i="2"/>
  <c r="AP35" i="2" s="1"/>
  <c r="X36" i="2"/>
  <c r="Y36" i="2" s="1"/>
  <c r="AB36" i="2" s="1"/>
  <c r="BK34" i="2"/>
  <c r="BL34" i="2" s="1"/>
  <c r="AM34" i="2"/>
  <c r="AP34" i="2" s="1"/>
  <c r="X35" i="2"/>
  <c r="Y35" i="2" s="1"/>
  <c r="AB35" i="2" s="1"/>
  <c r="BK33" i="2"/>
  <c r="BL33" i="2" s="1"/>
  <c r="AM33" i="2"/>
  <c r="AP33" i="2" s="1"/>
  <c r="X34" i="2"/>
  <c r="Y34" i="2" s="1"/>
  <c r="AB34" i="2" s="1"/>
  <c r="BK32" i="2"/>
  <c r="BL32" i="2" s="1"/>
  <c r="AM32" i="2"/>
  <c r="AP32" i="2" s="1"/>
  <c r="X33" i="2"/>
  <c r="Y33" i="2" s="1"/>
  <c r="AB33" i="2" s="1"/>
  <c r="BK31" i="2"/>
  <c r="BL31" i="2" s="1"/>
  <c r="AM31" i="2"/>
  <c r="AP31" i="2" s="1"/>
  <c r="X32" i="2"/>
  <c r="Y32" i="2" s="1"/>
  <c r="AB32" i="2" s="1"/>
  <c r="BK30" i="2"/>
  <c r="BL30" i="2" s="1"/>
  <c r="AM30" i="2"/>
  <c r="AP30" i="2" s="1"/>
  <c r="X31" i="2"/>
  <c r="Y31" i="2" s="1"/>
  <c r="AB31" i="2" s="1"/>
  <c r="BK29" i="2"/>
  <c r="BL29" i="2" s="1"/>
  <c r="AM29" i="2"/>
  <c r="AP29" i="2" s="1"/>
  <c r="X30" i="2"/>
  <c r="Y30" i="2" s="1"/>
  <c r="AB30" i="2" s="1"/>
  <c r="BK28" i="2"/>
  <c r="BL28" i="2" s="1"/>
  <c r="AM28" i="2"/>
  <c r="AP28" i="2" s="1"/>
  <c r="X29" i="2"/>
  <c r="Y29" i="2" s="1"/>
  <c r="AB29" i="2" s="1"/>
  <c r="BK27" i="2"/>
  <c r="BL27" i="2" s="1"/>
  <c r="AM27" i="2"/>
  <c r="AP27" i="2" s="1"/>
  <c r="X28" i="2"/>
  <c r="Y28" i="2" s="1"/>
  <c r="AB28" i="2" s="1"/>
  <c r="BK26" i="2"/>
  <c r="BL26" i="2" s="1"/>
  <c r="AM26" i="2"/>
  <c r="AP26" i="2" s="1"/>
  <c r="X27" i="2"/>
  <c r="Y27" i="2" s="1"/>
  <c r="AB27" i="2" s="1"/>
  <c r="BK25" i="2"/>
  <c r="BL25" i="2" s="1"/>
  <c r="AM25" i="2"/>
  <c r="AP25" i="2" s="1"/>
  <c r="X26" i="2"/>
  <c r="Y26" i="2" s="1"/>
  <c r="AB26" i="2" s="1"/>
  <c r="BK24" i="2"/>
  <c r="BL24" i="2" s="1"/>
  <c r="AM24" i="2"/>
  <c r="AP24" i="2" s="1"/>
  <c r="X25" i="2"/>
  <c r="Y25" i="2" s="1"/>
  <c r="AB25" i="2" s="1"/>
  <c r="BK23" i="2"/>
  <c r="BL23" i="2" s="1"/>
  <c r="AM23" i="2"/>
  <c r="AP23" i="2" s="1"/>
  <c r="X24" i="2"/>
  <c r="Y24" i="2" s="1"/>
  <c r="AB24" i="2" s="1"/>
  <c r="BK22" i="2"/>
  <c r="BL22" i="2" s="1"/>
  <c r="AM22" i="2"/>
  <c r="AP22" i="2" s="1"/>
  <c r="X23" i="2"/>
  <c r="Y23" i="2" s="1"/>
  <c r="AB23" i="2" s="1"/>
  <c r="BK21" i="2"/>
  <c r="BL21" i="2" s="1"/>
  <c r="AM21" i="2"/>
  <c r="AP21" i="2" s="1"/>
  <c r="X22" i="2"/>
  <c r="Y22" i="2" s="1"/>
  <c r="AB22" i="2" s="1"/>
  <c r="BK20" i="2"/>
  <c r="BL20" i="2" s="1"/>
  <c r="AM20" i="2"/>
  <c r="AP20" i="2" s="1"/>
  <c r="X21" i="2"/>
  <c r="Y21" i="2" s="1"/>
  <c r="AB21" i="2" s="1"/>
  <c r="BK19" i="2"/>
  <c r="BL19" i="2" s="1"/>
  <c r="AM19" i="2"/>
  <c r="AP19" i="2" s="1"/>
  <c r="X20" i="2"/>
  <c r="Y20" i="2" s="1"/>
  <c r="AB20" i="2" s="1"/>
  <c r="BK18" i="2"/>
  <c r="BL18" i="2" s="1"/>
  <c r="AM18" i="2"/>
  <c r="AP18" i="2" s="1"/>
  <c r="X19" i="2"/>
  <c r="Y19" i="2" s="1"/>
  <c r="AB19" i="2" s="1"/>
  <c r="BK17" i="2"/>
  <c r="BL17" i="2" s="1"/>
  <c r="AM17" i="2"/>
  <c r="AP17" i="2" s="1"/>
  <c r="X18" i="2"/>
  <c r="Y18" i="2" s="1"/>
  <c r="AB18" i="2" s="1"/>
  <c r="X17" i="2"/>
  <c r="Y17" i="2" s="1"/>
  <c r="AB17" i="2" s="1"/>
  <c r="C4" i="2"/>
  <c r="C5" i="2" s="1"/>
  <c r="C6" i="2" s="1"/>
  <c r="C7" i="2" s="1"/>
  <c r="B4" i="2"/>
  <c r="B5" i="2" s="1"/>
  <c r="B6" i="2" s="1"/>
  <c r="B7" i="2" s="1"/>
  <c r="BK68" i="1"/>
  <c r="BL68" i="1" s="1"/>
  <c r="BK67" i="1"/>
  <c r="BL67" i="1" s="1"/>
  <c r="BK66" i="1"/>
  <c r="BL66" i="1" s="1"/>
  <c r="BK65" i="1"/>
  <c r="BL65" i="1" s="1"/>
  <c r="BK64" i="1"/>
  <c r="BL64" i="1" s="1"/>
  <c r="BK63" i="1"/>
  <c r="BL63" i="1" s="1"/>
  <c r="BK62" i="1"/>
  <c r="BL62" i="1" s="1"/>
  <c r="BK61" i="1"/>
  <c r="BL61" i="1" s="1"/>
  <c r="BK60" i="1"/>
  <c r="BL60" i="1" s="1"/>
  <c r="BK59" i="1"/>
  <c r="BL59" i="1" s="1"/>
  <c r="BK58" i="1"/>
  <c r="BL58" i="1" s="1"/>
  <c r="BK57" i="1"/>
  <c r="BL57" i="1" s="1"/>
  <c r="BK56" i="1"/>
  <c r="BL56" i="1" s="1"/>
  <c r="BK55" i="1"/>
  <c r="BL55" i="1" s="1"/>
  <c r="BK54" i="1"/>
  <c r="BL54" i="1" s="1"/>
  <c r="BK53" i="1"/>
  <c r="BL53" i="1" s="1"/>
  <c r="BK52" i="1"/>
  <c r="BL52" i="1" s="1"/>
  <c r="BK51" i="1"/>
  <c r="BL51" i="1" s="1"/>
  <c r="BK50" i="1"/>
  <c r="BL50" i="1" s="1"/>
  <c r="BK49" i="1"/>
  <c r="BL49" i="1" s="1"/>
  <c r="BK48" i="1"/>
  <c r="BL48" i="1" s="1"/>
  <c r="BK47" i="1"/>
  <c r="BL47" i="1" s="1"/>
  <c r="BK46" i="1"/>
  <c r="BL46" i="1" s="1"/>
  <c r="BK44" i="1"/>
  <c r="BL44" i="1" s="1"/>
  <c r="BK43" i="1"/>
  <c r="BL43" i="1" s="1"/>
  <c r="BK42" i="1"/>
  <c r="BL42" i="1" s="1"/>
  <c r="BK41" i="1"/>
  <c r="BL41" i="1" s="1"/>
  <c r="BK40" i="1"/>
  <c r="BL40" i="1" s="1"/>
  <c r="BK39" i="1"/>
  <c r="BL39" i="1" s="1"/>
  <c r="BK38" i="1"/>
  <c r="BL38" i="1" s="1"/>
  <c r="BK37" i="1"/>
  <c r="BL37" i="1" s="1"/>
  <c r="BK36" i="1"/>
  <c r="BL36" i="1" s="1"/>
  <c r="BK35" i="1"/>
  <c r="BL35" i="1" s="1"/>
  <c r="BK34" i="1"/>
  <c r="BL34" i="1" s="1"/>
  <c r="BK33" i="1"/>
  <c r="BL33" i="1" s="1"/>
  <c r="BK32" i="1"/>
  <c r="BL32" i="1" s="1"/>
  <c r="BK31" i="1"/>
  <c r="BL31" i="1" s="1"/>
  <c r="BK30" i="1"/>
  <c r="BL30" i="1" s="1"/>
  <c r="BK29" i="1"/>
  <c r="BL29" i="1" s="1"/>
  <c r="BK28" i="1"/>
  <c r="BL28" i="1" s="1"/>
  <c r="BK27" i="1"/>
  <c r="BL27" i="1" s="1"/>
  <c r="BK26" i="1"/>
  <c r="BL26" i="1" s="1"/>
  <c r="BK25" i="1"/>
  <c r="BL25" i="1" s="1"/>
  <c r="BK24" i="1"/>
  <c r="BL24" i="1" s="1"/>
  <c r="BK23" i="1"/>
  <c r="BL23" i="1" s="1"/>
  <c r="BK22" i="1"/>
  <c r="BL22" i="1" s="1"/>
  <c r="BK21" i="1"/>
  <c r="BL21" i="1" s="1"/>
  <c r="BK20" i="1"/>
  <c r="BL20" i="1" s="1"/>
  <c r="BK19" i="1"/>
  <c r="BL19" i="1" s="1"/>
  <c r="BK18" i="1"/>
  <c r="BL18" i="1" s="1"/>
  <c r="BK17" i="1"/>
  <c r="BL17" i="1" s="1"/>
  <c r="BK75" i="7"/>
  <c r="BL75" i="7" s="1"/>
  <c r="AN75" i="7"/>
  <c r="AO75" i="7" s="1"/>
  <c r="AR75" i="7" s="1"/>
  <c r="AJ75" i="7"/>
  <c r="AC75" i="7"/>
  <c r="AF75" i="7" s="1"/>
  <c r="AB75" i="7"/>
  <c r="M75" i="7"/>
  <c r="BK74" i="7"/>
  <c r="BL74" i="7" s="1"/>
  <c r="AN74" i="7"/>
  <c r="AO74" i="7" s="1"/>
  <c r="AR74" i="7" s="1"/>
  <c r="AJ74" i="7"/>
  <c r="AC74" i="7"/>
  <c r="AF74" i="7" s="1"/>
  <c r="AB74" i="7"/>
  <c r="M74" i="7"/>
  <c r="BK73" i="7"/>
  <c r="BL73" i="7" s="1"/>
  <c r="AN73" i="7"/>
  <c r="AO73" i="7" s="1"/>
  <c r="AR73" i="7" s="1"/>
  <c r="AJ73" i="7"/>
  <c r="AC73" i="7"/>
  <c r="AF73" i="7" s="1"/>
  <c r="AB73" i="7"/>
  <c r="M73" i="7"/>
  <c r="BK72" i="7"/>
  <c r="BL72" i="7" s="1"/>
  <c r="AO72" i="7"/>
  <c r="AR72" i="7" s="1"/>
  <c r="AJ72" i="7"/>
  <c r="AC72" i="7"/>
  <c r="AF72" i="7" s="1"/>
  <c r="AB72" i="7"/>
  <c r="M72" i="7"/>
  <c r="BK71" i="7"/>
  <c r="BL71" i="7" s="1"/>
  <c r="AN71" i="7"/>
  <c r="AO71" i="7" s="1"/>
  <c r="AR71" i="7" s="1"/>
  <c r="AJ71" i="7"/>
  <c r="AC71" i="7"/>
  <c r="AF71" i="7" s="1"/>
  <c r="AB71" i="7"/>
  <c r="M71" i="7"/>
  <c r="BK70" i="7"/>
  <c r="BL70" i="7" s="1"/>
  <c r="AN70" i="7"/>
  <c r="AO70" i="7" s="1"/>
  <c r="AR70" i="7" s="1"/>
  <c r="AJ70" i="7"/>
  <c r="AC70" i="7"/>
  <c r="AF70" i="7" s="1"/>
  <c r="AB70" i="7"/>
  <c r="M70" i="7"/>
  <c r="BK69" i="7"/>
  <c r="BL69" i="7" s="1"/>
  <c r="AN69" i="7"/>
  <c r="AO69" i="7" s="1"/>
  <c r="AR69" i="7" s="1"/>
  <c r="AJ69" i="7"/>
  <c r="AC69" i="7"/>
  <c r="AF69" i="7" s="1"/>
  <c r="AB69" i="7"/>
  <c r="S69" i="7"/>
  <c r="M69" i="7"/>
  <c r="BK68" i="7"/>
  <c r="BL68" i="7" s="1"/>
  <c r="AN68" i="7"/>
  <c r="AO68" i="7" s="1"/>
  <c r="AR68" i="7" s="1"/>
  <c r="AJ68" i="7"/>
  <c r="AC68" i="7"/>
  <c r="AF68" i="7" s="1"/>
  <c r="AB68" i="7"/>
  <c r="S68" i="7"/>
  <c r="M68" i="7"/>
  <c r="BK67" i="7"/>
  <c r="BL67" i="7" s="1"/>
  <c r="AN67" i="7"/>
  <c r="AO67" i="7" s="1"/>
  <c r="AR67" i="7" s="1"/>
  <c r="AJ67" i="7"/>
  <c r="AC67" i="7"/>
  <c r="AF67" i="7" s="1"/>
  <c r="AB67" i="7"/>
  <c r="M67" i="7"/>
  <c r="BK66" i="7"/>
  <c r="BL66" i="7" s="1"/>
  <c r="AN66" i="7"/>
  <c r="AO66" i="7" s="1"/>
  <c r="AR66" i="7" s="1"/>
  <c r="AJ66" i="7"/>
  <c r="AC66" i="7"/>
  <c r="AF66" i="7" s="1"/>
  <c r="AB66" i="7"/>
  <c r="O66" i="7"/>
  <c r="T66" i="7" s="1"/>
  <c r="M66" i="7"/>
  <c r="BK65" i="7"/>
  <c r="BL65" i="7" s="1"/>
  <c r="AN65" i="7"/>
  <c r="AO65" i="7" s="1"/>
  <c r="AR65" i="7" s="1"/>
  <c r="AJ65" i="7"/>
  <c r="AC65" i="7"/>
  <c r="AF65" i="7" s="1"/>
  <c r="AB65" i="7"/>
  <c r="O65" i="7"/>
  <c r="T65" i="7" s="1"/>
  <c r="M65" i="7"/>
  <c r="BK64" i="7"/>
  <c r="BL64" i="7" s="1"/>
  <c r="AN64" i="7"/>
  <c r="AO64" i="7" s="1"/>
  <c r="AR64" i="7" s="1"/>
  <c r="AJ64" i="7"/>
  <c r="AC64" i="7"/>
  <c r="AF64" i="7" s="1"/>
  <c r="AB64" i="7"/>
  <c r="O64" i="7"/>
  <c r="T64" i="7" s="1"/>
  <c r="M64" i="7"/>
  <c r="BK63" i="7"/>
  <c r="BL63" i="7" s="1"/>
  <c r="AN63" i="7"/>
  <c r="AO63" i="7" s="1"/>
  <c r="AR63" i="7" s="1"/>
  <c r="AJ63" i="7"/>
  <c r="AC63" i="7"/>
  <c r="AF63" i="7" s="1"/>
  <c r="AB63" i="7"/>
  <c r="O63" i="7"/>
  <c r="T63" i="7" s="1"/>
  <c r="M63" i="7"/>
  <c r="BK62" i="7"/>
  <c r="BL62" i="7" s="1"/>
  <c r="AN62" i="7"/>
  <c r="AO62" i="7" s="1"/>
  <c r="AR62" i="7" s="1"/>
  <c r="AJ62" i="7"/>
  <c r="AC62" i="7"/>
  <c r="AF62" i="7" s="1"/>
  <c r="AB62" i="7"/>
  <c r="O62" i="7"/>
  <c r="T62" i="7" s="1"/>
  <c r="M62" i="7"/>
  <c r="BK61" i="7"/>
  <c r="BL61" i="7" s="1"/>
  <c r="AN61" i="7"/>
  <c r="AO61" i="7" s="1"/>
  <c r="AR61" i="7" s="1"/>
  <c r="AJ61" i="7"/>
  <c r="AC61" i="7"/>
  <c r="AF61" i="7" s="1"/>
  <c r="AB61" i="7"/>
  <c r="O61" i="7"/>
  <c r="T61" i="7" s="1"/>
  <c r="M61" i="7"/>
  <c r="BK60" i="7"/>
  <c r="BL60" i="7" s="1"/>
  <c r="AN60" i="7"/>
  <c r="AO60" i="7" s="1"/>
  <c r="AR60" i="7" s="1"/>
  <c r="AJ60" i="7"/>
  <c r="AC60" i="7"/>
  <c r="AF60" i="7" s="1"/>
  <c r="AB60" i="7"/>
  <c r="O60" i="7"/>
  <c r="T60" i="7" s="1"/>
  <c r="M60" i="7"/>
  <c r="BK59" i="7"/>
  <c r="BL59" i="7" s="1"/>
  <c r="AN59" i="7"/>
  <c r="AO59" i="7" s="1"/>
  <c r="AR59" i="7" s="1"/>
  <c r="AJ59" i="7"/>
  <c r="AC59" i="7"/>
  <c r="AF59" i="7" s="1"/>
  <c r="AB59" i="7"/>
  <c r="T59" i="7"/>
  <c r="M59" i="7"/>
  <c r="BK58" i="7"/>
  <c r="BL58" i="7" s="1"/>
  <c r="AN58" i="7"/>
  <c r="AO58" i="7" s="1"/>
  <c r="AR58" i="7" s="1"/>
  <c r="AJ58" i="7"/>
  <c r="AC58" i="7"/>
  <c r="AF58" i="7" s="1"/>
  <c r="AB58" i="7"/>
  <c r="M58" i="7"/>
  <c r="BK57" i="7"/>
  <c r="BL57" i="7" s="1"/>
  <c r="AN57" i="7"/>
  <c r="AO57" i="7" s="1"/>
  <c r="AR57" i="7" s="1"/>
  <c r="AJ57" i="7"/>
  <c r="AC57" i="7"/>
  <c r="AF57" i="7" s="1"/>
  <c r="AB57" i="7"/>
  <c r="M57" i="7"/>
  <c r="BK56" i="7"/>
  <c r="BL56" i="7" s="1"/>
  <c r="AN56" i="7"/>
  <c r="AO56" i="7" s="1"/>
  <c r="AR56" i="7" s="1"/>
  <c r="AJ56" i="7"/>
  <c r="AC56" i="7"/>
  <c r="AF56" i="7" s="1"/>
  <c r="AB56" i="7"/>
  <c r="M56" i="7"/>
  <c r="BK55" i="7"/>
  <c r="BL55" i="7" s="1"/>
  <c r="AO55" i="7"/>
  <c r="AR55" i="7" s="1"/>
  <c r="AJ55" i="7"/>
  <c r="AC55" i="7"/>
  <c r="AF55" i="7" s="1"/>
  <c r="AB55" i="7"/>
  <c r="M55" i="7"/>
  <c r="BK54" i="7"/>
  <c r="BL54" i="7" s="1"/>
  <c r="AO54" i="7"/>
  <c r="AR54" i="7" s="1"/>
  <c r="AJ54" i="7"/>
  <c r="AC54" i="7"/>
  <c r="AF54" i="7" s="1"/>
  <c r="AB54" i="7"/>
  <c r="M54" i="7"/>
  <c r="BK53" i="7"/>
  <c r="BL53" i="7" s="1"/>
  <c r="AN53" i="7"/>
  <c r="AO53" i="7" s="1"/>
  <c r="AR53" i="7" s="1"/>
  <c r="AJ53" i="7"/>
  <c r="AC53" i="7"/>
  <c r="AF53" i="7" s="1"/>
  <c r="AB53" i="7"/>
  <c r="M53" i="7"/>
  <c r="BK52" i="7"/>
  <c r="BL52" i="7" s="1"/>
  <c r="AN52" i="7"/>
  <c r="AO52" i="7" s="1"/>
  <c r="AR52" i="7" s="1"/>
  <c r="AJ52" i="7"/>
  <c r="AC52" i="7"/>
  <c r="AF52" i="7" s="1"/>
  <c r="AB52" i="7"/>
  <c r="M52" i="7"/>
  <c r="BK51" i="7"/>
  <c r="BL51" i="7" s="1"/>
  <c r="AN51" i="7"/>
  <c r="AO51" i="7" s="1"/>
  <c r="AR51" i="7" s="1"/>
  <c r="AJ51" i="7"/>
  <c r="AC51" i="7"/>
  <c r="AF51" i="7" s="1"/>
  <c r="AB51" i="7"/>
  <c r="M51" i="7"/>
  <c r="BK50" i="7"/>
  <c r="BL50" i="7" s="1"/>
  <c r="AN50" i="7"/>
  <c r="AO50" i="7" s="1"/>
  <c r="AR50" i="7" s="1"/>
  <c r="AJ50" i="7"/>
  <c r="AC50" i="7"/>
  <c r="AF50" i="7" s="1"/>
  <c r="AB50" i="7"/>
  <c r="M50" i="7"/>
  <c r="BK49" i="7"/>
  <c r="BL49" i="7" s="1"/>
  <c r="AN49" i="7"/>
  <c r="AO49" i="7" s="1"/>
  <c r="AR49" i="7" s="1"/>
  <c r="AJ49" i="7"/>
  <c r="AC49" i="7"/>
  <c r="AF49" i="7" s="1"/>
  <c r="AB49" i="7"/>
  <c r="M49" i="7"/>
  <c r="BK48" i="7"/>
  <c r="BL48" i="7" s="1"/>
  <c r="AN48" i="7"/>
  <c r="AO48" i="7" s="1"/>
  <c r="AR48" i="7" s="1"/>
  <c r="AJ48" i="7"/>
  <c r="AC48" i="7"/>
  <c r="AF48" i="7" s="1"/>
  <c r="AB48" i="7"/>
  <c r="M48" i="7"/>
  <c r="BK47" i="7"/>
  <c r="BL47" i="7" s="1"/>
  <c r="AN47" i="7"/>
  <c r="AO47" i="7" s="1"/>
  <c r="AR47" i="7" s="1"/>
  <c r="AJ47" i="7"/>
  <c r="AC47" i="7"/>
  <c r="AF47" i="7" s="1"/>
  <c r="AB47" i="7"/>
  <c r="M47" i="7"/>
  <c r="BK46" i="7"/>
  <c r="BL46" i="7" s="1"/>
  <c r="AN46" i="7"/>
  <c r="AO46" i="7" s="1"/>
  <c r="AR46" i="7" s="1"/>
  <c r="AJ46" i="7"/>
  <c r="AC46" i="7"/>
  <c r="AF46" i="7" s="1"/>
  <c r="AB46" i="7"/>
  <c r="M46" i="7"/>
  <c r="BK45" i="7"/>
  <c r="BL45" i="7" s="1"/>
  <c r="AN45" i="7"/>
  <c r="AO45" i="7" s="1"/>
  <c r="AR45" i="7" s="1"/>
  <c r="AJ45" i="7"/>
  <c r="AC45" i="7"/>
  <c r="AF45" i="7" s="1"/>
  <c r="AB45" i="7"/>
  <c r="M45" i="7"/>
  <c r="BK44" i="7"/>
  <c r="BL44" i="7" s="1"/>
  <c r="AN44" i="7"/>
  <c r="AO44" i="7" s="1"/>
  <c r="AR44" i="7" s="1"/>
  <c r="AJ44" i="7"/>
  <c r="AC44" i="7"/>
  <c r="AF44" i="7" s="1"/>
  <c r="AB44" i="7"/>
  <c r="M44" i="7"/>
  <c r="BK43" i="7"/>
  <c r="BL43" i="7" s="1"/>
  <c r="AN43" i="7"/>
  <c r="AO43" i="7" s="1"/>
  <c r="AR43" i="7" s="1"/>
  <c r="AJ43" i="7"/>
  <c r="AC43" i="7"/>
  <c r="AF43" i="7" s="1"/>
  <c r="AB43" i="7"/>
  <c r="M43" i="7"/>
  <c r="BK42" i="7"/>
  <c r="BL42" i="7" s="1"/>
  <c r="AN42" i="7"/>
  <c r="AO42" i="7" s="1"/>
  <c r="AR42" i="7" s="1"/>
  <c r="AJ42" i="7"/>
  <c r="AC42" i="7"/>
  <c r="AF42" i="7" s="1"/>
  <c r="AB42" i="7"/>
  <c r="M42" i="7"/>
  <c r="BK41" i="7"/>
  <c r="BL41" i="7" s="1"/>
  <c r="AN41" i="7"/>
  <c r="AO41" i="7" s="1"/>
  <c r="AR41" i="7" s="1"/>
  <c r="AJ41" i="7"/>
  <c r="AC41" i="7"/>
  <c r="AF41" i="7" s="1"/>
  <c r="AB41" i="7"/>
  <c r="M41" i="7"/>
  <c r="BK40" i="7"/>
  <c r="BL40" i="7" s="1"/>
  <c r="AN40" i="7"/>
  <c r="AO40" i="7" s="1"/>
  <c r="AR40" i="7" s="1"/>
  <c r="AC40" i="7"/>
  <c r="AF40" i="7" s="1"/>
  <c r="AB40" i="7"/>
  <c r="M40" i="7"/>
  <c r="BK39" i="7"/>
  <c r="BL39" i="7" s="1"/>
  <c r="AN39" i="7"/>
  <c r="AO39" i="7" s="1"/>
  <c r="AR39" i="7" s="1"/>
  <c r="AJ39" i="7"/>
  <c r="AC39" i="7"/>
  <c r="AF39" i="7" s="1"/>
  <c r="AB39" i="7"/>
  <c r="M39" i="7"/>
  <c r="BK38" i="7"/>
  <c r="BL38" i="7" s="1"/>
  <c r="AN38" i="7"/>
  <c r="AO38" i="7" s="1"/>
  <c r="AR38" i="7" s="1"/>
  <c r="AJ38" i="7"/>
  <c r="AC38" i="7"/>
  <c r="AF38" i="7" s="1"/>
  <c r="AB38" i="7"/>
  <c r="BK37" i="7"/>
  <c r="BL37" i="7" s="1"/>
  <c r="AN37" i="7"/>
  <c r="AO37" i="7" s="1"/>
  <c r="AR37" i="7" s="1"/>
  <c r="AJ37" i="7"/>
  <c r="AC37" i="7"/>
  <c r="AF37" i="7" s="1"/>
  <c r="AB37" i="7"/>
  <c r="BK36" i="7"/>
  <c r="BL36" i="7" s="1"/>
  <c r="AN36" i="7"/>
  <c r="AO36" i="7" s="1"/>
  <c r="AR36" i="7" s="1"/>
  <c r="AJ36" i="7"/>
  <c r="AC36" i="7"/>
  <c r="AF36" i="7" s="1"/>
  <c r="AB36" i="7"/>
  <c r="BK35" i="7"/>
  <c r="BL35" i="7" s="1"/>
  <c r="AN35" i="7"/>
  <c r="AO35" i="7" s="1"/>
  <c r="AR35" i="7" s="1"/>
  <c r="AJ35" i="7"/>
  <c r="AC35" i="7"/>
  <c r="AF35" i="7" s="1"/>
  <c r="AB35" i="7"/>
  <c r="BK34" i="7"/>
  <c r="BL34" i="7" s="1"/>
  <c r="AN34" i="7"/>
  <c r="AO34" i="7" s="1"/>
  <c r="AR34" i="7" s="1"/>
  <c r="AJ34" i="7"/>
  <c r="AC34" i="7"/>
  <c r="AF34" i="7" s="1"/>
  <c r="AB34" i="7"/>
  <c r="M34" i="7"/>
  <c r="BK33" i="7"/>
  <c r="BL33" i="7" s="1"/>
  <c r="AN33" i="7"/>
  <c r="AO33" i="7" s="1"/>
  <c r="AR33" i="7" s="1"/>
  <c r="AJ33" i="7"/>
  <c r="AC33" i="7"/>
  <c r="AF33" i="7" s="1"/>
  <c r="AB33" i="7"/>
  <c r="M33" i="7"/>
  <c r="BK32" i="7"/>
  <c r="BL32" i="7" s="1"/>
  <c r="AN32" i="7"/>
  <c r="AO32" i="7" s="1"/>
  <c r="AR32" i="7" s="1"/>
  <c r="AJ32" i="7"/>
  <c r="AC32" i="7"/>
  <c r="AF32" i="7" s="1"/>
  <c r="AB32" i="7"/>
  <c r="M32" i="7"/>
  <c r="BK31" i="7"/>
  <c r="BL31" i="7" s="1"/>
  <c r="AN31" i="7"/>
  <c r="AO31" i="7" s="1"/>
  <c r="AR31" i="7" s="1"/>
  <c r="AJ31" i="7"/>
  <c r="AC31" i="7"/>
  <c r="AF31" i="7" s="1"/>
  <c r="AB31" i="7"/>
  <c r="M31" i="7"/>
  <c r="BK30" i="7"/>
  <c r="BL30" i="7" s="1"/>
  <c r="AN30" i="7"/>
  <c r="AO30" i="7" s="1"/>
  <c r="AR30" i="7" s="1"/>
  <c r="AJ30" i="7"/>
  <c r="AC30" i="7"/>
  <c r="AF30" i="7" s="1"/>
  <c r="AB30" i="7"/>
  <c r="M30" i="7"/>
  <c r="BK29" i="7"/>
  <c r="BL29" i="7" s="1"/>
  <c r="AN29" i="7"/>
  <c r="AO29" i="7" s="1"/>
  <c r="AR29" i="7" s="1"/>
  <c r="AJ29" i="7"/>
  <c r="AC29" i="7"/>
  <c r="AF29" i="7" s="1"/>
  <c r="AB29" i="7"/>
  <c r="M29" i="7"/>
  <c r="BK28" i="7"/>
  <c r="BL28" i="7" s="1"/>
  <c r="AN28" i="7"/>
  <c r="AO28" i="7" s="1"/>
  <c r="AR28" i="7" s="1"/>
  <c r="AJ28" i="7"/>
  <c r="AC28" i="7"/>
  <c r="AF28" i="7" s="1"/>
  <c r="AB28" i="7"/>
  <c r="Q28" i="7"/>
  <c r="M28" i="7"/>
  <c r="BK27" i="7"/>
  <c r="BL27" i="7" s="1"/>
  <c r="AN27" i="7"/>
  <c r="AO27" i="7" s="1"/>
  <c r="AR27" i="7" s="1"/>
  <c r="AJ27" i="7"/>
  <c r="AC27" i="7"/>
  <c r="AF27" i="7" s="1"/>
  <c r="AB27" i="7"/>
  <c r="Q27" i="7"/>
  <c r="M27" i="7"/>
  <c r="BK26" i="7"/>
  <c r="BL26" i="7" s="1"/>
  <c r="AN26" i="7"/>
  <c r="AO26" i="7" s="1"/>
  <c r="AR26" i="7" s="1"/>
  <c r="AJ26" i="7"/>
  <c r="AC26" i="7"/>
  <c r="AF26" i="7" s="1"/>
  <c r="AB26" i="7"/>
  <c r="Q26" i="7"/>
  <c r="M26" i="7"/>
  <c r="BK25" i="7"/>
  <c r="BL25" i="7" s="1"/>
  <c r="AN25" i="7"/>
  <c r="AO25" i="7" s="1"/>
  <c r="AR25" i="7" s="1"/>
  <c r="AJ25" i="7"/>
  <c r="AC25" i="7"/>
  <c r="AF25" i="7" s="1"/>
  <c r="AB25" i="7"/>
  <c r="Q25" i="7"/>
  <c r="M25" i="7"/>
  <c r="BK24" i="7"/>
  <c r="BL24" i="7" s="1"/>
  <c r="AN24" i="7"/>
  <c r="AO24" i="7" s="1"/>
  <c r="AR24" i="7" s="1"/>
  <c r="AJ24" i="7"/>
  <c r="AC24" i="7"/>
  <c r="AF24" i="7" s="1"/>
  <c r="AB24" i="7"/>
  <c r="M24" i="7"/>
  <c r="BK23" i="7"/>
  <c r="BL23" i="7" s="1"/>
  <c r="AN23" i="7"/>
  <c r="AO23" i="7" s="1"/>
  <c r="AR23" i="7" s="1"/>
  <c r="AJ23" i="7"/>
  <c r="AC23" i="7"/>
  <c r="AF23" i="7" s="1"/>
  <c r="AB23" i="7"/>
  <c r="M23" i="7"/>
  <c r="BK22" i="7"/>
  <c r="BL22" i="7" s="1"/>
  <c r="AN22" i="7"/>
  <c r="AO22" i="7" s="1"/>
  <c r="AR22" i="7" s="1"/>
  <c r="AJ22" i="7"/>
  <c r="AC22" i="7"/>
  <c r="AF22" i="7" s="1"/>
  <c r="AB22" i="7"/>
  <c r="M22" i="7"/>
  <c r="BK21" i="7"/>
  <c r="BL21" i="7" s="1"/>
  <c r="AN21" i="7"/>
  <c r="AO21" i="7" s="1"/>
  <c r="AR21" i="7" s="1"/>
  <c r="AJ21" i="7"/>
  <c r="AC21" i="7"/>
  <c r="AF21" i="7" s="1"/>
  <c r="AB21" i="7"/>
  <c r="M21" i="7"/>
  <c r="BK20" i="7"/>
  <c r="BL20" i="7" s="1"/>
  <c r="AN20" i="7"/>
  <c r="AO20" i="7" s="1"/>
  <c r="AR20" i="7" s="1"/>
  <c r="AJ20" i="7"/>
  <c r="AC20" i="7"/>
  <c r="AF20" i="7" s="1"/>
  <c r="AB20" i="7"/>
  <c r="M20" i="7"/>
  <c r="BK19" i="7"/>
  <c r="BL19" i="7" s="1"/>
  <c r="AN19" i="7"/>
  <c r="AO19" i="7" s="1"/>
  <c r="AR19" i="7" s="1"/>
  <c r="AJ19" i="7"/>
  <c r="AC19" i="7"/>
  <c r="AF19" i="7" s="1"/>
  <c r="AB19" i="7"/>
  <c r="M19" i="7"/>
  <c r="BK18" i="7"/>
  <c r="BL18" i="7" s="1"/>
  <c r="AN18" i="7"/>
  <c r="AO18" i="7" s="1"/>
  <c r="AR18" i="7" s="1"/>
  <c r="AJ18" i="7"/>
  <c r="AC18" i="7"/>
  <c r="AF18" i="7" s="1"/>
  <c r="AB18" i="7"/>
  <c r="M18" i="7"/>
  <c r="BK17" i="7"/>
  <c r="BL17" i="7" s="1"/>
  <c r="AN17" i="7"/>
  <c r="AO17" i="7" s="1"/>
  <c r="AR17" i="7" s="1"/>
  <c r="AJ17" i="7"/>
  <c r="AC17" i="7"/>
  <c r="AF17" i="7" s="1"/>
  <c r="AB17" i="7"/>
  <c r="M17" i="7"/>
  <c r="C7" i="7"/>
  <c r="C8" i="7" s="1"/>
  <c r="C6" i="7"/>
  <c r="B5" i="7"/>
  <c r="B6" i="7" s="1"/>
  <c r="AD17" i="8" l="1"/>
  <c r="AE17" i="8"/>
  <c r="T18" i="3"/>
  <c r="U18" i="3" s="1"/>
  <c r="V18" i="3" s="1"/>
  <c r="AL18" i="3" s="1"/>
  <c r="BL86" i="12"/>
  <c r="X61" i="1"/>
  <c r="X32" i="1"/>
  <c r="W24" i="1"/>
  <c r="W23" i="1"/>
  <c r="W22" i="1"/>
  <c r="X31" i="1"/>
  <c r="W53" i="1"/>
  <c r="W52" i="1"/>
  <c r="W41" i="1"/>
  <c r="W40" i="1"/>
  <c r="AU49" i="5"/>
  <c r="AV21" i="5"/>
  <c r="AT18" i="5"/>
  <c r="AV19" i="5"/>
  <c r="AH37" i="5"/>
  <c r="AT44" i="5"/>
  <c r="AU40" i="5"/>
  <c r="Z49" i="5"/>
  <c r="AI70" i="5"/>
  <c r="AI26" i="5"/>
  <c r="AU39" i="5"/>
  <c r="Z31" i="5"/>
  <c r="AE69" i="7"/>
  <c r="B7" i="12"/>
  <c r="B8" i="12" s="1"/>
  <c r="P22" i="9"/>
  <c r="R22" i="9"/>
  <c r="R21" i="9"/>
  <c r="AL38" i="9"/>
  <c r="P20" i="9"/>
  <c r="R20" i="9"/>
  <c r="P19" i="9"/>
  <c r="P18" i="9"/>
  <c r="R18" i="9"/>
  <c r="AM37" i="9"/>
  <c r="AJ53" i="12"/>
  <c r="AK53" i="12"/>
  <c r="AD69" i="7"/>
  <c r="AD68" i="7"/>
  <c r="AE68" i="7"/>
  <c r="AJ54" i="5"/>
  <c r="Z54" i="5"/>
  <c r="AJ29" i="5"/>
  <c r="AH29" i="5"/>
  <c r="Z50" i="5"/>
  <c r="AH50" i="5"/>
  <c r="AH48" i="5"/>
  <c r="Z48" i="5"/>
  <c r="AJ40" i="5"/>
  <c r="AU44" i="5"/>
  <c r="AU42" i="5"/>
  <c r="Z19" i="5"/>
  <c r="AT40" i="5"/>
  <c r="AT47" i="5"/>
  <c r="AU21" i="5"/>
  <c r="AJ19" i="5"/>
  <c r="AU19" i="5"/>
  <c r="AI37" i="5"/>
  <c r="AT41" i="5"/>
  <c r="AU41" i="5"/>
  <c r="AH26" i="5"/>
  <c r="AJ53" i="5"/>
  <c r="AI53" i="5"/>
  <c r="AH53" i="5"/>
  <c r="Z53" i="5"/>
  <c r="AJ38" i="5"/>
  <c r="AH38" i="5"/>
  <c r="Z38" i="5"/>
  <c r="AI30" i="5"/>
  <c r="Z30" i="5"/>
  <c r="AH21" i="5"/>
  <c r="AJ21" i="5"/>
  <c r="AI21" i="5"/>
  <c r="Z24" i="5"/>
  <c r="AH24" i="5"/>
  <c r="AJ46" i="5"/>
  <c r="Z46" i="5"/>
  <c r="Z55" i="5"/>
  <c r="AH55" i="5"/>
  <c r="AU25" i="5"/>
  <c r="AT25" i="5"/>
  <c r="AV25" i="5"/>
  <c r="AJ32" i="5"/>
  <c r="AH32" i="5"/>
  <c r="Z32" i="5"/>
  <c r="AH18" i="5"/>
  <c r="AJ18" i="5"/>
  <c r="AT27" i="5"/>
  <c r="AT31" i="5"/>
  <c r="AU27" i="5"/>
  <c r="AJ37" i="5"/>
  <c r="AT45" i="5"/>
  <c r="AU55" i="5"/>
  <c r="AT20" i="5"/>
  <c r="AH39" i="5"/>
  <c r="AI49" i="5"/>
  <c r="AU52" i="5"/>
  <c r="B8" i="5"/>
  <c r="B9" i="5" s="1"/>
  <c r="AV20" i="5"/>
  <c r="Z26" i="5"/>
  <c r="AT33" i="5"/>
  <c r="AT42" i="5"/>
  <c r="Z51" i="5"/>
  <c r="AU33" i="5"/>
  <c r="AH54" i="5"/>
  <c r="Y56" i="5"/>
  <c r="AU24" i="5"/>
  <c r="AH51" i="5"/>
  <c r="AI58" i="5"/>
  <c r="AI51" i="5"/>
  <c r="AH17" i="5"/>
  <c r="Z29" i="5"/>
  <c r="AU36" i="5"/>
  <c r="AI48" i="5"/>
  <c r="Z40" i="5"/>
  <c r="AT46" i="5"/>
  <c r="AJ48" i="5"/>
  <c r="AI62" i="5"/>
  <c r="AH40" i="5"/>
  <c r="AI45" i="5"/>
  <c r="AI50" i="5"/>
  <c r="AI31" i="5"/>
  <c r="AJ45" i="5"/>
  <c r="AJ50" i="5"/>
  <c r="C9" i="4"/>
  <c r="T95" i="2"/>
  <c r="U95" i="2" s="1"/>
  <c r="V95" i="2" s="1"/>
  <c r="V97" i="2"/>
  <c r="AA97" i="2" s="1"/>
  <c r="T48" i="2"/>
  <c r="U48" i="2" s="1"/>
  <c r="V48" i="2" s="1"/>
  <c r="U79" i="2"/>
  <c r="V79" i="2" s="1"/>
  <c r="T85" i="2"/>
  <c r="U85" i="2" s="1"/>
  <c r="V85" i="2" s="1"/>
  <c r="T49" i="2"/>
  <c r="U49" i="2" s="1"/>
  <c r="W39" i="1"/>
  <c r="X30" i="1"/>
  <c r="W38" i="1"/>
  <c r="X29" i="1"/>
  <c r="W25" i="1"/>
  <c r="W17" i="1"/>
  <c r="X60" i="1"/>
  <c r="W68" i="1"/>
  <c r="X59" i="1"/>
  <c r="W67" i="1"/>
  <c r="X58" i="1"/>
  <c r="W54" i="1"/>
  <c r="W51" i="1"/>
  <c r="X44" i="1"/>
  <c r="X66" i="1"/>
  <c r="X50" i="1"/>
  <c r="X37" i="1"/>
  <c r="X21" i="1"/>
  <c r="X65" i="1"/>
  <c r="X49" i="1"/>
  <c r="X36" i="1"/>
  <c r="X20" i="1"/>
  <c r="W57" i="1"/>
  <c r="W43" i="1"/>
  <c r="W28" i="1"/>
  <c r="X64" i="1"/>
  <c r="X48" i="1"/>
  <c r="X35" i="1"/>
  <c r="X19" i="1"/>
  <c r="W56" i="1"/>
  <c r="W27" i="1"/>
  <c r="X63" i="1"/>
  <c r="X47" i="1"/>
  <c r="X34" i="1"/>
  <c r="X18" i="1"/>
  <c r="W55" i="1"/>
  <c r="W42" i="1"/>
  <c r="W26" i="1"/>
  <c r="X62" i="1"/>
  <c r="X46" i="1"/>
  <c r="X33" i="1"/>
  <c r="AK38" i="9"/>
  <c r="AK32" i="9"/>
  <c r="AL32" i="9"/>
  <c r="AL37" i="9"/>
  <c r="B7" i="7"/>
  <c r="B8" i="7" s="1"/>
  <c r="C9" i="2"/>
  <c r="C10" i="2" s="1"/>
  <c r="C11" i="2" s="1"/>
  <c r="C8" i="2"/>
  <c r="B9" i="2"/>
  <c r="B10" i="2" s="1"/>
  <c r="B11" i="2" s="1"/>
  <c r="B8" i="2"/>
  <c r="B10" i="4"/>
  <c r="B11" i="4" s="1"/>
  <c r="B9" i="4"/>
  <c r="AN83" i="2"/>
  <c r="AO83" i="2"/>
  <c r="AA84" i="2"/>
  <c r="Z84" i="2"/>
  <c r="Z57" i="5"/>
  <c r="AJ57" i="5"/>
  <c r="AI57" i="5"/>
  <c r="AH57" i="5"/>
  <c r="V96" i="2"/>
  <c r="T63" i="2"/>
  <c r="T21" i="3"/>
  <c r="U21" i="3" s="1"/>
  <c r="V21" i="3" s="1"/>
  <c r="Z20" i="5"/>
  <c r="AJ20" i="5"/>
  <c r="AI20" i="5"/>
  <c r="AH20" i="5"/>
  <c r="AV35" i="5"/>
  <c r="AU35" i="5"/>
  <c r="AT35" i="5"/>
  <c r="T93" i="2"/>
  <c r="U93" i="2" s="1"/>
  <c r="Z17" i="4"/>
  <c r="T60" i="2"/>
  <c r="U60" i="2" s="1"/>
  <c r="V60" i="2" s="1"/>
  <c r="T86" i="2"/>
  <c r="U86" i="2" s="1"/>
  <c r="AI28" i="5"/>
  <c r="Z28" i="5"/>
  <c r="AJ28" i="5"/>
  <c r="AH28" i="5"/>
  <c r="V62" i="2"/>
  <c r="T83" i="2"/>
  <c r="U83" i="2" s="1"/>
  <c r="AA47" i="2"/>
  <c r="Z47" i="2"/>
  <c r="U88" i="2"/>
  <c r="V88" i="2" s="1"/>
  <c r="AP108" i="2"/>
  <c r="AO108" i="2"/>
  <c r="AN108" i="2"/>
  <c r="AH34" i="5"/>
  <c r="Z34" i="5"/>
  <c r="AJ34" i="5"/>
  <c r="AI34" i="5"/>
  <c r="AV17" i="5"/>
  <c r="AU17" i="5"/>
  <c r="AT17" i="5"/>
  <c r="AV32" i="5"/>
  <c r="AU32" i="5"/>
  <c r="AT32" i="5"/>
  <c r="AN46" i="2"/>
  <c r="Z27" i="4"/>
  <c r="AO46" i="2"/>
  <c r="T87" i="2"/>
  <c r="U87" i="2" s="1"/>
  <c r="T17" i="3"/>
  <c r="U17" i="3" s="1"/>
  <c r="V17" i="3" s="1"/>
  <c r="T19" i="3"/>
  <c r="U19" i="3" s="1"/>
  <c r="AJ25" i="5"/>
  <c r="Z25" i="5"/>
  <c r="AI25" i="5"/>
  <c r="AH25" i="5"/>
  <c r="AJ42" i="5"/>
  <c r="Z42" i="5"/>
  <c r="AJ47" i="5"/>
  <c r="AI47" i="5"/>
  <c r="Z47" i="5"/>
  <c r="Z64" i="5"/>
  <c r="AJ64" i="5"/>
  <c r="AI64" i="5"/>
  <c r="AH64" i="5"/>
  <c r="T59" i="2"/>
  <c r="U59" i="2" s="1"/>
  <c r="V59" i="2" s="1"/>
  <c r="U92" i="2"/>
  <c r="V92" i="2" s="1"/>
  <c r="AI19" i="5"/>
  <c r="AH42" i="5"/>
  <c r="AH47" i="5"/>
  <c r="Z66" i="5"/>
  <c r="AH66" i="5"/>
  <c r="AV71" i="5"/>
  <c r="AU71" i="5"/>
  <c r="AB108" i="2"/>
  <c r="Z108" i="2"/>
  <c r="AJ22" i="5"/>
  <c r="AI22" i="5"/>
  <c r="AH22" i="5"/>
  <c r="AI42" i="5"/>
  <c r="AA108" i="2"/>
  <c r="U20" i="3"/>
  <c r="V20" i="3" s="1"/>
  <c r="Z44" i="5"/>
  <c r="AI44" i="5"/>
  <c r="AH44" i="5"/>
  <c r="AV50" i="5"/>
  <c r="AU50" i="5"/>
  <c r="AT50" i="5"/>
  <c r="AJ66" i="5"/>
  <c r="Z68" i="5"/>
  <c r="AJ68" i="5"/>
  <c r="AI68" i="5"/>
  <c r="AH68" i="5"/>
  <c r="T91" i="2"/>
  <c r="U91" i="2" s="1"/>
  <c r="AP107" i="2"/>
  <c r="AO107" i="2"/>
  <c r="C8" i="5"/>
  <c r="C9" i="5" s="1"/>
  <c r="C7" i="5"/>
  <c r="AU22" i="5"/>
  <c r="AT22" i="5"/>
  <c r="AH27" i="5"/>
  <c r="AJ27" i="5"/>
  <c r="AI27" i="5"/>
  <c r="Z27" i="5"/>
  <c r="AJ52" i="5"/>
  <c r="AI52" i="5"/>
  <c r="AH52" i="5"/>
  <c r="Z70" i="5"/>
  <c r="AH70" i="5"/>
  <c r="AI18" i="5"/>
  <c r="Z18" i="5"/>
  <c r="AJ24" i="5"/>
  <c r="AI24" i="5"/>
  <c r="AJ36" i="5"/>
  <c r="AI36" i="5"/>
  <c r="AH36" i="5"/>
  <c r="Z59" i="5"/>
  <c r="AJ59" i="5"/>
  <c r="AI59" i="5"/>
  <c r="AH59" i="5"/>
  <c r="Z61" i="5"/>
  <c r="AJ61" i="5"/>
  <c r="AI61" i="5"/>
  <c r="AH61" i="5"/>
  <c r="Z72" i="5"/>
  <c r="AJ72" i="5"/>
  <c r="AI72" i="5"/>
  <c r="AH72" i="5"/>
  <c r="AJ41" i="5"/>
  <c r="AI41" i="5"/>
  <c r="AH41" i="5"/>
  <c r="AT24" i="5"/>
  <c r="AU29" i="5"/>
  <c r="AT29" i="5"/>
  <c r="AV29" i="5"/>
  <c r="AH31" i="5"/>
  <c r="AT49" i="5"/>
  <c r="AV59" i="5"/>
  <c r="AU59" i="5"/>
  <c r="Z63" i="5"/>
  <c r="AJ63" i="5"/>
  <c r="AI63" i="5"/>
  <c r="AH63" i="5"/>
  <c r="AK22" i="6"/>
  <c r="S19" i="9"/>
  <c r="AV34" i="5"/>
  <c r="AU34" i="5"/>
  <c r="AT34" i="5"/>
  <c r="Z65" i="5"/>
  <c r="AJ65" i="5"/>
  <c r="AI65" i="5"/>
  <c r="AH65" i="5"/>
  <c r="Z17" i="5"/>
  <c r="AU18" i="5"/>
  <c r="Z56" i="5"/>
  <c r="AJ56" i="5"/>
  <c r="AI56" i="5"/>
  <c r="AH56" i="5"/>
  <c r="AJ23" i="5"/>
  <c r="AI23" i="5"/>
  <c r="AH23" i="5"/>
  <c r="AV38" i="5"/>
  <c r="AU38" i="5"/>
  <c r="AI43" i="5"/>
  <c r="AH43" i="5"/>
  <c r="Z43" i="5"/>
  <c r="AV54" i="5"/>
  <c r="AU54" i="5"/>
  <c r="Z58" i="5"/>
  <c r="AH58" i="5"/>
  <c r="AV63" i="5"/>
  <c r="AU63" i="5"/>
  <c r="Z67" i="5"/>
  <c r="AJ67" i="5"/>
  <c r="AI67" i="5"/>
  <c r="AH67" i="5"/>
  <c r="B10" i="9"/>
  <c r="B11" i="9" s="1"/>
  <c r="B9" i="9"/>
  <c r="Z69" i="5"/>
  <c r="AJ69" i="5"/>
  <c r="AI69" i="5"/>
  <c r="AH69" i="5"/>
  <c r="C10" i="9"/>
  <c r="C11" i="9" s="1"/>
  <c r="C9" i="9"/>
  <c r="AI17" i="5"/>
  <c r="AV23" i="5"/>
  <c r="AU23" i="5"/>
  <c r="Z33" i="5"/>
  <c r="AI33" i="5"/>
  <c r="AH33" i="5"/>
  <c r="AJ35" i="5"/>
  <c r="AI35" i="5"/>
  <c r="AH35" i="5"/>
  <c r="Z35" i="5"/>
  <c r="Z60" i="5"/>
  <c r="AJ60" i="5"/>
  <c r="AI60" i="5"/>
  <c r="AH60" i="5"/>
  <c r="AK17" i="6"/>
  <c r="V61" i="2"/>
  <c r="AV26" i="5"/>
  <c r="AU26" i="5"/>
  <c r="AT28" i="5"/>
  <c r="AV28" i="5"/>
  <c r="AU28" i="5"/>
  <c r="AJ30" i="5"/>
  <c r="AH30" i="5"/>
  <c r="AV43" i="5"/>
  <c r="AU43" i="5"/>
  <c r="AT43" i="5"/>
  <c r="AV51" i="5"/>
  <c r="AU51" i="5"/>
  <c r="AT51" i="5"/>
  <c r="Z62" i="5"/>
  <c r="AH62" i="5"/>
  <c r="AV67" i="5"/>
  <c r="AU67" i="5"/>
  <c r="AI39" i="5"/>
  <c r="AU46" i="5"/>
  <c r="AI55" i="5"/>
  <c r="AH71" i="5"/>
  <c r="AJ39" i="5"/>
  <c r="AH49" i="5"/>
  <c r="AJ55" i="5"/>
  <c r="AV56" i="5"/>
  <c r="AU56" i="5"/>
  <c r="AV60" i="5"/>
  <c r="AU60" i="5"/>
  <c r="AV64" i="5"/>
  <c r="AU64" i="5"/>
  <c r="AV68" i="5"/>
  <c r="AU68" i="5"/>
  <c r="AI71" i="5"/>
  <c r="AV72" i="5"/>
  <c r="AU72" i="5"/>
  <c r="AJ71" i="5"/>
  <c r="AI32" i="5"/>
  <c r="AI38" i="5"/>
  <c r="AU45" i="5"/>
  <c r="AI54" i="5"/>
  <c r="AT39" i="5"/>
  <c r="AT55" i="5"/>
  <c r="AT48" i="5"/>
  <c r="AV58" i="5"/>
  <c r="AU58" i="5"/>
  <c r="AV62" i="5"/>
  <c r="AU62" i="5"/>
  <c r="AV66" i="5"/>
  <c r="AU66" i="5"/>
  <c r="AV70" i="5"/>
  <c r="AU70" i="5"/>
  <c r="Z21" i="5"/>
  <c r="AU31" i="5"/>
  <c r="AT37" i="5"/>
  <c r="Z45" i="5"/>
  <c r="AH46" i="5"/>
  <c r="AU48" i="5"/>
  <c r="AT53" i="5"/>
  <c r="AT58" i="5"/>
  <c r="AT62" i="5"/>
  <c r="AT66" i="5"/>
  <c r="AT70" i="5"/>
  <c r="AD18" i="8"/>
  <c r="AU37" i="5"/>
  <c r="AI46" i="5"/>
  <c r="AU53" i="5"/>
  <c r="AE18" i="8"/>
  <c r="AV30" i="5"/>
  <c r="AU30" i="5"/>
  <c r="AI29" i="5"/>
  <c r="AT30" i="5"/>
  <c r="AT36" i="5"/>
  <c r="AU47" i="5"/>
  <c r="AT52" i="5"/>
  <c r="AV57" i="5"/>
  <c r="AU57" i="5"/>
  <c r="AV61" i="5"/>
  <c r="AU61" i="5"/>
  <c r="AV65" i="5"/>
  <c r="AU65" i="5"/>
  <c r="AV69" i="5"/>
  <c r="AU69" i="5"/>
  <c r="S21" i="9"/>
  <c r="Y53" i="12"/>
  <c r="X53" i="12"/>
  <c r="W53" i="12"/>
  <c r="Z18" i="3" l="1"/>
  <c r="AA18" i="3"/>
  <c r="AK18" i="3"/>
  <c r="AO96" i="2"/>
  <c r="Z97" i="2"/>
  <c r="AN96" i="2"/>
  <c r="V49" i="2"/>
  <c r="V93" i="2"/>
  <c r="AA93" i="2" s="1"/>
  <c r="V86" i="2"/>
  <c r="AO85" i="2" s="1"/>
  <c r="U63" i="2"/>
  <c r="V63" i="2" s="1"/>
  <c r="V91" i="2"/>
  <c r="AO90" i="2" s="1"/>
  <c r="AA17" i="3"/>
  <c r="Z17" i="3"/>
  <c r="AL17" i="3"/>
  <c r="AK17" i="3"/>
  <c r="AO91" i="2"/>
  <c r="AN91" i="2"/>
  <c r="AA92" i="2"/>
  <c r="Z92" i="2"/>
  <c r="AA88" i="2"/>
  <c r="Z88" i="2"/>
  <c r="AO87" i="2"/>
  <c r="AN87" i="2"/>
  <c r="AO59" i="2"/>
  <c r="AN59" i="2"/>
  <c r="AA60" i="2"/>
  <c r="Z60" i="2"/>
  <c r="AA21" i="3"/>
  <c r="Z21" i="3"/>
  <c r="AL21" i="3"/>
  <c r="AK21" i="3"/>
  <c r="V83" i="2"/>
  <c r="V87" i="2"/>
  <c r="Z62" i="2"/>
  <c r="AN61" i="2"/>
  <c r="AA62" i="2"/>
  <c r="AO61" i="2"/>
  <c r="Z96" i="2"/>
  <c r="AA96" i="2"/>
  <c r="AO95" i="2"/>
  <c r="AN95" i="2"/>
  <c r="AA48" i="2"/>
  <c r="Z48" i="2"/>
  <c r="AO47" i="2"/>
  <c r="AN47" i="2"/>
  <c r="AO84" i="2"/>
  <c r="AN84" i="2"/>
  <c r="Z85" i="2"/>
  <c r="AA85" i="2"/>
  <c r="AO58" i="2"/>
  <c r="AN58" i="2"/>
  <c r="AA59" i="2"/>
  <c r="Z59" i="2"/>
  <c r="AA20" i="3"/>
  <c r="AL20" i="3"/>
  <c r="AK20" i="3"/>
  <c r="Z20" i="3"/>
  <c r="AA95" i="2"/>
  <c r="AO94" i="2"/>
  <c r="AN94" i="2"/>
  <c r="Z95" i="2"/>
  <c r="AA61" i="2"/>
  <c r="Z61" i="2"/>
  <c r="AO60" i="2"/>
  <c r="AN60" i="2"/>
  <c r="AA79" i="2"/>
  <c r="AO78" i="2"/>
  <c r="Z79" i="2"/>
  <c r="AN78" i="2"/>
  <c r="V19" i="3"/>
  <c r="AN92" i="2" l="1"/>
  <c r="Z91" i="2"/>
  <c r="AA91" i="2"/>
  <c r="AO92" i="2"/>
  <c r="Z93" i="2"/>
  <c r="AN90" i="2"/>
  <c r="AO62" i="2"/>
  <c r="AN62" i="2"/>
  <c r="Z63" i="2"/>
  <c r="AA63" i="2"/>
  <c r="Z86" i="2"/>
  <c r="AA86" i="2"/>
  <c r="AN85" i="2"/>
  <c r="AO48" i="2"/>
  <c r="AA49" i="2"/>
  <c r="Z49" i="2"/>
  <c r="AN48" i="2"/>
  <c r="AA87" i="2"/>
  <c r="Z87" i="2"/>
  <c r="AO86" i="2"/>
  <c r="AN86" i="2"/>
  <c r="AO82" i="2"/>
  <c r="AA83" i="2"/>
  <c r="AN82" i="2"/>
  <c r="Z83" i="2"/>
  <c r="AA19" i="3"/>
  <c r="Z19" i="3"/>
  <c r="AK19" i="3"/>
  <c r="AL19" i="3"/>
  <c r="X17" i="7"/>
  <c r="W56" i="7" s="1"/>
  <c r="X56" i="7" s="1"/>
  <c r="AQ56" i="7" s="1"/>
  <c r="W29" i="7" l="1"/>
  <c r="X29" i="7" s="1"/>
  <c r="AP29" i="7" s="1"/>
  <c r="W46" i="7"/>
  <c r="X46" i="7" s="1"/>
  <c r="W40" i="7"/>
  <c r="X40" i="7" s="1"/>
  <c r="AQ40" i="7" s="1"/>
  <c r="AP17" i="7"/>
  <c r="W26" i="7"/>
  <c r="X26" i="7" s="1"/>
  <c r="Z26" i="7" s="1"/>
  <c r="AE26" i="7" s="1"/>
  <c r="Z17" i="7"/>
  <c r="AD17" i="7" s="1"/>
  <c r="W73" i="7"/>
  <c r="X73" i="7" s="1"/>
  <c r="AQ73" i="7" s="1"/>
  <c r="W25" i="7"/>
  <c r="X25" i="7" s="1"/>
  <c r="AP25" i="7" s="1"/>
  <c r="W36" i="7"/>
  <c r="X36" i="7" s="1"/>
  <c r="AP36" i="7" s="1"/>
  <c r="W42" i="7"/>
  <c r="X42" i="7" s="1"/>
  <c r="AQ42" i="7" s="1"/>
  <c r="W31" i="7"/>
  <c r="X31" i="7" s="1"/>
  <c r="AP31" i="7" s="1"/>
  <c r="Z46" i="7"/>
  <c r="AP46" i="7"/>
  <c r="AQ46" i="7"/>
  <c r="Z73" i="7"/>
  <c r="AP73" i="7"/>
  <c r="Z56" i="7"/>
  <c r="AP56" i="7"/>
  <c r="W32" i="7"/>
  <c r="X32" i="7" s="1"/>
  <c r="W22" i="7"/>
  <c r="X22" i="7" s="1"/>
  <c r="W50" i="7"/>
  <c r="X50" i="7" s="1"/>
  <c r="W52" i="7"/>
  <c r="X52" i="7" s="1"/>
  <c r="W21" i="7"/>
  <c r="X21" i="7" s="1"/>
  <c r="W43" i="7"/>
  <c r="X43" i="7" s="1"/>
  <c r="W69" i="7"/>
  <c r="X69" i="7" s="1"/>
  <c r="W72" i="7"/>
  <c r="X72" i="7" s="1"/>
  <c r="W65" i="7"/>
  <c r="X65" i="7" s="1"/>
  <c r="W63" i="7"/>
  <c r="X63" i="7" s="1"/>
  <c r="W71" i="7"/>
  <c r="X71" i="7" s="1"/>
  <c r="W47" i="7"/>
  <c r="X47" i="7" s="1"/>
  <c r="W34" i="7"/>
  <c r="X34" i="7" s="1"/>
  <c r="W39" i="7"/>
  <c r="X39" i="7" s="1"/>
  <c r="W70" i="7"/>
  <c r="X70" i="7" s="1"/>
  <c r="W23" i="7"/>
  <c r="X23" i="7" s="1"/>
  <c r="W61" i="7"/>
  <c r="X61" i="7" s="1"/>
  <c r="W54" i="7"/>
  <c r="X54" i="7" s="1"/>
  <c r="W37" i="7"/>
  <c r="X37" i="7" s="1"/>
  <c r="W48" i="7"/>
  <c r="X48" i="7" s="1"/>
  <c r="W24" i="7"/>
  <c r="X24" i="7" s="1"/>
  <c r="W59" i="7"/>
  <c r="X59" i="7" s="1"/>
  <c r="W66" i="7"/>
  <c r="X66" i="7" s="1"/>
  <c r="W75" i="7"/>
  <c r="X75" i="7" s="1"/>
  <c r="W57" i="7"/>
  <c r="X57" i="7" s="1"/>
  <c r="W28" i="7"/>
  <c r="X28" i="7" s="1"/>
  <c r="W62" i="7"/>
  <c r="X62" i="7" s="1"/>
  <c r="W20" i="7"/>
  <c r="X20" i="7" s="1"/>
  <c r="W64" i="7"/>
  <c r="X64" i="7" s="1"/>
  <c r="W55" i="7"/>
  <c r="X55" i="7" s="1"/>
  <c r="W30" i="7"/>
  <c r="X30" i="7" s="1"/>
  <c r="W74" i="7"/>
  <c r="X74" i="7" s="1"/>
  <c r="W49" i="7"/>
  <c r="X49" i="7" s="1"/>
  <c r="W44" i="7"/>
  <c r="X44" i="7" s="1"/>
  <c r="W51" i="7"/>
  <c r="X51" i="7" s="1"/>
  <c r="W19" i="7"/>
  <c r="X19" i="7" s="1"/>
  <c r="W35" i="7"/>
  <c r="X35" i="7" s="1"/>
  <c r="AQ17" i="7"/>
  <c r="W18" i="7"/>
  <c r="X18" i="7" s="1"/>
  <c r="W60" i="7"/>
  <c r="X60" i="7" s="1"/>
  <c r="W27" i="7"/>
  <c r="X27" i="7" s="1"/>
  <c r="W41" i="7"/>
  <c r="X41" i="7" s="1"/>
  <c r="W53" i="7"/>
  <c r="X53" i="7" s="1"/>
  <c r="W68" i="7"/>
  <c r="X68" i="7" s="1"/>
  <c r="W33" i="7"/>
  <c r="X33" i="7" s="1"/>
  <c r="W67" i="7"/>
  <c r="X67" i="7" s="1"/>
  <c r="W45" i="7"/>
  <c r="X45" i="7" s="1"/>
  <c r="W58" i="7"/>
  <c r="X58" i="7" s="1"/>
  <c r="W38" i="7"/>
  <c r="X38" i="7" s="1"/>
  <c r="AE17" i="7" l="1"/>
  <c r="AP26" i="7"/>
  <c r="AQ26" i="7"/>
  <c r="Z29" i="7"/>
  <c r="AQ29" i="7"/>
  <c r="AQ36" i="7"/>
  <c r="AQ25" i="7"/>
  <c r="Z40" i="7"/>
  <c r="AD40" i="7" s="1"/>
  <c r="AQ31" i="7"/>
  <c r="Z31" i="7"/>
  <c r="AE31" i="7" s="1"/>
  <c r="AP40" i="7"/>
  <c r="Z36" i="7"/>
  <c r="AD36" i="7" s="1"/>
  <c r="AD26" i="7"/>
  <c r="AP42" i="7"/>
  <c r="Z25" i="7"/>
  <c r="AE25" i="7" s="1"/>
  <c r="Z42" i="7"/>
  <c r="AE42" i="7" s="1"/>
  <c r="Z49" i="7"/>
  <c r="AQ49" i="7"/>
  <c r="AP49" i="7"/>
  <c r="Z74" i="7"/>
  <c r="AQ74" i="7"/>
  <c r="AP74" i="7"/>
  <c r="AQ30" i="7"/>
  <c r="Z30" i="7"/>
  <c r="AP30" i="7"/>
  <c r="AQ67" i="7"/>
  <c r="AP67" i="7"/>
  <c r="Z67" i="7"/>
  <c r="AP47" i="7"/>
  <c r="Z47" i="7"/>
  <c r="AQ47" i="7"/>
  <c r="AQ71" i="7"/>
  <c r="Z71" i="7"/>
  <c r="AP71" i="7"/>
  <c r="Z55" i="7"/>
  <c r="AP55" i="7"/>
  <c r="AQ55" i="7"/>
  <c r="Z33" i="7"/>
  <c r="AQ33" i="7"/>
  <c r="AP33" i="7"/>
  <c r="AQ34" i="7"/>
  <c r="AP34" i="7"/>
  <c r="Z34" i="7"/>
  <c r="AP28" i="7"/>
  <c r="AQ28" i="7"/>
  <c r="Z28" i="7"/>
  <c r="Z63" i="7"/>
  <c r="AP63" i="7"/>
  <c r="AQ63" i="7"/>
  <c r="AP38" i="7"/>
  <c r="Z38" i="7"/>
  <c r="AQ38" i="7"/>
  <c r="AP23" i="7"/>
  <c r="Z23" i="7"/>
  <c r="AQ23" i="7"/>
  <c r="AQ70" i="7"/>
  <c r="AP70" i="7"/>
  <c r="Z70" i="7"/>
  <c r="AQ62" i="7"/>
  <c r="AP62" i="7"/>
  <c r="Z62" i="7"/>
  <c r="AQ57" i="7"/>
  <c r="Z57" i="7"/>
  <c r="AP57" i="7"/>
  <c r="AP65" i="7"/>
  <c r="AQ65" i="7"/>
  <c r="Z65" i="7"/>
  <c r="AQ61" i="7"/>
  <c r="Z61" i="7"/>
  <c r="AP61" i="7"/>
  <c r="Z58" i="7"/>
  <c r="AP58" i="7"/>
  <c r="AQ58" i="7"/>
  <c r="Z39" i="7"/>
  <c r="AP39" i="7"/>
  <c r="AQ39" i="7"/>
  <c r="AP64" i="7"/>
  <c r="Z64" i="7"/>
  <c r="AQ64" i="7"/>
  <c r="AP68" i="7"/>
  <c r="AQ68" i="7"/>
  <c r="AQ20" i="7"/>
  <c r="AP20" i="7"/>
  <c r="Z20" i="7"/>
  <c r="AQ53" i="7"/>
  <c r="AP53" i="7"/>
  <c r="Z53" i="7"/>
  <c r="AP41" i="7"/>
  <c r="AQ41" i="7"/>
  <c r="Z41" i="7"/>
  <c r="AQ27" i="7"/>
  <c r="Z27" i="7"/>
  <c r="AP27" i="7"/>
  <c r="AP60" i="7"/>
  <c r="AQ60" i="7"/>
  <c r="Z60" i="7"/>
  <c r="Z75" i="7"/>
  <c r="AP75" i="7"/>
  <c r="AQ75" i="7"/>
  <c r="AQ72" i="7"/>
  <c r="AP72" i="7"/>
  <c r="Z72" i="7"/>
  <c r="Z45" i="7"/>
  <c r="AQ45" i="7"/>
  <c r="AP45" i="7"/>
  <c r="AQ18" i="7"/>
  <c r="Z18" i="7"/>
  <c r="AP18" i="7"/>
  <c r="Z66" i="7"/>
  <c r="AQ66" i="7"/>
  <c r="AP66" i="7"/>
  <c r="AP69" i="7"/>
  <c r="AQ69" i="7"/>
  <c r="AP59" i="7"/>
  <c r="Z59" i="7"/>
  <c r="AQ59" i="7"/>
  <c r="AD29" i="7"/>
  <c r="AE29" i="7"/>
  <c r="AP35" i="7"/>
  <c r="Z35" i="7"/>
  <c r="AQ35" i="7"/>
  <c r="AQ24" i="7"/>
  <c r="Z24" i="7"/>
  <c r="AP24" i="7"/>
  <c r="AP21" i="7"/>
  <c r="Z21" i="7"/>
  <c r="AQ21" i="7"/>
  <c r="AD73" i="7"/>
  <c r="AE73" i="7"/>
  <c r="Z19" i="7"/>
  <c r="AQ19" i="7"/>
  <c r="AP19" i="7"/>
  <c r="Z48" i="7"/>
  <c r="AQ48" i="7"/>
  <c r="AP48" i="7"/>
  <c r="AQ52" i="7"/>
  <c r="AP52" i="7"/>
  <c r="Z52" i="7"/>
  <c r="AQ32" i="7"/>
  <c r="Z32" i="7"/>
  <c r="AP32" i="7"/>
  <c r="AQ43" i="7"/>
  <c r="AP43" i="7"/>
  <c r="Z43" i="7"/>
  <c r="AP51" i="7"/>
  <c r="Z51" i="7"/>
  <c r="AQ51" i="7"/>
  <c r="AP37" i="7"/>
  <c r="AQ37" i="7"/>
  <c r="Z37" i="7"/>
  <c r="Z50" i="7"/>
  <c r="AQ50" i="7"/>
  <c r="AP50" i="7"/>
  <c r="Z44" i="7"/>
  <c r="AQ44" i="7"/>
  <c r="AP44" i="7"/>
  <c r="Z54" i="7"/>
  <c r="AP54" i="7"/>
  <c r="AQ54" i="7"/>
  <c r="Z22" i="7"/>
  <c r="AQ22" i="7"/>
  <c r="AP22" i="7"/>
  <c r="AE56" i="7"/>
  <c r="AD56" i="7"/>
  <c r="AD46" i="7"/>
  <c r="AE46" i="7"/>
  <c r="AE40" i="7" l="1"/>
  <c r="AD31" i="7"/>
  <c r="AD25" i="7"/>
  <c r="AE36" i="7"/>
  <c r="AD42" i="7"/>
  <c r="AD37" i="7"/>
  <c r="AE37" i="7"/>
  <c r="AE61" i="7"/>
  <c r="AD61" i="7"/>
  <c r="AE19" i="7"/>
  <c r="AD19" i="7"/>
  <c r="AE48" i="7"/>
  <c r="AD48" i="7"/>
  <c r="AE47" i="7"/>
  <c r="AD47" i="7"/>
  <c r="AD51" i="7"/>
  <c r="AE51" i="7"/>
  <c r="AD67" i="7"/>
  <c r="AE67" i="7"/>
  <c r="AD22" i="7"/>
  <c r="AE22" i="7"/>
  <c r="AD43" i="7"/>
  <c r="AE43" i="7"/>
  <c r="AD60" i="7"/>
  <c r="AE60" i="7"/>
  <c r="AE23" i="7"/>
  <c r="AD23" i="7"/>
  <c r="AD65" i="7"/>
  <c r="AE65" i="7"/>
  <c r="AD59" i="7"/>
  <c r="AE59" i="7"/>
  <c r="AD21" i="7"/>
  <c r="AE21" i="7"/>
  <c r="AE64" i="7"/>
  <c r="AD64" i="7"/>
  <c r="AE30" i="7"/>
  <c r="AD30" i="7"/>
  <c r="AE33" i="7"/>
  <c r="AD33" i="7"/>
  <c r="AD54" i="7"/>
  <c r="AE54" i="7"/>
  <c r="AD66" i="7"/>
  <c r="AE66" i="7"/>
  <c r="AD38" i="7"/>
  <c r="AE38" i="7"/>
  <c r="AE55" i="7"/>
  <c r="AD55" i="7"/>
  <c r="AE34" i="7"/>
  <c r="AD34" i="7"/>
  <c r="AD75" i="7"/>
  <c r="AE75" i="7"/>
  <c r="AE32" i="7"/>
  <c r="AD32" i="7"/>
  <c r="AE27" i="7"/>
  <c r="AD27" i="7"/>
  <c r="AE72" i="7"/>
  <c r="AD72" i="7"/>
  <c r="AE20" i="7"/>
  <c r="AD20" i="7"/>
  <c r="AD24" i="7"/>
  <c r="AE24" i="7"/>
  <c r="AD52" i="7"/>
  <c r="AE52" i="7"/>
  <c r="AD41" i="7"/>
  <c r="AE41" i="7"/>
  <c r="AE39" i="7"/>
  <c r="AD39" i="7"/>
  <c r="AD74" i="7"/>
  <c r="AE74" i="7"/>
  <c r="AE62" i="7"/>
  <c r="AD62" i="7"/>
  <c r="AD63" i="7"/>
  <c r="AE63" i="7"/>
  <c r="AE58" i="7"/>
  <c r="AD58" i="7"/>
  <c r="AD70" i="7"/>
  <c r="AE70" i="7"/>
  <c r="AE57" i="7"/>
  <c r="AD57" i="7"/>
  <c r="AE44" i="7"/>
  <c r="AD44" i="7"/>
  <c r="AD35" i="7"/>
  <c r="AE35" i="7"/>
  <c r="AE28" i="7"/>
  <c r="AD28" i="7"/>
  <c r="AD18" i="7"/>
  <c r="AE18" i="7"/>
  <c r="AD50" i="7"/>
  <c r="AE50" i="7"/>
  <c r="AD45" i="7"/>
  <c r="AE45" i="7"/>
  <c r="AD53" i="7"/>
  <c r="AE53" i="7"/>
  <c r="AE71" i="7"/>
  <c r="AD71" i="7"/>
  <c r="AE49" i="7"/>
  <c r="AD49" i="7"/>
  <c r="O64" i="9"/>
  <c r="O61" i="9"/>
  <c r="O49" i="9"/>
  <c r="O46" i="9"/>
  <c r="O54" i="9"/>
  <c r="O40" i="9"/>
  <c r="O62" i="9"/>
  <c r="O39" i="9"/>
  <c r="O74" i="9"/>
  <c r="O63" i="9"/>
  <c r="O34" i="9"/>
  <c r="O18" i="9"/>
  <c r="O41" i="9"/>
  <c r="O67" i="9"/>
  <c r="O45" i="9"/>
  <c r="O23" i="9"/>
  <c r="O43" i="9"/>
  <c r="O27" i="9"/>
  <c r="O65" i="9"/>
  <c r="O71" i="9"/>
  <c r="O75" i="9"/>
  <c r="O19" i="9"/>
  <c r="O60" i="9"/>
  <c r="O20" i="9"/>
  <c r="O68" i="9"/>
  <c r="O42" i="9"/>
  <c r="O66" i="9"/>
  <c r="O70" i="9"/>
  <c r="O29" i="9"/>
  <c r="O25" i="9"/>
  <c r="O48" i="9"/>
  <c r="O50" i="9"/>
  <c r="O73" i="9"/>
  <c r="O55" i="9"/>
  <c r="O22" i="9"/>
  <c r="O47" i="9"/>
  <c r="O59" i="9"/>
  <c r="O21" i="9"/>
  <c r="O58" i="9"/>
  <c r="O30" i="9"/>
  <c r="O26" i="9"/>
  <c r="O31" i="9"/>
  <c r="O33" i="9"/>
  <c r="O52" i="9"/>
  <c r="O56" i="9"/>
  <c r="O57" i="9"/>
  <c r="O51" i="9"/>
  <c r="O69" i="9"/>
  <c r="O24" i="9"/>
  <c r="O76" i="9"/>
  <c r="O36" i="9"/>
  <c r="O35" i="9"/>
  <c r="O72" i="9"/>
  <c r="O53" i="9"/>
  <c r="O44" i="9"/>
  <c r="T17" i="9"/>
  <c r="U17" i="9" s="1"/>
  <c r="Z17" i="9" l="1"/>
  <c r="AK17" i="9"/>
  <c r="AL17" i="9"/>
  <c r="Y17" i="9"/>
  <c r="S28" i="9"/>
  <c r="T22" i="9"/>
  <c r="U22" i="9" s="1"/>
  <c r="R59" i="9"/>
  <c r="S59" i="9" s="1"/>
  <c r="R51" i="9"/>
  <c r="S51" i="9" s="1"/>
  <c r="T51" i="9" s="1"/>
  <c r="R61" i="9"/>
  <c r="R43" i="9"/>
  <c r="S43" i="9" s="1"/>
  <c r="R46" i="9"/>
  <c r="S46" i="9" s="1"/>
  <c r="R35" i="9"/>
  <c r="R47" i="9"/>
  <c r="R44" i="9"/>
  <c r="S44" i="9" s="1"/>
  <c r="R53" i="9"/>
  <c r="S53" i="9" s="1"/>
  <c r="T26" i="9"/>
  <c r="U26" i="9" s="1"/>
  <c r="R62" i="9"/>
  <c r="R74" i="9"/>
  <c r="R70" i="9"/>
  <c r="S70" i="9" s="1"/>
  <c r="T20" i="9"/>
  <c r="U20" i="9" s="1"/>
  <c r="T23" i="9"/>
  <c r="U23" i="9" s="1"/>
  <c r="AL23" i="9" s="1"/>
  <c r="R68" i="9"/>
  <c r="S68" i="9" s="1"/>
  <c r="T68" i="9" s="1"/>
  <c r="R48" i="9"/>
  <c r="S48" i="9" s="1"/>
  <c r="R41" i="9"/>
  <c r="S41" i="9" s="1"/>
  <c r="T41" i="9" s="1"/>
  <c r="R65" i="9"/>
  <c r="R76" i="9"/>
  <c r="S76" i="9" s="1"/>
  <c r="T76" i="9" s="1"/>
  <c r="T24" i="9"/>
  <c r="U24" i="9" s="1"/>
  <c r="AK24" i="9" s="1"/>
  <c r="S30" i="9"/>
  <c r="T30" i="9" s="1"/>
  <c r="U30" i="9" s="1"/>
  <c r="R71" i="9"/>
  <c r="R60" i="9"/>
  <c r="S60" i="9" s="1"/>
  <c r="T60" i="9" s="1"/>
  <c r="U60" i="9" s="1"/>
  <c r="R39" i="9"/>
  <c r="T25" i="9"/>
  <c r="U25" i="9" s="1"/>
  <c r="AL25" i="9" s="1"/>
  <c r="R52" i="9"/>
  <c r="R75" i="9"/>
  <c r="S75" i="9" s="1"/>
  <c r="S27" i="9"/>
  <c r="T27" i="9" s="1"/>
  <c r="R40" i="9"/>
  <c r="S40" i="9" s="1"/>
  <c r="T40" i="9" s="1"/>
  <c r="U40" i="9" s="1"/>
  <c r="Z40" i="9" s="1"/>
  <c r="R58" i="9"/>
  <c r="R67" i="9"/>
  <c r="R69" i="9"/>
  <c r="R54" i="9"/>
  <c r="S54" i="9" s="1"/>
  <c r="T54" i="9" s="1"/>
  <c r="R45" i="9"/>
  <c r="R49" i="9"/>
  <c r="S49" i="9" s="1"/>
  <c r="T49" i="9" s="1"/>
  <c r="R34" i="9"/>
  <c r="R64" i="9"/>
  <c r="S64" i="9" s="1"/>
  <c r="T19" i="9"/>
  <c r="U19" i="9" s="1"/>
  <c r="AL19" i="9" s="1"/>
  <c r="S29" i="9"/>
  <c r="T21" i="9"/>
  <c r="U21" i="9" s="1"/>
  <c r="AK21" i="9" s="1"/>
  <c r="R72" i="9"/>
  <c r="S72" i="9" s="1"/>
  <c r="R36" i="9"/>
  <c r="R33" i="9"/>
  <c r="S33" i="9" s="1"/>
  <c r="T33" i="9" s="1"/>
  <c r="R73" i="9"/>
  <c r="S31" i="9"/>
  <c r="T18" i="9"/>
  <c r="U18" i="9" s="1"/>
  <c r="AL18" i="9" s="1"/>
  <c r="R56" i="9"/>
  <c r="R63" i="9"/>
  <c r="S63" i="9" s="1"/>
  <c r="T63" i="9" s="1"/>
  <c r="R50" i="9"/>
  <c r="R66" i="9"/>
  <c r="S66" i="9" s="1"/>
  <c r="R55" i="9"/>
  <c r="R57" i="9"/>
  <c r="S57" i="9" s="1"/>
  <c r="R42" i="9"/>
  <c r="S42" i="9" s="1"/>
  <c r="U76" i="9" l="1"/>
  <c r="AL76" i="9" s="1"/>
  <c r="S47" i="9"/>
  <c r="T47" i="9" s="1"/>
  <c r="U47" i="9" s="1"/>
  <c r="AL22" i="9"/>
  <c r="Y22" i="9"/>
  <c r="Z22" i="9"/>
  <c r="Z30" i="9"/>
  <c r="Y30" i="9"/>
  <c r="AK30" i="9"/>
  <c r="T43" i="9"/>
  <c r="U43" i="9" s="1"/>
  <c r="T31" i="9"/>
  <c r="U31" i="9" s="1"/>
  <c r="AK19" i="9"/>
  <c r="S74" i="9"/>
  <c r="T74" i="9" s="1"/>
  <c r="U49" i="9"/>
  <c r="Y49" i="9" s="1"/>
  <c r="T75" i="9"/>
  <c r="U75" i="9" s="1"/>
  <c r="S61" i="9"/>
  <c r="T61" i="9" s="1"/>
  <c r="U61" i="9" s="1"/>
  <c r="AK61" i="9" s="1"/>
  <c r="Z21" i="9"/>
  <c r="Y21" i="9"/>
  <c r="T70" i="9"/>
  <c r="U70" i="9" s="1"/>
  <c r="AL21" i="9"/>
  <c r="Z23" i="9"/>
  <c r="S39" i="9"/>
  <c r="T39" i="9" s="1"/>
  <c r="U39" i="9" s="1"/>
  <c r="AK18" i="9"/>
  <c r="Z60" i="9"/>
  <c r="AK60" i="9"/>
  <c r="Y60" i="9"/>
  <c r="AL60" i="9"/>
  <c r="T64" i="9"/>
  <c r="U64" i="9" s="1"/>
  <c r="Z18" i="9"/>
  <c r="Z24" i="9"/>
  <c r="AL24" i="9"/>
  <c r="Y24" i="9"/>
  <c r="S45" i="9"/>
  <c r="T45" i="9" s="1"/>
  <c r="U45" i="9" s="1"/>
  <c r="S35" i="9"/>
  <c r="T35" i="9" s="1"/>
  <c r="Y18" i="9"/>
  <c r="T72" i="9"/>
  <c r="U72" i="9" s="1"/>
  <c r="S62" i="9"/>
  <c r="T62" i="9" s="1"/>
  <c r="S58" i="9"/>
  <c r="S50" i="9"/>
  <c r="T50" i="9" s="1"/>
  <c r="U50" i="9" s="1"/>
  <c r="T29" i="9"/>
  <c r="U29" i="9" s="1"/>
  <c r="U27" i="9"/>
  <c r="Z19" i="9"/>
  <c r="Y19" i="9"/>
  <c r="AK40" i="9"/>
  <c r="Y40" i="9"/>
  <c r="AL40" i="9"/>
  <c r="Z26" i="9"/>
  <c r="AK26" i="9"/>
  <c r="Y26" i="9"/>
  <c r="AL26" i="9"/>
  <c r="S56" i="9"/>
  <c r="T56" i="9" s="1"/>
  <c r="U33" i="9"/>
  <c r="T59" i="9"/>
  <c r="U59" i="9" s="1"/>
  <c r="T44" i="9"/>
  <c r="U44" i="9" s="1"/>
  <c r="S52" i="9"/>
  <c r="S36" i="9"/>
  <c r="T36" i="9" s="1"/>
  <c r="S73" i="9"/>
  <c r="AL30" i="9"/>
  <c r="T57" i="9"/>
  <c r="U57" i="9" s="1"/>
  <c r="U63" i="9"/>
  <c r="Y25" i="9"/>
  <c r="AK25" i="9"/>
  <c r="S34" i="9"/>
  <c r="T34" i="9" s="1"/>
  <c r="Z25" i="9"/>
  <c r="S71" i="9"/>
  <c r="T71" i="9" s="1"/>
  <c r="AK23" i="9"/>
  <c r="Y23" i="9"/>
  <c r="T42" i="9"/>
  <c r="U42" i="9" s="1"/>
  <c r="S69" i="9"/>
  <c r="T69" i="9" s="1"/>
  <c r="T46" i="9"/>
  <c r="U46" i="9" s="1"/>
  <c r="S55" i="9"/>
  <c r="T55" i="9" s="1"/>
  <c r="S67" i="9"/>
  <c r="T67" i="9" s="1"/>
  <c r="Z20" i="9"/>
  <c r="Y20" i="9"/>
  <c r="AK20" i="9"/>
  <c r="AL20" i="9"/>
  <c r="AK22" i="9"/>
  <c r="T66" i="9"/>
  <c r="U66" i="9" s="1"/>
  <c r="U54" i="9"/>
  <c r="U41" i="9"/>
  <c r="S65" i="9"/>
  <c r="T65" i="9" s="1"/>
  <c r="U68" i="9"/>
  <c r="T53" i="9"/>
  <c r="U53" i="9" s="1"/>
  <c r="T48" i="9"/>
  <c r="U48" i="9" s="1"/>
  <c r="U51" i="9"/>
  <c r="T28" i="9"/>
  <c r="U28" i="9" s="1"/>
  <c r="AK76" i="9" l="1"/>
  <c r="Z76" i="9"/>
  <c r="Y76" i="9"/>
  <c r="AK70" i="9"/>
  <c r="Z70" i="9"/>
  <c r="Y70" i="9"/>
  <c r="AL70" i="9"/>
  <c r="Y43" i="9"/>
  <c r="AL43" i="9"/>
  <c r="AK43" i="9"/>
  <c r="Z43" i="9"/>
  <c r="Z31" i="9"/>
  <c r="Y31" i="9"/>
  <c r="AL31" i="9"/>
  <c r="AK31" i="9"/>
  <c r="AL49" i="9"/>
  <c r="U74" i="9"/>
  <c r="Z49" i="9"/>
  <c r="U67" i="9"/>
  <c r="AK67" i="9" s="1"/>
  <c r="AL61" i="9"/>
  <c r="U55" i="9"/>
  <c r="Z55" i="9" s="1"/>
  <c r="U62" i="9"/>
  <c r="AL62" i="9" s="1"/>
  <c r="Y61" i="9"/>
  <c r="AK49" i="9"/>
  <c r="Z61" i="9"/>
  <c r="AK72" i="9"/>
  <c r="Y72" i="9"/>
  <c r="Z72" i="9"/>
  <c r="AL72" i="9"/>
  <c r="Y66" i="9"/>
  <c r="AL66" i="9"/>
  <c r="AK66" i="9"/>
  <c r="Z66" i="9"/>
  <c r="Y59" i="9"/>
  <c r="AL59" i="9"/>
  <c r="AK59" i="9"/>
  <c r="Z59" i="9"/>
  <c r="AK28" i="9"/>
  <c r="AL28" i="9"/>
  <c r="Y28" i="9"/>
  <c r="Z28" i="9"/>
  <c r="Y46" i="9"/>
  <c r="AK46" i="9"/>
  <c r="Z46" i="9"/>
  <c r="AL46" i="9"/>
  <c r="Y64" i="9"/>
  <c r="Z64" i="9"/>
  <c r="AK64" i="9"/>
  <c r="AL64" i="9"/>
  <c r="Z44" i="9"/>
  <c r="AK44" i="9"/>
  <c r="Y44" i="9"/>
  <c r="AL44" i="9"/>
  <c r="Y45" i="9"/>
  <c r="Z45" i="9"/>
  <c r="AK45" i="9"/>
  <c r="AL45" i="9"/>
  <c r="AL39" i="9"/>
  <c r="AK39" i="9"/>
  <c r="Z39" i="9"/>
  <c r="Y39" i="9"/>
  <c r="AK29" i="9"/>
  <c r="Y29" i="9"/>
  <c r="AL29" i="9"/>
  <c r="Z29" i="9"/>
  <c r="AL75" i="9"/>
  <c r="Y75" i="9"/>
  <c r="AK75" i="9"/>
  <c r="Z75" i="9"/>
  <c r="U56" i="9"/>
  <c r="U34" i="9"/>
  <c r="T52" i="9"/>
  <c r="U52" i="9" s="1"/>
  <c r="AL51" i="9"/>
  <c r="AK51" i="9"/>
  <c r="Y51" i="9"/>
  <c r="Z51" i="9"/>
  <c r="T73" i="9"/>
  <c r="U73" i="9" s="1"/>
  <c r="Y68" i="9"/>
  <c r="AK68" i="9"/>
  <c r="AL68" i="9"/>
  <c r="Z68" i="9"/>
  <c r="AL57" i="9"/>
  <c r="Z57" i="9"/>
  <c r="Y57" i="9"/>
  <c r="AK57" i="9"/>
  <c r="U69" i="9"/>
  <c r="AL47" i="9"/>
  <c r="Z47" i="9"/>
  <c r="Y47" i="9"/>
  <c r="AK47" i="9"/>
  <c r="U65" i="9"/>
  <c r="Z53" i="9"/>
  <c r="Y53" i="9"/>
  <c r="AL53" i="9"/>
  <c r="AK53" i="9"/>
  <c r="Z48" i="9"/>
  <c r="AK48" i="9"/>
  <c r="AL48" i="9"/>
  <c r="Y48" i="9"/>
  <c r="AL50" i="9"/>
  <c r="Y50" i="9"/>
  <c r="Z50" i="9"/>
  <c r="AK50" i="9"/>
  <c r="T58" i="9"/>
  <c r="U58" i="9" s="1"/>
  <c r="Y41" i="9"/>
  <c r="AL41" i="9"/>
  <c r="Z41" i="9"/>
  <c r="AK41" i="9"/>
  <c r="Y62" i="9"/>
  <c r="Z62" i="9"/>
  <c r="AK54" i="9"/>
  <c r="Z54" i="9"/>
  <c r="AL54" i="9"/>
  <c r="Y54" i="9"/>
  <c r="Y42" i="9"/>
  <c r="Z42" i="9"/>
  <c r="AK42" i="9"/>
  <c r="AL42" i="9"/>
  <c r="U71" i="9"/>
  <c r="U36" i="9"/>
  <c r="U35" i="9"/>
  <c r="Y63" i="9"/>
  <c r="AL63" i="9"/>
  <c r="Z63" i="9"/>
  <c r="AK63" i="9"/>
  <c r="AK27" i="9"/>
  <c r="AL27" i="9"/>
  <c r="Z27" i="9"/>
  <c r="Y27" i="9"/>
  <c r="AL33" i="9"/>
  <c r="Y33" i="9"/>
  <c r="Z33" i="9"/>
  <c r="AK33" i="9"/>
  <c r="Y74" i="9" l="1"/>
  <c r="AK74" i="9"/>
  <c r="AL74" i="9"/>
  <c r="Z74" i="9"/>
  <c r="AK55" i="9"/>
  <c r="Y55" i="9"/>
  <c r="Z67" i="9"/>
  <c r="AL55" i="9"/>
  <c r="AL67" i="9"/>
  <c r="Y67" i="9"/>
  <c r="AK62" i="9"/>
  <c r="AL73" i="9"/>
  <c r="AK73" i="9"/>
  <c r="Z73" i="9"/>
  <c r="Y73" i="9"/>
  <c r="AK58" i="9"/>
  <c r="Y58" i="9"/>
  <c r="Z58" i="9"/>
  <c r="AL58" i="9"/>
  <c r="Z52" i="9"/>
  <c r="Y52" i="9"/>
  <c r="AL52" i="9"/>
  <c r="AK52" i="9"/>
  <c r="AK56" i="9"/>
  <c r="Y56" i="9"/>
  <c r="Z56" i="9"/>
  <c r="AL56" i="9"/>
  <c r="Z65" i="9"/>
  <c r="AK65" i="9"/>
  <c r="AL65" i="9"/>
  <c r="Y65" i="9"/>
  <c r="Y34" i="9"/>
  <c r="AK34" i="9"/>
  <c r="AL34" i="9"/>
  <c r="Z34" i="9"/>
  <c r="Z35" i="9"/>
  <c r="AL35" i="9"/>
  <c r="Y35" i="9"/>
  <c r="AK35" i="9"/>
  <c r="AK36" i="9"/>
  <c r="Z36" i="9"/>
  <c r="AL36" i="9"/>
  <c r="Y36" i="9"/>
  <c r="Z71" i="9"/>
  <c r="AK71" i="9"/>
  <c r="Y71" i="9"/>
  <c r="AL71" i="9"/>
  <c r="AK69" i="9"/>
  <c r="AL69" i="9"/>
  <c r="Y69" i="9"/>
  <c r="Z69" i="9"/>
  <c r="Q17" i="12"/>
  <c r="R17" i="12" s="1"/>
  <c r="S17" i="12" s="1"/>
  <c r="X17" i="12" s="1"/>
  <c r="AJ17" i="12" l="1"/>
  <c r="AI17" i="12"/>
  <c r="W17" i="12"/>
  <c r="Q37" i="12"/>
  <c r="Q46" i="12"/>
  <c r="Q49" i="12"/>
  <c r="R49" i="12" s="1"/>
  <c r="S49" i="12" s="1"/>
  <c r="W49" i="12" s="1"/>
  <c r="P61" i="12"/>
  <c r="Q61" i="12" s="1"/>
  <c r="R61" i="12" s="1"/>
  <c r="S61" i="12" s="1"/>
  <c r="Q28" i="12"/>
  <c r="R28" i="12" s="1"/>
  <c r="S28" i="12" s="1"/>
  <c r="AI28" i="12" s="1"/>
  <c r="Q50" i="12"/>
  <c r="P74" i="12"/>
  <c r="Q74" i="12" s="1"/>
  <c r="R74" i="12" s="1"/>
  <c r="S74" i="12" s="1"/>
  <c r="P69" i="12"/>
  <c r="Q69" i="12" s="1"/>
  <c r="Q33" i="12"/>
  <c r="R33" i="12" s="1"/>
  <c r="S33" i="12" s="1"/>
  <c r="Q29" i="12"/>
  <c r="R29" i="12" s="1"/>
  <c r="S29" i="12" s="1"/>
  <c r="P65" i="12"/>
  <c r="Q65" i="12" s="1"/>
  <c r="P70" i="12"/>
  <c r="Q70" i="12" s="1"/>
  <c r="R70" i="12" s="1"/>
  <c r="S70" i="12" s="1"/>
  <c r="P54" i="12"/>
  <c r="Q54" i="12" s="1"/>
  <c r="R54" i="12" s="1"/>
  <c r="S54" i="12" s="1"/>
  <c r="P68" i="12"/>
  <c r="Q68" i="12" s="1"/>
  <c r="R68" i="12" s="1"/>
  <c r="S68" i="12" s="1"/>
  <c r="Q25" i="12"/>
  <c r="Q48" i="12"/>
  <c r="R48" i="12" s="1"/>
  <c r="S48" i="12" s="1"/>
  <c r="P66" i="12"/>
  <c r="Q66" i="12" s="1"/>
  <c r="R66" i="12" s="1"/>
  <c r="S66" i="12" s="1"/>
  <c r="Q36" i="12"/>
  <c r="R36" i="12" s="1"/>
  <c r="S36" i="12" s="1"/>
  <c r="AI36" i="12" s="1"/>
  <c r="P78" i="12"/>
  <c r="Q78" i="12" s="1"/>
  <c r="R78" i="12" s="1"/>
  <c r="S78" i="12" s="1"/>
  <c r="AI78" i="12" s="1"/>
  <c r="Q24" i="12"/>
  <c r="R24" i="12" s="1"/>
  <c r="S24" i="12" s="1"/>
  <c r="Q31" i="12"/>
  <c r="R31" i="12" s="1"/>
  <c r="S31" i="12" s="1"/>
  <c r="W31" i="12" s="1"/>
  <c r="P63" i="12"/>
  <c r="Q63" i="12" s="1"/>
  <c r="R63" i="12" s="1"/>
  <c r="S63" i="12" s="1"/>
  <c r="P82" i="12"/>
  <c r="Q82" i="12" s="1"/>
  <c r="Q23" i="12"/>
  <c r="R23" i="12" s="1"/>
  <c r="S23" i="12" s="1"/>
  <c r="Q47" i="12"/>
  <c r="R47" i="12" s="1"/>
  <c r="S47" i="12" s="1"/>
  <c r="Q44" i="12"/>
  <c r="R44" i="12" s="1"/>
  <c r="S44" i="12" s="1"/>
  <c r="W44" i="12" s="1"/>
  <c r="P76" i="12"/>
  <c r="Q76" i="12" s="1"/>
  <c r="R76" i="12" s="1"/>
  <c r="S76" i="12" s="1"/>
  <c r="X76" i="12" s="1"/>
  <c r="P84" i="12"/>
  <c r="P85" i="12"/>
  <c r="Q85" i="12" s="1"/>
  <c r="Q27" i="12"/>
  <c r="R27" i="12" s="1"/>
  <c r="S27" i="12" s="1"/>
  <c r="AJ27" i="12" s="1"/>
  <c r="Q34" i="12"/>
  <c r="R34" i="12" s="1"/>
  <c r="S34" i="12" s="1"/>
  <c r="Q19" i="12"/>
  <c r="R19" i="12" s="1"/>
  <c r="S19" i="12" s="1"/>
  <c r="Q20" i="12"/>
  <c r="R20" i="12" s="1"/>
  <c r="S20" i="12" s="1"/>
  <c r="Q21" i="12"/>
  <c r="R21" i="12" s="1"/>
  <c r="S21" i="12" s="1"/>
  <c r="Q40" i="12"/>
  <c r="R40" i="12" s="1"/>
  <c r="S40" i="12" s="1"/>
  <c r="Q22" i="12"/>
  <c r="R22" i="12" s="1"/>
  <c r="S22" i="12" s="1"/>
  <c r="R50" i="12"/>
  <c r="S50" i="12" s="1"/>
  <c r="AI50" i="12" s="1"/>
  <c r="Q45" i="12"/>
  <c r="R45" i="12" s="1"/>
  <c r="S45" i="12" s="1"/>
  <c r="P58" i="12"/>
  <c r="Q35" i="12"/>
  <c r="R35" i="12" s="1"/>
  <c r="S35" i="12" s="1"/>
  <c r="Q26" i="12"/>
  <c r="R26" i="12" s="1"/>
  <c r="S26" i="12" s="1"/>
  <c r="X26" i="12" s="1"/>
  <c r="Q32" i="12"/>
  <c r="R32" i="12" s="1"/>
  <c r="S32" i="12" s="1"/>
  <c r="AI32" i="12" s="1"/>
  <c r="R25" i="12"/>
  <c r="S25" i="12" s="1"/>
  <c r="AI25" i="12" s="1"/>
  <c r="P57" i="12"/>
  <c r="Q57" i="12" s="1"/>
  <c r="R57" i="12" s="1"/>
  <c r="S57" i="12" s="1"/>
  <c r="Q30" i="12"/>
  <c r="R30" i="12" s="1"/>
  <c r="S30" i="12" s="1"/>
  <c r="Q42" i="12"/>
  <c r="R42" i="12" s="1"/>
  <c r="S42" i="12" s="1"/>
  <c r="P79" i="12"/>
  <c r="Q79" i="12" s="1"/>
  <c r="R79" i="12" s="1"/>
  <c r="S79" i="12" s="1"/>
  <c r="P81" i="12"/>
  <c r="P67" i="12"/>
  <c r="Q67" i="12" s="1"/>
  <c r="R67" i="12" s="1"/>
  <c r="S67" i="12" s="1"/>
  <c r="P71" i="12"/>
  <c r="Q71" i="12" s="1"/>
  <c r="P73" i="12"/>
  <c r="Q73" i="12" s="1"/>
  <c r="R37" i="12"/>
  <c r="S37" i="12" s="1"/>
  <c r="AI37" i="12" s="1"/>
  <c r="P62" i="12"/>
  <c r="R46" i="12"/>
  <c r="S46" i="12" s="1"/>
  <c r="W46" i="12" s="1"/>
  <c r="P83" i="12"/>
  <c r="Q83" i="12"/>
  <c r="P80" i="12"/>
  <c r="Q80" i="12" s="1"/>
  <c r="Q41" i="12"/>
  <c r="R41" i="12" s="1"/>
  <c r="S41" i="12" s="1"/>
  <c r="Q43" i="12"/>
  <c r="R43" i="12" s="1"/>
  <c r="S43" i="12" s="1"/>
  <c r="P55" i="12"/>
  <c r="P77" i="12"/>
  <c r="Q77" i="12" s="1"/>
  <c r="R77" i="12" s="1"/>
  <c r="S77" i="12" s="1"/>
  <c r="Q18" i="12"/>
  <c r="R18" i="12" s="1"/>
  <c r="S18" i="12" s="1"/>
  <c r="AI18" i="12" s="1"/>
  <c r="Q51" i="12"/>
  <c r="P75" i="12"/>
  <c r="Q75" i="12" s="1"/>
  <c r="R75" i="12" s="1"/>
  <c r="S75" i="12" s="1"/>
  <c r="R51" i="12"/>
  <c r="S51" i="12" s="1"/>
  <c r="Q52" i="12"/>
  <c r="R52" i="12" s="1"/>
  <c r="S52" i="12" s="1"/>
  <c r="AI52" i="12" s="1"/>
  <c r="P72" i="12"/>
  <c r="Q72" i="12" s="1"/>
  <c r="R72" i="12" s="1"/>
  <c r="S72" i="12" s="1"/>
  <c r="P64" i="12"/>
  <c r="Q64" i="12" s="1"/>
  <c r="P60" i="12"/>
  <c r="P59" i="12"/>
  <c r="Q59" i="12" s="1"/>
  <c r="R59" i="12" s="1"/>
  <c r="S59" i="12" s="1"/>
  <c r="P56" i="12"/>
  <c r="Q56" i="12" s="1"/>
  <c r="R56" i="12" s="1"/>
  <c r="S56" i="12" s="1"/>
  <c r="Q38" i="12"/>
  <c r="R38" i="12" s="1"/>
  <c r="S38" i="12" s="1"/>
  <c r="AJ25" i="12" l="1"/>
  <c r="X37" i="12"/>
  <c r="AI24" i="12"/>
  <c r="W24" i="12"/>
  <c r="X24" i="12"/>
  <c r="W47" i="12"/>
  <c r="AI47" i="12"/>
  <c r="X47" i="12"/>
  <c r="X23" i="12"/>
  <c r="AJ23" i="12"/>
  <c r="AI23" i="12"/>
  <c r="W23" i="12"/>
  <c r="X56" i="12"/>
  <c r="AI56" i="12"/>
  <c r="AJ56" i="12"/>
  <c r="W56" i="12"/>
  <c r="X75" i="12"/>
  <c r="AJ75" i="12"/>
  <c r="X50" i="12"/>
  <c r="AJ44" i="12"/>
  <c r="AJ50" i="12"/>
  <c r="W78" i="12"/>
  <c r="W50" i="12"/>
  <c r="Q58" i="12"/>
  <c r="R58" i="12" s="1"/>
  <c r="S58" i="12" s="1"/>
  <c r="W58" i="12" s="1"/>
  <c r="R83" i="12"/>
  <c r="S83" i="12" s="1"/>
  <c r="AJ83" i="12" s="1"/>
  <c r="W25" i="12"/>
  <c r="W37" i="12"/>
  <c r="Q84" i="12"/>
  <c r="R84" i="12" s="1"/>
  <c r="S84" i="12" s="1"/>
  <c r="R73" i="12"/>
  <c r="S73" i="12" s="1"/>
  <c r="AJ37" i="12"/>
  <c r="Q81" i="12"/>
  <c r="R81" i="12" s="1"/>
  <c r="S81" i="12" s="1"/>
  <c r="AI81" i="12" s="1"/>
  <c r="X25" i="12"/>
  <c r="Q60" i="12"/>
  <c r="R60" i="12" s="1"/>
  <c r="S60" i="12" s="1"/>
  <c r="AI60" i="12" s="1"/>
  <c r="AJ41" i="12"/>
  <c r="X41" i="12"/>
  <c r="AI41" i="12"/>
  <c r="W41" i="12"/>
  <c r="AJ67" i="12"/>
  <c r="AI67" i="12"/>
  <c r="W67" i="12"/>
  <c r="X67" i="12"/>
  <c r="AI38" i="12"/>
  <c r="X38" i="12"/>
  <c r="W38" i="12"/>
  <c r="AJ38" i="12"/>
  <c r="W72" i="12"/>
  <c r="AI72" i="12"/>
  <c r="X72" i="12"/>
  <c r="AJ72" i="12"/>
  <c r="AI79" i="12"/>
  <c r="X79" i="12"/>
  <c r="W79" i="12"/>
  <c r="AJ79" i="12"/>
  <c r="AI48" i="12"/>
  <c r="X48" i="12"/>
  <c r="AJ48" i="12"/>
  <c r="W48" i="12"/>
  <c r="AI57" i="12"/>
  <c r="AJ57" i="12"/>
  <c r="X57" i="12"/>
  <c r="W57" i="12"/>
  <c r="W35" i="12"/>
  <c r="AI35" i="12"/>
  <c r="AJ35" i="12"/>
  <c r="X35" i="12"/>
  <c r="W22" i="12"/>
  <c r="AJ22" i="12"/>
  <c r="AI22" i="12"/>
  <c r="X22" i="12"/>
  <c r="AJ19" i="12"/>
  <c r="W19" i="12"/>
  <c r="X19" i="12"/>
  <c r="AI19" i="12"/>
  <c r="AJ59" i="12"/>
  <c r="AI59" i="12"/>
  <c r="W59" i="12"/>
  <c r="X59" i="12"/>
  <c r="X43" i="12"/>
  <c r="AJ43" i="12"/>
  <c r="W43" i="12"/>
  <c r="AI43" i="12"/>
  <c r="X34" i="12"/>
  <c r="AI34" i="12"/>
  <c r="AJ34" i="12"/>
  <c r="W34" i="12"/>
  <c r="AI54" i="12"/>
  <c r="W54" i="12"/>
  <c r="AJ54" i="12"/>
  <c r="X54" i="12"/>
  <c r="AJ21" i="12"/>
  <c r="AI21" i="12"/>
  <c r="X21" i="12"/>
  <c r="W21" i="12"/>
  <c r="X51" i="12"/>
  <c r="W51" i="12"/>
  <c r="AJ51" i="12"/>
  <c r="AI51" i="12"/>
  <c r="AI77" i="12"/>
  <c r="W77" i="12"/>
  <c r="AJ77" i="12"/>
  <c r="X77" i="12"/>
  <c r="W40" i="12"/>
  <c r="AJ40" i="12"/>
  <c r="X40" i="12"/>
  <c r="AI40" i="12"/>
  <c r="W52" i="12"/>
  <c r="X49" i="12"/>
  <c r="AI42" i="12"/>
  <c r="X42" i="12"/>
  <c r="W42" i="12"/>
  <c r="AJ42" i="12"/>
  <c r="X52" i="12"/>
  <c r="X31" i="12"/>
  <c r="AI31" i="12"/>
  <c r="AJ31" i="12"/>
  <c r="AJ49" i="12"/>
  <c r="AI74" i="12"/>
  <c r="X74" i="12"/>
  <c r="W74" i="12"/>
  <c r="AJ52" i="12"/>
  <c r="X27" i="12"/>
  <c r="R85" i="12"/>
  <c r="S85" i="12" s="1"/>
  <c r="X29" i="12"/>
  <c r="AJ29" i="12"/>
  <c r="AI29" i="12"/>
  <c r="W29" i="12"/>
  <c r="W63" i="12"/>
  <c r="AI63" i="12"/>
  <c r="AJ63" i="12"/>
  <c r="X63" i="12"/>
  <c r="AJ20" i="12"/>
  <c r="AI20" i="12"/>
  <c r="W20" i="12"/>
  <c r="W26" i="12"/>
  <c r="R80" i="12"/>
  <c r="S80" i="12" s="1"/>
  <c r="X46" i="12"/>
  <c r="AJ30" i="12"/>
  <c r="AI30" i="12"/>
  <c r="W30" i="12"/>
  <c r="X30" i="12"/>
  <c r="X28" i="12"/>
  <c r="AJ76" i="12"/>
  <c r="AI76" i="12"/>
  <c r="W76" i="12"/>
  <c r="R82" i="12"/>
  <c r="S82" i="12" s="1"/>
  <c r="AJ74" i="12"/>
  <c r="AJ26" i="12"/>
  <c r="AI75" i="12"/>
  <c r="AI27" i="12"/>
  <c r="AJ66" i="12"/>
  <c r="AI66" i="12"/>
  <c r="W66" i="12"/>
  <c r="X66" i="12"/>
  <c r="W75" i="12"/>
  <c r="AI46" i="12"/>
  <c r="W27" i="12"/>
  <c r="W28" i="12"/>
  <c r="AJ24" i="12"/>
  <c r="AI26" i="12"/>
  <c r="R64" i="12"/>
  <c r="S64" i="12" s="1"/>
  <c r="AJ46" i="12"/>
  <c r="AJ45" i="12"/>
  <c r="X45" i="12"/>
  <c r="AI45" i="12"/>
  <c r="W45" i="12"/>
  <c r="AJ28" i="12"/>
  <c r="X32" i="12"/>
  <c r="W32" i="12"/>
  <c r="AJ32" i="12"/>
  <c r="AI44" i="12"/>
  <c r="AJ36" i="12"/>
  <c r="X36" i="12"/>
  <c r="W36" i="12"/>
  <c r="W61" i="12"/>
  <c r="AJ61" i="12"/>
  <c r="AI61" i="12"/>
  <c r="X61" i="12"/>
  <c r="X18" i="12"/>
  <c r="AJ18" i="12"/>
  <c r="X44" i="12"/>
  <c r="AI33" i="12"/>
  <c r="X33" i="12"/>
  <c r="AJ33" i="12"/>
  <c r="W33" i="12"/>
  <c r="Q55" i="12"/>
  <c r="R55" i="12" s="1"/>
  <c r="S55" i="12" s="1"/>
  <c r="Q62" i="12"/>
  <c r="R62" i="12" s="1"/>
  <c r="S62" i="12" s="1"/>
  <c r="R71" i="12"/>
  <c r="S71" i="12" s="1"/>
  <c r="AJ47" i="12"/>
  <c r="X20" i="12"/>
  <c r="W68" i="12"/>
  <c r="X68" i="12"/>
  <c r="AI68" i="12"/>
  <c r="AJ68" i="12"/>
  <c r="W70" i="12"/>
  <c r="AJ70" i="12"/>
  <c r="X70" i="12"/>
  <c r="AI70" i="12"/>
  <c r="W18" i="12"/>
  <c r="AI49" i="12"/>
  <c r="AJ78" i="12"/>
  <c r="X78" i="12"/>
  <c r="R65" i="12"/>
  <c r="S65" i="12" s="1"/>
  <c r="R69" i="12"/>
  <c r="S69" i="12" s="1"/>
  <c r="AI58" i="12" l="1"/>
  <c r="W83" i="12"/>
  <c r="X83" i="12"/>
  <c r="AI84" i="12"/>
  <c r="W84" i="12"/>
  <c r="AJ84" i="12"/>
  <c r="X84" i="12"/>
  <c r="AJ73" i="12"/>
  <c r="W73" i="12"/>
  <c r="X73" i="12"/>
  <c r="AI73" i="12"/>
  <c r="X81" i="12"/>
  <c r="W60" i="12"/>
  <c r="W81" i="12"/>
  <c r="X60" i="12"/>
  <c r="AJ81" i="12"/>
  <c r="AJ60" i="12"/>
  <c r="X58" i="12"/>
  <c r="AI83" i="12"/>
  <c r="AJ58" i="12"/>
  <c r="W55" i="12"/>
  <c r="AI55" i="12"/>
  <c r="AJ55" i="12"/>
  <c r="X55" i="12"/>
  <c r="W64" i="12"/>
  <c r="AI64" i="12"/>
  <c r="AJ64" i="12"/>
  <c r="X64" i="12"/>
  <c r="W62" i="12"/>
  <c r="AI62" i="12"/>
  <c r="AJ62" i="12"/>
  <c r="X62" i="12"/>
  <c r="X82" i="12"/>
  <c r="AI82" i="12"/>
  <c r="W82" i="12"/>
  <c r="AJ82" i="12"/>
  <c r="AI85" i="12"/>
  <c r="AJ85" i="12"/>
  <c r="W85" i="12"/>
  <c r="X85" i="12"/>
  <c r="X80" i="12"/>
  <c r="AJ80" i="12"/>
  <c r="AI80" i="12"/>
  <c r="W80" i="12"/>
  <c r="W69" i="12"/>
  <c r="AJ69" i="12"/>
  <c r="AI69" i="12"/>
  <c r="X69" i="12"/>
  <c r="W65" i="12"/>
  <c r="AI65" i="12"/>
  <c r="X65" i="12"/>
  <c r="AJ65" i="12"/>
  <c r="AJ71" i="12"/>
  <c r="X71" i="12"/>
  <c r="AI71" i="12"/>
  <c r="W71" i="12"/>
  <c r="BR22" i="5"/>
  <c r="T17" i="2"/>
  <c r="U17" i="2" s="1"/>
  <c r="AN111" i="2"/>
  <c r="AO111" i="2"/>
  <c r="AN112" i="2"/>
  <c r="AO112" i="2"/>
  <c r="AO110" i="2"/>
  <c r="AN110" i="2"/>
  <c r="AO109" i="2"/>
  <c r="AN109" i="2"/>
  <c r="V17" i="2" l="1"/>
  <c r="Z17" i="2" l="1"/>
  <c r="AA17" i="2"/>
  <c r="AL22" i="4"/>
  <c r="AK22" i="4"/>
  <c r="X22" i="4"/>
  <c r="T22" i="4"/>
  <c r="Y22" i="4"/>
  <c r="AI17" i="10"/>
  <c r="Y17" i="10"/>
  <c r="X17" i="10"/>
  <c r="T17" i="10"/>
  <c r="AJ17" i="10"/>
  <c r="S17" i="10"/>
  <c r="Q17" i="10"/>
  <c r="R17" i="10"/>
  <c r="AA34" i="2"/>
  <c r="AO33" i="2"/>
  <c r="Z34" i="2"/>
  <c r="V34" i="2"/>
  <c r="AN33" i="2"/>
  <c r="T34" i="2"/>
  <c r="S34" i="2"/>
  <c r="U34" i="2"/>
  <c r="AA24" i="2"/>
  <c r="AO23" i="2"/>
  <c r="Z24" i="2"/>
  <c r="V24" i="2"/>
  <c r="AN23" i="2"/>
  <c r="T24" i="2"/>
  <c r="S24" i="2"/>
  <c r="U24" i="2"/>
  <c r="Y23" i="4"/>
  <c r="X23" i="4"/>
  <c r="AL23" i="4"/>
  <c r="T23" i="4"/>
  <c r="AK23" i="4"/>
  <c r="AD21" i="8"/>
  <c r="Z21" i="8"/>
  <c r="AE21" i="8"/>
  <c r="T44" i="2"/>
  <c r="U44" i="2"/>
  <c r="AO43" i="2"/>
  <c r="AN43" i="2"/>
  <c r="AA44" i="2"/>
  <c r="S44" i="2"/>
  <c r="V44" i="2"/>
  <c r="Z44" i="2"/>
  <c r="AO88" i="2"/>
  <c r="AA89" i="2"/>
  <c r="Z89" i="2"/>
  <c r="V89" i="2"/>
  <c r="AN88" i="2"/>
  <c r="U89" i="2"/>
  <c r="S89" i="2"/>
  <c r="T89" i="2"/>
  <c r="Z40" i="2"/>
  <c r="AN39" i="2"/>
  <c r="AA40" i="2"/>
  <c r="V40" i="2"/>
  <c r="AO39" i="2"/>
  <c r="T40" i="2"/>
  <c r="S40" i="2"/>
  <c r="U40" i="2"/>
  <c r="Z77" i="2"/>
  <c r="AO76" i="2"/>
  <c r="AN76" i="2"/>
  <c r="V77" i="2"/>
  <c r="AA77" i="2"/>
  <c r="T77" i="2"/>
  <c r="S77" i="2"/>
  <c r="U77" i="2"/>
  <c r="AL25" i="4"/>
  <c r="X25" i="4"/>
  <c r="AK25" i="4"/>
  <c r="S25" i="4"/>
  <c r="T25" i="4"/>
  <c r="Y25" i="4"/>
  <c r="Z42" i="2"/>
  <c r="AN41" i="2"/>
  <c r="AO41" i="2"/>
  <c r="V42" i="2"/>
  <c r="AA42" i="2"/>
  <c r="T42" i="2"/>
  <c r="S42" i="2"/>
  <c r="U42" i="2"/>
  <c r="AA41" i="2"/>
  <c r="AO40" i="2"/>
  <c r="AN40" i="2"/>
  <c r="V41" i="2"/>
  <c r="Z41" i="2"/>
  <c r="T41" i="2"/>
  <c r="S41" i="2"/>
  <c r="U41" i="2"/>
  <c r="AO101" i="2"/>
  <c r="AA102" i="2"/>
  <c r="Z102" i="2"/>
  <c r="V102" i="2"/>
  <c r="AN101" i="2"/>
  <c r="T102" i="2"/>
  <c r="S102" i="2"/>
  <c r="U102" i="2"/>
  <c r="Z75" i="2"/>
  <c r="AO74" i="2"/>
  <c r="AA75" i="2"/>
  <c r="V75" i="2"/>
  <c r="AN74" i="2"/>
  <c r="T75" i="2"/>
  <c r="S75" i="2"/>
  <c r="U75" i="2"/>
  <c r="AA105" i="2"/>
  <c r="AO104" i="2"/>
  <c r="AN104" i="2"/>
  <c r="V105" i="2"/>
  <c r="Z105" i="2"/>
  <c r="U105" i="2"/>
  <c r="S105" i="2"/>
  <c r="T105" i="2"/>
  <c r="AK26" i="4"/>
  <c r="AL26" i="4"/>
  <c r="X26" i="4"/>
  <c r="T26" i="4"/>
  <c r="Y26" i="4"/>
  <c r="AO66" i="2"/>
  <c r="AA67" i="2"/>
  <c r="Z67" i="2"/>
  <c r="V67" i="2"/>
  <c r="AN66" i="2"/>
  <c r="U67" i="2"/>
  <c r="S67" i="2"/>
  <c r="T67" i="2"/>
  <c r="Y20" i="4"/>
  <c r="AK20" i="4"/>
  <c r="X20" i="4"/>
  <c r="T20" i="4"/>
  <c r="AL20" i="4"/>
  <c r="AO56" i="2"/>
  <c r="AN56" i="2"/>
  <c r="AA57" i="2"/>
  <c r="V57" i="2"/>
  <c r="Z57" i="2"/>
  <c r="T57" i="2"/>
  <c r="S57" i="2"/>
  <c r="U57" i="2"/>
  <c r="AA69" i="2"/>
  <c r="Z69" i="2"/>
  <c r="AO68" i="2"/>
  <c r="V69" i="2"/>
  <c r="AN68" i="2"/>
  <c r="T69" i="2"/>
  <c r="S69" i="2"/>
  <c r="U69" i="2"/>
  <c r="AJ17" i="6"/>
  <c r="AU17" i="6"/>
  <c r="AI17" i="6"/>
  <c r="AA17" i="6"/>
  <c r="AB17" i="6"/>
  <c r="AT17" i="6"/>
  <c r="AO49" i="2"/>
  <c r="AA50" i="2"/>
  <c r="Z50" i="2"/>
  <c r="V50" i="2"/>
  <c r="AN49" i="2"/>
  <c r="U50" i="2"/>
  <c r="S50" i="2"/>
  <c r="T50" i="2"/>
  <c r="AO51" i="2"/>
  <c r="AN51" i="2"/>
  <c r="AA52" i="2"/>
  <c r="V52" i="2"/>
  <c r="Z52" i="2"/>
  <c r="U52" i="2"/>
  <c r="S52" i="2"/>
  <c r="T52" i="2"/>
  <c r="AO34" i="2"/>
  <c r="Z35" i="2"/>
  <c r="AN34" i="2"/>
  <c r="V35" i="2"/>
  <c r="AA35" i="2"/>
  <c r="U35" i="2"/>
  <c r="S35" i="2"/>
  <c r="T35" i="2"/>
  <c r="AO55" i="2"/>
  <c r="AN55" i="2"/>
  <c r="Z56" i="2"/>
  <c r="V56" i="2"/>
  <c r="AA56" i="2"/>
  <c r="U56" i="2"/>
  <c r="S56" i="2"/>
  <c r="T56" i="2"/>
  <c r="U99" i="2"/>
  <c r="T99" i="2"/>
  <c r="AA99" i="2"/>
  <c r="AN98" i="2"/>
  <c r="AO98" i="2"/>
  <c r="S99" i="2"/>
  <c r="V99" i="2"/>
  <c r="Z99" i="2"/>
  <c r="P20" i="4"/>
  <c r="Q20" i="4"/>
  <c r="R20" i="4"/>
  <c r="U43" i="2"/>
  <c r="T43" i="2"/>
  <c r="AN42" i="2"/>
  <c r="AA43" i="2"/>
  <c r="AO42" i="2"/>
  <c r="S43" i="2"/>
  <c r="V43" i="2"/>
  <c r="Z43" i="2"/>
  <c r="AJ20" i="6"/>
  <c r="AI20" i="6"/>
  <c r="AU20" i="6"/>
  <c r="AA20" i="6"/>
  <c r="AB20" i="6"/>
  <c r="AT20" i="6"/>
  <c r="AA82" i="2"/>
  <c r="Z82" i="2"/>
  <c r="AO81" i="2"/>
  <c r="V82" i="2"/>
  <c r="AN81" i="2"/>
  <c r="U82" i="2"/>
  <c r="S82" i="2"/>
  <c r="T82" i="2"/>
  <c r="AN105" i="2"/>
  <c r="AO105" i="2"/>
  <c r="Z106" i="2"/>
  <c r="V106" i="2"/>
  <c r="AA106" i="2"/>
  <c r="T106" i="2"/>
  <c r="S106" i="2"/>
  <c r="U106" i="2"/>
  <c r="Z76" i="2"/>
  <c r="AO75" i="2"/>
  <c r="AN75" i="2"/>
  <c r="V76" i="2"/>
  <c r="AA76" i="2"/>
  <c r="T76" i="2"/>
  <c r="S76" i="2"/>
  <c r="U76" i="2"/>
  <c r="AN32" i="2"/>
  <c r="AO32" i="2"/>
  <c r="AA33" i="2"/>
  <c r="V33" i="2"/>
  <c r="Z33" i="2"/>
  <c r="T33" i="2"/>
  <c r="S33" i="2"/>
  <c r="U33" i="2"/>
  <c r="AO45" i="2"/>
  <c r="AN45" i="2"/>
  <c r="Z46" i="2"/>
  <c r="V46" i="2"/>
  <c r="AA46" i="2"/>
  <c r="T46" i="2"/>
  <c r="S46" i="2"/>
  <c r="U46" i="2"/>
  <c r="AO38" i="2"/>
  <c r="AN38" i="2"/>
  <c r="AA39" i="2"/>
  <c r="V39" i="2"/>
  <c r="Z39" i="2"/>
  <c r="U39" i="2"/>
  <c r="S39" i="2"/>
  <c r="T39" i="2"/>
  <c r="AN70" i="2"/>
  <c r="AA71" i="2"/>
  <c r="AO70" i="2"/>
  <c r="V71" i="2"/>
  <c r="Z71" i="2"/>
  <c r="T71" i="2"/>
  <c r="S71" i="2"/>
  <c r="U71" i="2"/>
  <c r="AU22" i="6"/>
  <c r="AI22" i="6"/>
  <c r="AJ22" i="6"/>
  <c r="AA22" i="6"/>
  <c r="AB22" i="6"/>
  <c r="AT22" i="6"/>
  <c r="AA19" i="2"/>
  <c r="AO18" i="2"/>
  <c r="Z19" i="2"/>
  <c r="V19" i="2"/>
  <c r="AN18" i="2"/>
  <c r="U19" i="2"/>
  <c r="S19" i="2"/>
  <c r="T19" i="2"/>
  <c r="AN36" i="2"/>
  <c r="AA37" i="2"/>
  <c r="Z37" i="2"/>
  <c r="V37" i="2"/>
  <c r="AO36" i="2"/>
  <c r="T37" i="2"/>
  <c r="S37" i="2"/>
  <c r="U37" i="2"/>
  <c r="AO64" i="2"/>
  <c r="Z65" i="2"/>
  <c r="AA65" i="2"/>
  <c r="V65" i="2"/>
  <c r="AN64" i="2"/>
  <c r="T65" i="2"/>
  <c r="S65" i="2"/>
  <c r="U65" i="2"/>
  <c r="AO27" i="2"/>
  <c r="AN27" i="2"/>
  <c r="AA28" i="2"/>
  <c r="V28" i="2"/>
  <c r="Z28" i="2"/>
  <c r="T28" i="2"/>
  <c r="S28" i="2"/>
  <c r="U28" i="2"/>
  <c r="T72" i="2"/>
  <c r="U72" i="2"/>
  <c r="AO71" i="2"/>
  <c r="Z72" i="2"/>
  <c r="AA72" i="2"/>
  <c r="S72" i="2"/>
  <c r="V72" i="2"/>
  <c r="AN71" i="2"/>
  <c r="U58" i="2"/>
  <c r="T58" i="2"/>
  <c r="Z58" i="2"/>
  <c r="AA58" i="2"/>
  <c r="AO57" i="2"/>
  <c r="S58" i="2"/>
  <c r="V58" i="2"/>
  <c r="AN57" i="2"/>
  <c r="AE19" i="8"/>
  <c r="Z19" i="8"/>
  <c r="AD19" i="8"/>
  <c r="AL21" i="4"/>
  <c r="Y21" i="4"/>
  <c r="X21" i="4"/>
  <c r="T21" i="4"/>
  <c r="AK21" i="4"/>
  <c r="AN89" i="2"/>
  <c r="Z90" i="2"/>
  <c r="AA90" i="2"/>
  <c r="V90" i="2"/>
  <c r="AO89" i="2"/>
  <c r="U90" i="2"/>
  <c r="S90" i="2"/>
  <c r="T90" i="2"/>
  <c r="U26" i="2"/>
  <c r="T26" i="2"/>
  <c r="AO25" i="2"/>
  <c r="AA26" i="2"/>
  <c r="AN25" i="2"/>
  <c r="S26" i="2"/>
  <c r="V26" i="2"/>
  <c r="Z26" i="2"/>
  <c r="U66" i="2"/>
  <c r="T66" i="2"/>
  <c r="Z66" i="2"/>
  <c r="AA66" i="2"/>
  <c r="AN65" i="2"/>
  <c r="S66" i="2"/>
  <c r="V66" i="2"/>
  <c r="AO65" i="2"/>
  <c r="U107" i="2"/>
  <c r="T107" i="2"/>
  <c r="Z107" i="2"/>
  <c r="AN106" i="2"/>
  <c r="AO106" i="2"/>
  <c r="S107" i="2"/>
  <c r="V107" i="2"/>
  <c r="AA107" i="2"/>
  <c r="AN31" i="2"/>
  <c r="AO31" i="2"/>
  <c r="Z32" i="2"/>
  <c r="V32" i="2"/>
  <c r="AA32" i="2"/>
  <c r="T32" i="2"/>
  <c r="S32" i="2"/>
  <c r="U32" i="2"/>
  <c r="AO44" i="2"/>
  <c r="AA45" i="2"/>
  <c r="Z45" i="2"/>
  <c r="V45" i="2"/>
  <c r="AN44" i="2"/>
  <c r="T45" i="2"/>
  <c r="S45" i="2"/>
  <c r="U45" i="2"/>
  <c r="AP20" i="8"/>
  <c r="X20" i="8"/>
  <c r="AO20" i="8"/>
  <c r="T51" i="2"/>
  <c r="U51" i="2"/>
  <c r="AN50" i="2"/>
  <c r="AO50" i="2"/>
  <c r="Z51" i="2"/>
  <c r="S51" i="2"/>
  <c r="V51" i="2"/>
  <c r="AA51" i="2"/>
  <c r="AO100" i="2"/>
  <c r="AN100" i="2"/>
  <c r="AA101" i="2"/>
  <c r="V101" i="2"/>
  <c r="Z101" i="2"/>
  <c r="T101" i="2"/>
  <c r="S101" i="2"/>
  <c r="U101" i="2"/>
  <c r="T94" i="2"/>
  <c r="U94" i="2"/>
  <c r="AO93" i="2"/>
  <c r="Z94" i="2"/>
  <c r="AN93" i="2"/>
  <c r="S94" i="2"/>
  <c r="V94" i="2"/>
  <c r="AA94" i="2"/>
  <c r="U21" i="2"/>
  <c r="T21" i="2"/>
  <c r="AO20" i="2"/>
  <c r="AN20" i="2"/>
  <c r="Z21" i="2"/>
  <c r="S21" i="2"/>
  <c r="V21" i="2"/>
  <c r="AA21" i="2"/>
  <c r="X19" i="4"/>
  <c r="AK19" i="4"/>
  <c r="AL19" i="4"/>
  <c r="T19" i="4"/>
  <c r="Y19" i="4"/>
  <c r="U100" i="2"/>
  <c r="T100" i="2"/>
  <c r="AA100" i="2"/>
  <c r="AN99" i="2"/>
  <c r="Z100" i="2"/>
  <c r="S100" i="2"/>
  <c r="V100" i="2"/>
  <c r="AO99" i="2"/>
  <c r="S19" i="4"/>
  <c r="S27" i="4"/>
  <c r="AK18" i="4"/>
  <c r="AL18" i="4"/>
  <c r="S20" i="4"/>
  <c r="Y18" i="4"/>
  <c r="S18" i="4"/>
  <c r="S23" i="4"/>
  <c r="S22" i="4"/>
  <c r="S21" i="4"/>
  <c r="S17" i="4"/>
  <c r="X18" i="4"/>
  <c r="S26" i="4"/>
  <c r="Y24" i="4"/>
  <c r="X24" i="4"/>
  <c r="AL24" i="4"/>
  <c r="T18" i="4"/>
  <c r="S24" i="4"/>
  <c r="T24" i="4"/>
  <c r="AK24" i="4"/>
  <c r="AA80" i="2"/>
  <c r="AO79" i="2"/>
  <c r="Z80" i="2"/>
  <c r="V80" i="2"/>
  <c r="AN79" i="2"/>
  <c r="U80" i="2"/>
  <c r="S80" i="2"/>
  <c r="T80" i="2"/>
  <c r="AO80" i="2"/>
  <c r="Z81" i="2"/>
  <c r="AN80" i="2"/>
  <c r="V81" i="2"/>
  <c r="AA81" i="2"/>
  <c r="U81" i="2"/>
  <c r="S81" i="2"/>
  <c r="T81" i="2"/>
  <c r="AA54" i="2"/>
  <c r="Z54" i="2"/>
  <c r="AN53" i="2"/>
  <c r="V54" i="2"/>
  <c r="AO53" i="2"/>
  <c r="T54" i="2"/>
  <c r="S54" i="2"/>
  <c r="U54" i="2"/>
  <c r="Z104" i="2"/>
  <c r="AO103" i="2"/>
  <c r="AN103" i="2"/>
  <c r="V104" i="2"/>
  <c r="AA104" i="2"/>
  <c r="T104" i="2"/>
  <c r="S104" i="2"/>
  <c r="U104" i="2"/>
  <c r="AU19" i="6"/>
  <c r="AT19" i="6"/>
  <c r="AI19" i="6"/>
  <c r="AA19" i="6"/>
  <c r="AB19" i="6"/>
  <c r="AJ19" i="6"/>
  <c r="T22" i="2"/>
  <c r="U22" i="2"/>
  <c r="AA22" i="2"/>
  <c r="AO21" i="2"/>
  <c r="Z22" i="2"/>
  <c r="S22" i="2"/>
  <c r="V22" i="2"/>
  <c r="AN21" i="2"/>
  <c r="U38" i="2"/>
  <c r="T38" i="2"/>
  <c r="AA38" i="2"/>
  <c r="AN37" i="2"/>
  <c r="Z38" i="2"/>
  <c r="S38" i="2"/>
  <c r="V38" i="2"/>
  <c r="AO37" i="2"/>
  <c r="AO26" i="2"/>
  <c r="AN26" i="2"/>
  <c r="Z27" i="2"/>
  <c r="V27" i="2"/>
  <c r="AA27" i="2"/>
  <c r="T27" i="2"/>
  <c r="S27" i="2"/>
  <c r="U27" i="2"/>
  <c r="U98" i="2"/>
  <c r="T98" i="2"/>
  <c r="AO97" i="2"/>
  <c r="AA98" i="2"/>
  <c r="Z98" i="2"/>
  <c r="S98" i="2"/>
  <c r="V98" i="2"/>
  <c r="AN97" i="2"/>
  <c r="AP17" i="8"/>
  <c r="AO17" i="8"/>
  <c r="AO18" i="8"/>
  <c r="W18" i="8"/>
  <c r="X18" i="8"/>
  <c r="AP18" i="8"/>
  <c r="Z68" i="2"/>
  <c r="AO67" i="2"/>
  <c r="AA68" i="2"/>
  <c r="V68" i="2"/>
  <c r="AN67" i="2"/>
  <c r="T68" i="2"/>
  <c r="S68" i="2"/>
  <c r="U68" i="2"/>
  <c r="AP19" i="8"/>
  <c r="W19" i="8"/>
  <c r="X19" i="8"/>
  <c r="AO19" i="8"/>
  <c r="T70" i="2"/>
  <c r="U70" i="2"/>
  <c r="AO69" i="2"/>
  <c r="AN69" i="2"/>
  <c r="Z70" i="2"/>
  <c r="S70" i="2"/>
  <c r="V70" i="2"/>
  <c r="AA70" i="2"/>
  <c r="AN73" i="2"/>
  <c r="AA74" i="2"/>
  <c r="AO73" i="2"/>
  <c r="V74" i="2"/>
  <c r="Z74" i="2"/>
  <c r="U74" i="2"/>
  <c r="S74" i="2"/>
  <c r="T74" i="2"/>
  <c r="AU18" i="6"/>
  <c r="AJ18" i="6"/>
  <c r="AT18" i="6"/>
  <c r="AI18" i="6"/>
  <c r="AT21" i="6"/>
  <c r="AI21" i="6"/>
  <c r="AJ21" i="6"/>
  <c r="AA18" i="6"/>
  <c r="AB18" i="6"/>
  <c r="AA21" i="6"/>
  <c r="AB21" i="6"/>
  <c r="AU21" i="6"/>
  <c r="U73" i="2"/>
  <c r="T73" i="2"/>
  <c r="AN72" i="2"/>
  <c r="AA73" i="2"/>
  <c r="AO72" i="2"/>
  <c r="S73" i="2"/>
  <c r="V73" i="2"/>
  <c r="Z73" i="2"/>
  <c r="U53" i="2"/>
  <c r="T53" i="2"/>
  <c r="AA53" i="2"/>
  <c r="AO52" i="2"/>
  <c r="Z53" i="2"/>
  <c r="S53" i="2"/>
  <c r="V53" i="2"/>
  <c r="AN52" i="2"/>
  <c r="R27" i="4"/>
  <c r="Q27" i="4"/>
  <c r="AA20" i="2"/>
  <c r="AN19" i="2"/>
  <c r="AO19" i="2"/>
  <c r="V20" i="2"/>
  <c r="Z20" i="2"/>
  <c r="T20" i="2"/>
  <c r="S20" i="2"/>
  <c r="U20" i="2"/>
  <c r="U30" i="2"/>
  <c r="T30" i="2"/>
  <c r="AA30" i="2"/>
  <c r="AN29" i="2"/>
  <c r="AO29" i="2"/>
  <c r="S30" i="2"/>
  <c r="V30" i="2"/>
  <c r="Z30" i="2"/>
  <c r="R18" i="10"/>
  <c r="S18" i="10"/>
  <c r="X18" i="10"/>
  <c r="AJ18" i="10"/>
  <c r="AI18" i="10"/>
  <c r="Q18" i="10"/>
  <c r="T18" i="10"/>
  <c r="Y18" i="10"/>
  <c r="T31" i="2"/>
  <c r="U31" i="2"/>
  <c r="AO30" i="2"/>
  <c r="AA31" i="2"/>
  <c r="AN30" i="2"/>
  <c r="S31" i="2"/>
  <c r="V31" i="2"/>
  <c r="Z31" i="2"/>
  <c r="R18" i="4"/>
  <c r="X17" i="4"/>
  <c r="Y17" i="4"/>
  <c r="AL17" i="4"/>
  <c r="T17" i="4"/>
  <c r="AK17" i="4"/>
  <c r="T78" i="2"/>
  <c r="U78" i="2"/>
  <c r="Z78" i="2"/>
  <c r="AO77" i="2"/>
  <c r="AA78" i="2"/>
  <c r="S78" i="2"/>
  <c r="V78" i="2"/>
  <c r="AN77" i="2"/>
  <c r="AK27" i="4"/>
  <c r="X27" i="4"/>
  <c r="AL27" i="4"/>
  <c r="P27" i="4"/>
  <c r="T27" i="4"/>
  <c r="Y27" i="4"/>
  <c r="AO21" i="8"/>
  <c r="W21" i="8"/>
  <c r="X21" i="8"/>
  <c r="AP21" i="8"/>
  <c r="AE20" i="8"/>
  <c r="W17" i="8"/>
  <c r="X17" i="8"/>
  <c r="W20" i="8"/>
  <c r="Z20" i="8"/>
  <c r="AD20" i="8"/>
  <c r="T36" i="2"/>
  <c r="U36" i="2"/>
  <c r="AA36" i="2"/>
  <c r="AN35" i="2"/>
  <c r="Z36" i="2"/>
  <c r="S36" i="2"/>
  <c r="V36" i="2"/>
  <c r="AO35" i="2"/>
  <c r="P21" i="4"/>
  <c r="Q21" i="4"/>
  <c r="R21" i="4"/>
  <c r="U23" i="2"/>
  <c r="T23" i="2"/>
  <c r="AA23" i="2"/>
  <c r="AO22" i="2"/>
  <c r="Z23" i="2"/>
  <c r="S23" i="2"/>
  <c r="V23" i="2"/>
  <c r="AN22" i="2"/>
  <c r="P22" i="4"/>
  <c r="Q22" i="4"/>
  <c r="R22" i="4"/>
  <c r="U25" i="2"/>
  <c r="AN24" i="2"/>
  <c r="AA25" i="2"/>
  <c r="Z25" i="2"/>
  <c r="V25" i="2"/>
  <c r="AO24" i="2"/>
  <c r="U29" i="2"/>
  <c r="T29" i="2"/>
  <c r="AA29" i="2"/>
  <c r="AN28" i="2"/>
  <c r="AO28" i="2"/>
  <c r="S29" i="2"/>
  <c r="V29" i="2"/>
  <c r="Z29" i="2"/>
  <c r="AA55" i="2"/>
  <c r="AN54" i="2"/>
  <c r="AO54" i="2"/>
  <c r="V55" i="2"/>
  <c r="Z55" i="2"/>
  <c r="T55" i="2"/>
  <c r="S55" i="2"/>
  <c r="U55" i="2"/>
  <c r="U18" i="2"/>
  <c r="T18" i="2"/>
  <c r="AN17" i="2"/>
  <c r="AO17" i="2"/>
  <c r="AA18" i="2"/>
  <c r="S18" i="2"/>
  <c r="V18" i="2"/>
  <c r="Z18" i="2"/>
  <c r="O18" i="10"/>
  <c r="O17" i="10"/>
  <c r="U103" i="2"/>
  <c r="T103" i="2"/>
  <c r="AA103" i="2"/>
  <c r="AN102" i="2"/>
  <c r="Z103" i="2"/>
  <c r="S103" i="2"/>
  <c r="V103" i="2"/>
  <c r="AO102" i="2"/>
  <c r="U64" i="2"/>
  <c r="T64" i="2"/>
  <c r="Z64" i="2"/>
  <c r="AN63" i="2"/>
  <c r="AA64" i="2"/>
  <c r="S25" i="2"/>
  <c r="T25" i="2"/>
  <c r="S64" i="2"/>
  <c r="V64" i="2"/>
  <c r="AO63" i="2"/>
  <c r="P19" i="4"/>
  <c r="Q19" i="4"/>
  <c r="R19" i="4"/>
  <c r="P23" i="4"/>
  <c r="Q23" i="4"/>
  <c r="R23" i="4"/>
  <c r="P26" i="4"/>
  <c r="Q26" i="4"/>
  <c r="R26" i="4"/>
  <c r="P18" i="4"/>
  <c r="Q18" i="4"/>
  <c r="P17" i="4"/>
  <c r="Q17" i="4"/>
  <c r="R17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H50" authorId="0" shapeId="0" xr:uid="{00000000-0006-0000-0400-000001000000}">
      <text>
        <r>
          <rPr>
            <sz val="10"/>
            <rFont val="Arial"/>
            <family val="2"/>
          </rPr>
          <t>======
ID#AAAB2MHcPbY
Latitude    (2026-03-19 00:32:04)
MENOR GRAMAJE SERÍA MENOS COMPETITIVO, CON EL OJETIVO DE TENER MÁS RECOMPRAS</t>
        </r>
      </text>
    </comment>
    <comment ref="H51" authorId="0" shapeId="0" xr:uid="{00000000-0006-0000-0400-000002000000}">
      <text>
        <r>
          <rPr>
            <sz val="10"/>
            <rFont val="Arial"/>
            <family val="2"/>
          </rPr>
          <t>======
ID#AAAB2MHcPbc
Latitude    (2026-03-19 00:32:04)
MENOR GRAMAJE SERÍA MENOS COMPETITIVO, CON EL OJETIVO DE TENER MÁS RECOMPRAS</t>
        </r>
      </text>
    </comment>
    <comment ref="H56" authorId="0" shapeId="0" xr:uid="{00000000-0006-0000-0400-000003000000}">
      <text>
        <r>
          <rPr>
            <sz val="10"/>
            <rFont val="Arial"/>
            <family val="2"/>
          </rPr>
          <t>======
ID#AAAB2MHcPbg
Latitude    (2026-03-19 00:32:04)
La mayroría de máscaras del mercado estan arriba de los 6.5 g de producto.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N30" authorId="0" shapeId="0" xr:uid="{00000000-0006-0000-0800-000001000000}">
      <text>
        <r>
          <rPr>
            <sz val="10"/>
            <rFont val="Arial"/>
            <family val="2"/>
          </rPr>
          <t>======
ID#AAAB24TQqcY
Latitude    (2026-04-01 17:47:19)
BIYING: 0.18</t>
        </r>
      </text>
    </comment>
  </commentList>
</comments>
</file>

<file path=xl/sharedStrings.xml><?xml version="1.0" encoding="utf-8"?>
<sst xmlns="http://schemas.openxmlformats.org/spreadsheetml/2006/main" count="7622" uniqueCount="1734">
  <si>
    <t>SEGUIMIENTO DE FECHAS</t>
  </si>
  <si>
    <t>PPEDIDOS</t>
  </si>
  <si>
    <t>PREPRODCCION</t>
  </si>
  <si>
    <t>AUTORIZACIÓN MARCA</t>
  </si>
  <si>
    <t>DISPONIBILIDAD</t>
  </si>
  <si>
    <t>DOCUMENTOS PROVEEDOR</t>
  </si>
  <si>
    <t>PICK UP DE MERCANCIA</t>
  </si>
  <si>
    <t>SALIDA DE LIS</t>
  </si>
  <si>
    <t>LLEGADA A ADUANA</t>
  </si>
  <si>
    <t>DISPONIBILIDAD EN ALMACEN</t>
  </si>
  <si>
    <t>#</t>
  </si>
  <si>
    <t>Fecha confirmada de Lanzamiento</t>
  </si>
  <si>
    <t>Mes de Lanzamiento (Esperado)</t>
  </si>
  <si>
    <t>Estatus</t>
  </si>
  <si>
    <t>EAN</t>
  </si>
  <si>
    <t>Código interno</t>
  </si>
  <si>
    <t>Nombre Comercial</t>
  </si>
  <si>
    <t>Imagen</t>
  </si>
  <si>
    <t>Contenido</t>
  </si>
  <si>
    <t>Marca</t>
  </si>
  <si>
    <t>Canales</t>
  </si>
  <si>
    <t>Fase</t>
  </si>
  <si>
    <t>Costo real (USD)</t>
  </si>
  <si>
    <t>Moneda</t>
  </si>
  <si>
    <t>Piezas cotizadas (MOQ)</t>
  </si>
  <si>
    <t>Costo Esperado en MXN</t>
  </si>
  <si>
    <t>IGI</t>
  </si>
  <si>
    <t>Incrementables</t>
  </si>
  <si>
    <t>Costo final en MXN
(FOB en almacén PT)</t>
  </si>
  <si>
    <t>Precio Benchmark</t>
  </si>
  <si>
    <t>Precio publico C/IVA</t>
  </si>
  <si>
    <t>Facturación por unidad</t>
  </si>
  <si>
    <t>Factor  costo</t>
  </si>
  <si>
    <t>Margen de utilidad bruta</t>
  </si>
  <si>
    <t>MU Cliente</t>
  </si>
  <si>
    <t>Categoria</t>
  </si>
  <si>
    <t>Pais de origen</t>
  </si>
  <si>
    <t>Benchmark</t>
  </si>
  <si>
    <t>Comentarios</t>
  </si>
  <si>
    <t>Disponibilidad en Almacén</t>
  </si>
  <si>
    <t>Line Up</t>
  </si>
  <si>
    <t>Costo Autorizado</t>
  </si>
  <si>
    <t>PVP Autorizado</t>
  </si>
  <si>
    <t>Formula autorizada</t>
  </si>
  <si>
    <t>Vobo CEO + VPs</t>
  </si>
  <si>
    <t>Arte Final</t>
  </si>
  <si>
    <t>PO</t>
  </si>
  <si>
    <t>Salida de LIS</t>
  </si>
  <si>
    <t>Disponibilidad en almacén</t>
  </si>
  <si>
    <t>Total</t>
  </si>
  <si>
    <t>% de Avance</t>
  </si>
  <si>
    <t>Comentarios (Qué falta)</t>
  </si>
  <si>
    <t>LIS #</t>
  </si>
  <si>
    <t>Responsable Siguiente paso</t>
  </si>
  <si>
    <t>ESPERADA</t>
  </si>
  <si>
    <t>REAL</t>
  </si>
  <si>
    <t>Enero</t>
  </si>
  <si>
    <t>Completado</t>
  </si>
  <si>
    <t>Y-PP02</t>
  </si>
  <si>
    <t>PARCHES AUXILIAR PARA GRANITOS ESTRELLAS</t>
  </si>
  <si>
    <t>#VALUE!</t>
  </si>
  <si>
    <t>36 Parches</t>
  </si>
  <si>
    <t>Yuya</t>
  </si>
  <si>
    <t>Multicanal</t>
  </si>
  <si>
    <t>USD</t>
  </si>
  <si>
    <t>Garnier $150
StarFace $300</t>
  </si>
  <si>
    <t>Color</t>
  </si>
  <si>
    <t>CN</t>
  </si>
  <si>
    <t>Terminado</t>
  </si>
  <si>
    <t>N/A</t>
  </si>
  <si>
    <t>Y-PP03</t>
  </si>
  <si>
    <t>PARCHES AUXILIAR PARA GRANITOS CORAZONES</t>
  </si>
  <si>
    <t>24 Parches</t>
  </si>
  <si>
    <t>Y-PP04</t>
  </si>
  <si>
    <t>PARCHES AUXILIAR PARA GRANITOS FLORES CON DIAMANTES</t>
  </si>
  <si>
    <t xml:space="preserve">TBC </t>
  </si>
  <si>
    <t>Julio</t>
  </si>
  <si>
    <t>En tiempo</t>
  </si>
  <si>
    <t>Y-PCC001</t>
  </si>
  <si>
    <t>BRUMA PARA CUERPO Y CABELLO "Viento"</t>
  </si>
  <si>
    <t>100 mL</t>
  </si>
  <si>
    <t>MXN</t>
  </si>
  <si>
    <t>H6M $199
Grisi $85
Pink Up $118
Red By Kiss $139</t>
  </si>
  <si>
    <t>Fragancia</t>
  </si>
  <si>
    <t>MX/CN</t>
  </si>
  <si>
    <t>En Producción</t>
  </si>
  <si>
    <t>Eduardo (Compras)</t>
  </si>
  <si>
    <t>Y-PCC002</t>
  </si>
  <si>
    <t>BRUMA PARA CUERPO Y CABELLO "Mango Luna"</t>
  </si>
  <si>
    <t>H6M $199
Grisi $85
Pink Up $94
Red By Kiss $139</t>
  </si>
  <si>
    <t>Y-PCC003</t>
  </si>
  <si>
    <t>BRUMA PARA CUERPO Y CABELLO "Vainilla Boreal"</t>
  </si>
  <si>
    <t>Y-PCC004</t>
  </si>
  <si>
    <t>BRUMA PARA CUERPO Y CABELLO "Bruma tropical"</t>
  </si>
  <si>
    <t>JULIO</t>
  </si>
  <si>
    <t>Y-REP01</t>
  </si>
  <si>
    <t>Repuestos Enchinador Borgoña</t>
  </si>
  <si>
    <t>3 repuestos</t>
  </si>
  <si>
    <t>By Apple $35
Shiseido $200</t>
  </si>
  <si>
    <t>MX</t>
  </si>
  <si>
    <t>Y-REP02</t>
  </si>
  <si>
    <t>Repuestos Enchinador Verde</t>
  </si>
  <si>
    <t>AGOSTO</t>
  </si>
  <si>
    <t>Y-D01</t>
  </si>
  <si>
    <t xml:space="preserve">Delineador en lápiz negro </t>
  </si>
  <si>
    <t>1.2 g</t>
  </si>
  <si>
    <t>Revlon $114
NYX $169
Renova $110</t>
  </si>
  <si>
    <t>En espera de aprobacion final</t>
  </si>
  <si>
    <t>Se envío a Yuya para vobo.</t>
  </si>
  <si>
    <t>Sasu-Ari Glz</t>
  </si>
  <si>
    <t>Y-D02</t>
  </si>
  <si>
    <t>Delineador en lápiz café</t>
  </si>
  <si>
    <t>Revlon $114
NYX $169
Renova $111</t>
  </si>
  <si>
    <t>Y-D03</t>
  </si>
  <si>
    <t xml:space="preserve">Delineador en lápiz bronce claro </t>
  </si>
  <si>
    <t>Revlon $114
NYX $169
Renova $112</t>
  </si>
  <si>
    <t>Y-D04</t>
  </si>
  <si>
    <t>Delineador en lápiz café - morado</t>
  </si>
  <si>
    <t>Revlon $114
NYX $169
Renova $113</t>
  </si>
  <si>
    <t>Y-D05</t>
  </si>
  <si>
    <t xml:space="preserve">Delineador en lápiz café nude </t>
  </si>
  <si>
    <t>Revlon $114
NYX $169
Renova $114</t>
  </si>
  <si>
    <t>Y-D06</t>
  </si>
  <si>
    <t xml:space="preserve">Delineador en lápiz verde olivo  </t>
  </si>
  <si>
    <t>Y-TC01</t>
  </si>
  <si>
    <t>SERUM CAPILAR 10 ACEITES</t>
  </si>
  <si>
    <t>Elvive $195
Biometik $133
Dove $149
OGX $149</t>
  </si>
  <si>
    <t>Orden de Compra</t>
  </si>
  <si>
    <t>Elaboración de archivo final de impresión.</t>
  </si>
  <si>
    <t>Carlos</t>
  </si>
  <si>
    <t>SEPTIEMBRE</t>
  </si>
  <si>
    <t>Y-DE2</t>
  </si>
  <si>
    <t>BÁLSAMO DESMAQUILLANTE</t>
  </si>
  <si>
    <t>140 g</t>
  </si>
  <si>
    <t>Beauty Creations $258
L.A Girl $220
Cerave $390
Neutrogena $395</t>
  </si>
  <si>
    <t>Render para enviar a autorización en proceso</t>
  </si>
  <si>
    <t>OCTUBRE</t>
  </si>
  <si>
    <t xml:space="preserve"> 	Y-SM04</t>
  </si>
  <si>
    <t>PALETA DE SOMBRAS METALIZADA</t>
  </si>
  <si>
    <t>12.6 g</t>
  </si>
  <si>
    <t>Falta autorización en renders. Falta autorizar 2 tonos.</t>
  </si>
  <si>
    <t>Trabajando en renders. Falta autorizar 2 tonos.</t>
  </si>
  <si>
    <t xml:space="preserve"> 	Y-SM05</t>
  </si>
  <si>
    <t>Carlos - Sasu Ari Glz</t>
  </si>
  <si>
    <t>OCTUBRE / NOVIEMBRE</t>
  </si>
  <si>
    <t>Y-G28</t>
  </si>
  <si>
    <t>LABIAL LIQUIDO Nueva Formula</t>
  </si>
  <si>
    <t>4 g</t>
  </si>
  <si>
    <t>Maybelline $279
Spectra $277
Vixen $145</t>
  </si>
  <si>
    <t>Proveedor está proponiendo tonos</t>
  </si>
  <si>
    <t>NP</t>
  </si>
  <si>
    <t>Y-G29</t>
  </si>
  <si>
    <t>Y-G30</t>
  </si>
  <si>
    <t>Y-G31</t>
  </si>
  <si>
    <t>Y-G32</t>
  </si>
  <si>
    <t>Y-LGB01</t>
  </si>
  <si>
    <t>LABIAL GLOSS EN BARRA</t>
  </si>
  <si>
    <r>
      <t xml:space="preserve">NYX $177
ELF </t>
    </r>
    <r>
      <rPr>
        <u/>
        <sz val="9"/>
        <color theme="1"/>
        <rFont val="Aptos Display"/>
        <family val="2"/>
      </rPr>
      <t>$302
Loreal $387</t>
    </r>
  </si>
  <si>
    <t>Y-LGB02</t>
  </si>
  <si>
    <t>Noviembre</t>
  </si>
  <si>
    <t>Y-CA02</t>
  </si>
  <si>
    <t>CALENDARIO DE ADVIENTO</t>
  </si>
  <si>
    <t>1 caja + 12 regalos</t>
  </si>
  <si>
    <t>Confirmación de costos con Arturo</t>
  </si>
  <si>
    <t>Revisión de PVP y Costos con AM</t>
  </si>
  <si>
    <t>Noviembre (Exclusivo Calendario de Adviento)</t>
  </si>
  <si>
    <t>Y-JSC01</t>
  </si>
  <si>
    <t>Jelly Stick Color 1</t>
  </si>
  <si>
    <t>19 g</t>
  </si>
  <si>
    <t>SHEGLAM $148.71
MOIRA $235
ELF $549
NYX $291
LOREAL $345
LA COLORS $80.50</t>
  </si>
  <si>
    <t>Falta propuesta de visual y elección final de tono</t>
  </si>
  <si>
    <t>Calendario de Adviento</t>
  </si>
  <si>
    <t>Sets Fin de año</t>
  </si>
  <si>
    <t>Falta autorización de espejo</t>
  </si>
  <si>
    <t>Septiembre</t>
  </si>
  <si>
    <t>Forecast para PO</t>
  </si>
  <si>
    <t>TBC</t>
  </si>
  <si>
    <t>Y-TC03</t>
  </si>
  <si>
    <t>GEL LIMPIADOR FACIAL Y CORPORAL</t>
  </si>
  <si>
    <t>OGX $148
Tree Hut $178
Dove $294</t>
  </si>
  <si>
    <t>Trabajando en igualación de fragancias.</t>
  </si>
  <si>
    <t>Autorización de fórmula y fragancia</t>
  </si>
  <si>
    <t>Y-SBR01</t>
  </si>
  <si>
    <t>Set brochas departamental (10 piezas)</t>
  </si>
  <si>
    <t>10 brochas</t>
  </si>
  <si>
    <t>Beauty Creations $599
Cosmetic Lab $249
ProCore $279</t>
  </si>
  <si>
    <t>Elección de brochas del set de 24</t>
  </si>
  <si>
    <t>Y-SBR02</t>
  </si>
  <si>
    <t>Set brochas Autoservicio (5 piezas)</t>
  </si>
  <si>
    <t>5 brochas</t>
  </si>
  <si>
    <t>Ecotools $197
Cosmetic Lab $89
Kiss 189.90
Cala $360</t>
  </si>
  <si>
    <t>Stand By</t>
  </si>
  <si>
    <t>Y-GC02</t>
  </si>
  <si>
    <t>GEL DE CEJAS DE COLOR MEDIO</t>
  </si>
  <si>
    <t>1.3 mL</t>
  </si>
  <si>
    <t>NYX $258
Renova $150
Maybelline $239</t>
  </si>
  <si>
    <t>Autorización de tono</t>
  </si>
  <si>
    <t>Y-GC03</t>
  </si>
  <si>
    <t>GEL DE CEJAS DE COLOR OSCURO</t>
  </si>
  <si>
    <t>Y-SI01</t>
  </si>
  <si>
    <t>SET DE 4 ILUMINADORES EN POLVO</t>
  </si>
  <si>
    <t>Pink Up $689
Milani $188</t>
  </si>
  <si>
    <t>Y-CO01</t>
  </si>
  <si>
    <t xml:space="preserve"> Cosmetiquera Departamental 1</t>
  </si>
  <si>
    <t>1 pieza</t>
  </si>
  <si>
    <t>Beauty Creations $107
Mytagalongs $499
Cloe $549</t>
  </si>
  <si>
    <t>Y-CO03</t>
  </si>
  <si>
    <t>Cosmetiquera de Regalo</t>
  </si>
  <si>
    <t>Miniso $149
Conair $399
Beauty Creations $299</t>
  </si>
  <si>
    <t>Y-SH04</t>
  </si>
  <si>
    <t>Shampoo Nuevo</t>
  </si>
  <si>
    <t>Elvive $85
Sedal $85
Grisi $85</t>
  </si>
  <si>
    <t>Falta autorización de fórmula y fragancia</t>
  </si>
  <si>
    <t>Igualacion de aroma. Brief de Producto</t>
  </si>
  <si>
    <t>Y-AC04</t>
  </si>
  <si>
    <t>Acondicionador Nuevo</t>
  </si>
  <si>
    <t>Loreal $85
Sedal $85
Ann Rottshiel $103</t>
  </si>
  <si>
    <t>Y-MC04</t>
  </si>
  <si>
    <t>Tratamiento Capilar Nuevo</t>
  </si>
  <si>
    <t>Neffertiti $146
Sedal $64
Elvive $101</t>
  </si>
  <si>
    <t>Y-JB01</t>
  </si>
  <si>
    <t>JABON EN BARRA 1</t>
  </si>
  <si>
    <t>90 g</t>
  </si>
  <si>
    <t>Dove $33
Natura $88
Palmolive $23</t>
  </si>
  <si>
    <t>Y-JB02</t>
  </si>
  <si>
    <t>JABON EN BARRA 2</t>
  </si>
  <si>
    <t>Y-CF01</t>
  </si>
  <si>
    <t>CREMA FACIAL EN GEL</t>
  </si>
  <si>
    <t>50 g</t>
  </si>
  <si>
    <t>Ponds $154
Garnier $119
Ponds $120</t>
  </si>
  <si>
    <t>PLANCHA ALACIADORA</t>
  </si>
  <si>
    <t>Revlon $475
Remington $559
Conair $499</t>
  </si>
  <si>
    <t>CEPILLO SECADOR</t>
  </si>
  <si>
    <t>Revlon $929
Timco $526
Conair $399</t>
  </si>
  <si>
    <t>BEAUTY BLENDER</t>
  </si>
  <si>
    <t>Real Techniques $156
Beauty Cretions $56.84</t>
  </si>
  <si>
    <t>Y-SH05</t>
  </si>
  <si>
    <t>Shampoo protección calor</t>
  </si>
  <si>
    <t>Y-SH06</t>
  </si>
  <si>
    <t>Shampoo anticaida</t>
  </si>
  <si>
    <t>Y-AC05</t>
  </si>
  <si>
    <t>Acondicionador protección calor</t>
  </si>
  <si>
    <t>Y-AC06</t>
  </si>
  <si>
    <t>Acondicionador anticaida</t>
  </si>
  <si>
    <t>Y-MC05</t>
  </si>
  <si>
    <t>Tratamiento Capilar  protección calor</t>
  </si>
  <si>
    <t>Y-MC06</t>
  </si>
  <si>
    <t>Tratamiento Capilar anticaida</t>
  </si>
  <si>
    <t>Atrasado</t>
  </si>
  <si>
    <t>Velvet</t>
  </si>
  <si>
    <t>Agencia</t>
  </si>
  <si>
    <t>Autorizacion</t>
  </si>
  <si>
    <t>Diseño final</t>
  </si>
  <si>
    <t>Autorizaciones</t>
  </si>
  <si>
    <t>Orden de compra</t>
  </si>
  <si>
    <t>Fecha Estimada Pago balance</t>
  </si>
  <si>
    <t>Produccion / envio</t>
  </si>
  <si>
    <t>Llegada Almacén</t>
  </si>
  <si>
    <t>Lanzamiento</t>
  </si>
  <si>
    <t>2.62</t>
  </si>
  <si>
    <t>MEGAOUTLET</t>
  </si>
  <si>
    <t>% AVANCE POR PRODUCTOS</t>
  </si>
  <si>
    <t>Proveedor</t>
  </si>
  <si>
    <t>Benchmark tonos
 Amazon/MELI</t>
  </si>
  <si>
    <t>Categoría</t>
  </si>
  <si>
    <t>Costo real</t>
  </si>
  <si>
    <t>Precio Público S/IVA</t>
  </si>
  <si>
    <t>Factor costo</t>
  </si>
  <si>
    <t>Pais de Origen</t>
  </si>
  <si>
    <t>DUN 14 (INNER)</t>
  </si>
  <si>
    <t>Inner</t>
  </si>
  <si>
    <t>Master</t>
  </si>
  <si>
    <t>Margen MO</t>
  </si>
  <si>
    <t>Definición del Line Up</t>
  </si>
  <si>
    <t>Costo / PVP Autorizado</t>
  </si>
  <si>
    <t>Colores y formula autorizada</t>
  </si>
  <si>
    <t>Arte Final
(Diseño)</t>
  </si>
  <si>
    <t>Agosto</t>
  </si>
  <si>
    <t>VLT-01</t>
  </si>
  <si>
    <t>Base de Maquillaje VELVET Smooth Foundation - Tono CN1</t>
  </si>
  <si>
    <t>50 mL</t>
  </si>
  <si>
    <t>Mix de canales</t>
  </si>
  <si>
    <t>MUC</t>
  </si>
  <si>
    <t>https://www.maccosmetics.com.mx/product/13847/119586/productos/maquillaje/rostro/bases-de-maquillaje/studio-radiance-serum-poweredtm-foundation?shade=NC15</t>
  </si>
  <si>
    <t>Cosméticos</t>
  </si>
  <si>
    <t>6.95</t>
  </si>
  <si>
    <t>RMB</t>
  </si>
  <si>
    <t>China</t>
  </si>
  <si>
    <t>En revisión de dummy para autorización final</t>
  </si>
  <si>
    <t>En espera de DUMMY</t>
  </si>
  <si>
    <t>VLT-02</t>
  </si>
  <si>
    <t>Base de Maquillaje VELVET Smooth Foundation - Tono CC2</t>
  </si>
  <si>
    <t>https://www.maccosmetics.com.mx/product/13847/119586/productos/maquillaje/rostro/bases-de-maquillaje/studio-radiance-serum-poweredtm-foundation?shade=NW2</t>
  </si>
  <si>
    <t>VLT-03</t>
  </si>
  <si>
    <t>Base de Maquillaje VELVET Smooth Foundation - Tono CC3</t>
  </si>
  <si>
    <t>https://www.maccosmetics.com.mx/product/13847/119586/productos/maquillaje/rostro/bases-de-maquillaje/studio-radiance-serum-poweredtm-foundation?shade=NW30</t>
  </si>
  <si>
    <t>VLT-04</t>
  </si>
  <si>
    <t>Base de Maquillaje VELVET Smooth Foundation - Tono MN4</t>
  </si>
  <si>
    <t>https://www.maccosmetics.com.mx/product/13847/119586/productos/maquillaje/rostro/bases-de-maquillaje/studio-radiance-serum-poweredtm-foundation?shade=NW35</t>
  </si>
  <si>
    <t>VLT-05</t>
  </si>
  <si>
    <t>Base de Maquillaje VELVET Smooth Foundation - Tono MC5</t>
  </si>
  <si>
    <t>https://www.maccosmetics.com.mx/product/13847/119586/productos/maquillaje/rostro/bases-de-maquillaje/studio-radiance-serum-poweredtm-foundation?shade=NC42</t>
  </si>
  <si>
    <t>VLT-06</t>
  </si>
  <si>
    <t>Base de Maquillaje VELVET Smooth Foundation - Tono MN6</t>
  </si>
  <si>
    <t>https://www.elpalaciodehierro.com/mac-base-de-maquillaje-studio-fix-fluid-spf-15-nc45-5.3-ml-39786604.html?srsltid=AfmBOood9B2Y0XbWpVOtAuHS2Ge3jaGY5lfhHCdFSZcATb5qKcvOXpk_</t>
  </si>
  <si>
    <t>VLT-11</t>
  </si>
  <si>
    <t>Rubor en crema VELVET Muse Blush Balm - Tono Mauve</t>
  </si>
  <si>
    <t>5.8 g</t>
  </si>
  <si>
    <t>https://www.rhodeskin.com/products/pocket-blush-tan-line?_pos=1&amp;_psq=blush&amp;_ss=e&amp;_v=1.0</t>
  </si>
  <si>
    <t>4.75</t>
  </si>
  <si>
    <t>VLT-12</t>
  </si>
  <si>
    <t>Rubor en crema VELVET Muse Blush Balm - Tono Peony</t>
  </si>
  <si>
    <t>https://www.rhodeskin.com/products/pocket-blush-tan-line?_pos=1&amp;_psq=blush&amp;_ss=e&amp;_v=1.1</t>
  </si>
  <si>
    <t>VLT-13</t>
  </si>
  <si>
    <t>Rubor en crema VELVET Muse Blush Balm - Tono Peach</t>
  </si>
  <si>
    <t>VLT-14</t>
  </si>
  <si>
    <t>Rubor en crema VELVET Muse Blush Balm - Tono Hibiscus</t>
  </si>
  <si>
    <t>VLT-15</t>
  </si>
  <si>
    <t>Rubor en crema VELVET Muse Blush Balm - Tono Scarlet</t>
  </si>
  <si>
    <t>VLT-16</t>
  </si>
  <si>
    <t>Contour en crema VELVET Sculpt Contour – Tono Almond</t>
  </si>
  <si>
    <t>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</t>
  </si>
  <si>
    <t>5.1</t>
  </si>
  <si>
    <t>Falta arte final de la caja por parte de Incitrus</t>
  </si>
  <si>
    <t>VLT-17</t>
  </si>
  <si>
    <t>VLT-18</t>
  </si>
  <si>
    <t>VLT-19</t>
  </si>
  <si>
    <t>Iluminador en barra VELVET -Tono Champagne</t>
  </si>
  <si>
    <t>https://www.amazon.com/-/es/LOreal-Highlighter-reflectante-transl%C3%BAcido-iluminador/dp/B0DHLM914R/ref=zg_bs_g_21190478011_d_sccl_8/132-2883545-9921149?th=1</t>
  </si>
  <si>
    <t>4.45</t>
  </si>
  <si>
    <t>Falta arte final de la caja. En espera suaje por parte de Daniel</t>
  </si>
  <si>
    <t>VLT-20</t>
  </si>
  <si>
    <t>Iluminador en barra VELVET -Tono Rose Wine</t>
  </si>
  <si>
    <t>https://www.amazon.com/-/es/LOreal-Highlighter-reflectante-transl%C3%BAcido-iluminador/dp/B0DHLP46Y1/ref=zg_bs_g_21190478011_d_sccl_8/132-2883545-9921149?th=1</t>
  </si>
  <si>
    <t>VLT-21</t>
  </si>
  <si>
    <t>Iluminador en barra VELVET -Tono Spritz</t>
  </si>
  <si>
    <t>VLT-22</t>
  </si>
  <si>
    <t>Primer Facial Iluminador VELVET Primer Dewy</t>
  </si>
  <si>
    <t>65 g</t>
  </si>
  <si>
    <t>https://www.mercadolibre.com.mx/rhode-glazing-milk-leche-hidratante/up/MLMU3068912205?pdp_filters=item_id:MLM2260105059</t>
  </si>
  <si>
    <t>5.65</t>
  </si>
  <si>
    <t>VLT-23</t>
  </si>
  <si>
    <t>Polvo Traslúcido VELVET Veil Cushion Powder</t>
  </si>
  <si>
    <t>6 g</t>
  </si>
  <si>
    <t>https://www.amazon.com/-/es/MAYBELLINE-Fit-Me-maquillaje-transl%C3%BAcido/dp/B00PFCSNWA/ref=zg_bs_g_11058971_d_sccl_1/132-2883545-9921149?psc=1</t>
  </si>
  <si>
    <t>9.15</t>
  </si>
  <si>
    <t>VLT-24</t>
  </si>
  <si>
    <t>Sombra líquida para ojos VELVET Glaze Liquid Eyeshadow Tono-Sunlit</t>
  </si>
  <si>
    <t>https://www.amazon.com/-/es/l%C3%ADquida-met%C3%A1lica-multidimensional-cobertura-l%C3%ADquidas/dp/B0947DWWTN/ref=zg_bs_g_11058361_d_sccl_6/132-2883545-9921149?th=1</t>
  </si>
  <si>
    <t>3.85</t>
  </si>
  <si>
    <t>VLT-25</t>
  </si>
  <si>
    <t>Sombra líquida para ojos VELVET Glaze Liquid Eyeshadow Tono-Dawnfire</t>
  </si>
  <si>
    <t>https://www.amazon.com/-/es/l%C3%ADquida-met%C3%A1lica-multidimensional-cobertura-l%C3%ADquidas/dp/B0947BWDG7/ref=zg_bs_g_11058361_d_sccl_6/132-2883545-9921149?th=1</t>
  </si>
  <si>
    <t>VLT-26</t>
  </si>
  <si>
    <t>Sombra líquida para ojos Soft Matte Liquid Eyeshadow Stardrift</t>
  </si>
  <si>
    <t>https://www.amazon.com/-/es/l%C3%ADquida-met%C3%A1lica-multidimensional-cobertura-l%C3%ADquidas/dp/B0947F4Y44/ref=zg_bs_g_11058361_d_sccl_6/132-2883545-9921149?th=1</t>
  </si>
  <si>
    <t>VLT-27</t>
  </si>
  <si>
    <t>Sombra líquida para ojos VELVET Glaze Liquid Eyeshadow Tono-Lovelight</t>
  </si>
  <si>
    <t>https://www.amazon.com/-/es/l%C3%ADquida-met%C3%A1lica-multidimensional-cobertura-l%C3%ADquidas/dp/B0947BWZQ1/ref=zg_bs_g_11058361_d_sccl_6/132-2883545-9921149?th=1</t>
  </si>
  <si>
    <t>VLT-28</t>
  </si>
  <si>
    <t>Sombra líquida para ojos VELVET Glaze Liquid Eyeshadow Tono- Bronze Dust</t>
  </si>
  <si>
    <t>https://www.amazon.com/-/es/l%C3%ADquida-met%C3%A1lica-multidimensional-cobertura-l%C3%ADquidas/dp/B09487B9DF/ref=zg_bs_g_11058361_d_sccl_6/132-2883545-9921149?th=1</t>
  </si>
  <si>
    <t>VLT-29</t>
  </si>
  <si>
    <t>Sombra líquida para ojos VELVET Glaze Liquid Eyeshadow Tono- Peachveil</t>
  </si>
  <si>
    <t>https://www.amazon.com/-/es/l%C3%ADquida-met%C3%A1lica-multidimensional-cobertura-l%C3%ADquidas/dp/B0984X94WK/ref=zg_bs_g_11058361_d_sccl_6/132-2883545-9921149?th=1</t>
  </si>
  <si>
    <t>VLT-30</t>
  </si>
  <si>
    <t>Delineador en plumón para ojos VELVET Graphite Satin Ink</t>
  </si>
  <si>
    <t>0.5 g</t>
  </si>
  <si>
    <t>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</t>
  </si>
  <si>
    <t>VLT-31</t>
  </si>
  <si>
    <t>Delineador en plumón para ojos VELVET Graphite Matte Ink</t>
  </si>
  <si>
    <t>https://www.amazon.com.mx/Maybelline-delineador-superpreciso-transfiere-pigmentos/dp/B0BZ7SMYSF/ref=zg_bs_g_10178482011_d_sccl_2/139-5127535-4936938?th=1</t>
  </si>
  <si>
    <t>4.3</t>
  </si>
  <si>
    <t>VLT-32</t>
  </si>
  <si>
    <t>Gel Fijador para Cejas VELVET Brow-Define Tono Cocoa</t>
  </si>
  <si>
    <t>5 mL</t>
  </si>
  <si>
    <t>USHAS</t>
  </si>
  <si>
    <t>https://www.amazon.com.mx/Maybelline-New-York-Tattoo-estilizador/dp/B0B35622GD/ref=zg_bs_g_10178480011_d_sccl_9/139-5127535-4936938?th=1</t>
  </si>
  <si>
    <t>VLT-33</t>
  </si>
  <si>
    <t>Gel Fijador para Cejas VELVET Brow-Define Tono Espresso</t>
  </si>
  <si>
    <t>https://www.amazon.com.mx/Maybelline-New-York-Tattoo-estilizador/dp/B0B3553Q1N/ref=zg_bs_g_10178480011_d_sccl_9/139-5127535-4936938?th=1</t>
  </si>
  <si>
    <t>VLT-34</t>
  </si>
  <si>
    <t>Gel Fijador para Cejas VELVET Brow-Define Tono Clear</t>
  </si>
  <si>
    <t>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</t>
  </si>
  <si>
    <t>VLT-35</t>
  </si>
  <si>
    <t>Máscara para pestañas VELVET Lash Bold</t>
  </si>
  <si>
    <t>20 g</t>
  </si>
  <si>
    <t>RC</t>
  </si>
  <si>
    <t>https://www.sephora.com.mx/products/benefit-cosmetics-badgal-bang-12847.html?srsltid=AfmBOoofbaVebzZAwnPukJ7Cu5bt2jy0-mIyY2JRAmBtQJUAk_v9mUgA</t>
  </si>
  <si>
    <t>VLT-36</t>
  </si>
  <si>
    <t>Brow VELVET Brow Pencil- Tono Cocoa</t>
  </si>
  <si>
    <t>0.09 g</t>
  </si>
  <si>
    <t>Herbeauty</t>
  </si>
  <si>
    <t>https://www.amazon.com.mx/Maybelline-delineador-estilizarla-rellenarla-transfiere/dp/B0B2NHP7YV/ref=zg_bs_g_10178480011_d_sccl_4/139-5127535-4936938?th=1</t>
  </si>
  <si>
    <t>VLT-37</t>
  </si>
  <si>
    <t>Brow VELVET Brow Pencil- Tono Espresso</t>
  </si>
  <si>
    <t>https://www.amazon.com.mx/Maybelline-delineador-estilizarla-rellenarla-transfiere/dp/B0B2NHMR5P/ref=zg_bs_g_10178480011_d_sccl_4/139-5127535-4936938?th=1</t>
  </si>
  <si>
    <t>Daniel</t>
  </si>
  <si>
    <t>VLT-38</t>
  </si>
  <si>
    <t>Labial Gloss Velvet "True" Lip Glaze</t>
  </si>
  <si>
    <t>12.5 g</t>
  </si>
  <si>
    <t>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</si>
  <si>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VLT-39</t>
  </si>
  <si>
    <t>Labial Gloss Velvet "Essence" Lip Glaze</t>
  </si>
  <si>
    <t>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</si>
  <si>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VLT-40</t>
  </si>
  <si>
    <t>Labial Gloss Velvet "Grace" Lip Glaze</t>
  </si>
  <si>
    <t>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</si>
  <si>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VLT-41</t>
  </si>
  <si>
    <t>Aceite para labios VELVET Lip Nectar - Tono Raspberry</t>
  </si>
  <si>
    <t>3.5 g</t>
  </si>
  <si>
    <t>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</si>
  <si>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VLT-42</t>
  </si>
  <si>
    <t>Aceite para labios VELVET Lip Nectar - Tono Papaya</t>
  </si>
  <si>
    <t>VLT-43</t>
  </si>
  <si>
    <t>Aceite para labios VELVET Lip Nectar - Tono Dragonfruit</t>
  </si>
  <si>
    <t>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</si>
  <si>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VLT-44</t>
  </si>
  <si>
    <t>Bálsamo Labial VELVET Butter Kiss - Tono Rouge</t>
  </si>
  <si>
    <t>3 g</t>
  </si>
  <si>
    <t>https://www.amazon.com.mx/Emily-Paris-Vaseline-Humectaci%C3%B3n-Parisian/dp/B0DDCPM84J/ref=sr_1_18?__mk_es_MX=%C3%85M%C3%85%C5%BD%C3%95%C3%91&amp;crid=T2WSOZIA1W8L&amp;dib=eyJ2IjoiMSJ9.mx1qtWt1vhGmEcjW_RP8_A9ss_BFUPS7Gv6PGEtD6EhBvdQn5yGYnhogdKSv8RvVJnB4Ub2R76D9uh476zogrigyo-s1EklsYUci-HJBumQVJ0Bq0ist620Kvvr3fFnLnBOD8EgvRzYQ5cAmYykpvSP1fj88IWI6KSRPcwhdjye4WbrGoKVm0IcrwN0ITMzV6_KqjH8Z2x0Z7xlKcM-8CNGuTYhGaDQ_WW9YRes8CSh9mVCH27F_hrLHNE2rBBNyUOudn2h5XxX1_R6FyJzTjt72BzbwmPv5vwoD-s_W_Es.wM4CbGOPYaz3hZ6tvBvTYyGjSvwiHkp5b2czoyhYmfY&amp;dib_tag=se&amp;keywords=balsamo%2Blabial&amp;qid=1755109626&amp;sprefix=balsamo%2Blabial%2Caps%2C174&amp;sr=8-18&amp;ufe=app_do%3Aamzn1.fos.de93fa6a-174c-4df7-be7c-5bc8e9c5a71b&amp;th=1</t>
  </si>
  <si>
    <t>VLT-45</t>
  </si>
  <si>
    <t>Bálsamo Labial VELVET Butter Kiss - Tono Magenta</t>
  </si>
  <si>
    <t>https://www.amazon.com.mx/Emily-Paris-Vaseline-Humectaci%C3%B3n-Parisian/dp/B0DDCNVNKR/ref=sr_1_18?__mk_es_MX=%C3%85M%C3%85%C5%BD%C3%95%C3%91&amp;crid=T2WSOZIA1W8L&amp;dib=eyJ2IjoiMSJ9.mx1qtWt1vhGmEcjW_RP8_A9ss_BFUPS7Gv6PGEtD6EhBvdQn5yGYnhogdKSv8RvVJnB4Ub2R76D9uh476zogrigyo-s1EklsYUci-HJBumQVJ0Bq0ist620Kvvr3fFnLnBOD8EgvRzYQ5cAmYykpvSP1fj88IWI6KSRPcwhdjye4WbrGoKVm0IcrwN0ITMzV6_KqjH8Z2x0Z7xlKcM-8CNGuTYhGaDQ_WW9YRes8CSh9mVCH27F_hrLHNE2rBBNyUOudn2h5XxX1_R6FyJzTjt72BzbwmPv5vwoD-s_W_Es.wM4CbGOPYaz3hZ6tvBvTYyGjSvwiHkp5b2czoyhYmfY&amp;dib_tag=se&amp;keywords=balsamo%2Blabial&amp;qid=1755109626&amp;sprefix=balsamo%2Blabial%2Caps%2C174&amp;sr=8-18&amp;ufe=app_do%3Aamzn1.fos.de93fa6a-174c-4df7-be7c-5bc8e9c5a71b&amp;th=1</t>
  </si>
  <si>
    <t>VLT-46</t>
  </si>
  <si>
    <t>Bálsamo Labial VELVET Butter Kiss - Tono Nude</t>
  </si>
  <si>
    <t>https://www.amazon.com.mx/Emily-Paris-Vaseline-Humectaci%C3%B3n-Parisian/dp/B0DDCMVBW9/ref=sr_1_18?__mk_es_MX=%C3%85M%C3%85%C5%BD%C3%95%C3%91&amp;crid=T2WSOZIA1W8L&amp;dib=eyJ2IjoiMSJ9.mx1qtWt1vhGmEcjW_RP8_A9ss_BFUPS7Gv6PGEtD6EhBvdQn5yGYnhogdKSv8RvVJnB4Ub2R76D9uh476zogrigyo-s1EklsYUci-HJBumQVJ0Bq0ist620Kvvr3fFnLnBOD8EgvRzYQ5cAmYykpvSP1fj88IWI6KSRPcwhdjye4WbrGoKVm0IcrwN0ITMzV6_KqjH8Z2x0Z7xlKcM-8CNGuTYhGaDQ_WW9YRes8CSh9mVCH27F_hrLHNE2rBBNyUOudn2h5XxX1_R6FyJzTjt72BzbwmPv5vwoD-s_W_Es.wM4CbGOPYaz3hZ6tvBvTYyGjSvwiHkp5b2czoyhYmfY&amp;dib_tag=se&amp;keywords=balsamo%2Blabial&amp;qid=1755109626&amp;sprefix=balsamo%2Blabial%2Caps%2C174&amp;sr=8-18&amp;ufe=app_do%3Aamzn1.fos.de93fa6a-174c-4df7-be7c-5bc8e9c5a71b&amp;th=1</t>
  </si>
  <si>
    <t>VLT-47</t>
  </si>
  <si>
    <t>Delineador cremoso para labios VELVET Define lip liner - Tono Juliet</t>
  </si>
  <si>
    <t>1.4 g</t>
  </si>
  <si>
    <t>https://www.amazon.com.mx/Maybelline-Delineador-Labios-Lifter-Liner/dp/B0CZBLMMQZ/ref=zg_bs_g_10178501011_d_sccl_1/139-5127535-4936938?th=1</t>
  </si>
  <si>
    <t>4.65</t>
  </si>
  <si>
    <t>$77</t>
  </si>
  <si>
    <t>VLT-48</t>
  </si>
  <si>
    <t>Delineador cremoso para labios VELVET Define lip liner - Tono Ophelia</t>
  </si>
  <si>
    <t>https://www.amazon.com.mx/Maybelline-Delineador-Labios-Lifter-Liner/dp/B0CZBPLRHZ/ref=zg_bs_g_10178501011_d_sccl_1/139-5127535-4936938?th=1</t>
  </si>
  <si>
    <t>VLT-49</t>
  </si>
  <si>
    <t>Delineador cremoso para labios VELVET Define lip liner - Tono Sophia</t>
  </si>
  <si>
    <t>https://www.amazon.com.mx/Maybelline-Delineador-Labios-Lifter-Liner/dp/B0CZBJ1Y4Y/ref=zg_bs_g_10178501011_d_sccl_1/139-5127535-4936938?th=1</t>
  </si>
  <si>
    <t>VLT-50</t>
  </si>
  <si>
    <t>Delineador cremoso para labios VELVET Define lip liner - Tono Elizabeth</t>
  </si>
  <si>
    <t>https://www.amazon.com.mx/Maybelline-Delineador-Labios-Lifter-Liner/dp/B0CZBGWBMS/ref=zg_bs_g_10178501011_d_sccl_1/139-5127535-4936938?th=1</t>
  </si>
  <si>
    <t>VLT-51</t>
  </si>
  <si>
    <t>Delineador cremoso para labios VELVET Define lip liner - Tono Vivian</t>
  </si>
  <si>
    <t>https://www.amazon.com.mx/Maybelline-Delineador-Labios-Lifter-Liner/dp/B0CZBBZ8DQ/ref=zg_bs_g_10178501011_d_sccl_1/139-5127535-4936938?th=1</t>
  </si>
  <si>
    <t>VLT-52</t>
  </si>
  <si>
    <t>Labial en Barra VELVET Cream Luxe Lipstick Tono- Dahlia</t>
  </si>
  <si>
    <t>https://www.amazon.com.mx/Revlon-7264274003-ColorStay-Suede-Lipstick/dp/B0BHJP6FS9/ref=zg_bs_g_10178504011_d_sccl_6/139-5127535-4936938?th=1</t>
  </si>
  <si>
    <t>VLT-53</t>
  </si>
  <si>
    <t>Labial en Barra VELVET Cream Luxe Lipstick Tono- Tulip</t>
  </si>
  <si>
    <t>https://www.amazon.com.mx/Revlon-7264274003-ColorStay-Suede-Lipstick/dp/B0BHJJ4KTT/ref=zg_bs_g_10178504011_d_sccl_6/139-5127535-4936938?th=1</t>
  </si>
  <si>
    <t>VLT-54</t>
  </si>
  <si>
    <t>Labial en Barra VELVET Cream Luxe Lipstick Tono- Rose</t>
  </si>
  <si>
    <t>https://www.amazon.com.mx/Revlon-7264274003-ColorStay-Suede-Lipstick/dp/B0BHJL1K6T/ref=zg_bs_g_10178504011_d_sccl_6/139-5127535-4936938?th=1</t>
  </si>
  <si>
    <t>VLT-55</t>
  </si>
  <si>
    <t>Labial en Barra VELVET Cream Luxe Lipstick Tono- Orchid</t>
  </si>
  <si>
    <t>https://www.amazon.com.mx/Revlon-7264274003-ColorStay-Suede-Lipstick/dp/B0BHJKC5FR/ref=zg_bs_g_10178504011_d_sccl_6/139-5127535-4936938?th=1</t>
  </si>
  <si>
    <t>VLT-56</t>
  </si>
  <si>
    <t>Tinta para labios y mejillas Velvet Tint - Tono Old Romance</t>
  </si>
  <si>
    <t>5 g</t>
  </si>
  <si>
    <t>https://www.amazon.com.mx/Sundae-Momiji-K-Tint-pigmentaci%C3%B3n-acabado/dp/B08XLM9T8F?th=1</t>
  </si>
  <si>
    <t>VLT-57</t>
  </si>
  <si>
    <t>Tinta para labios y mejillas Velvet Tint - Tono Love Letter</t>
  </si>
  <si>
    <t>VLT-58</t>
  </si>
  <si>
    <t>Tinta para labios y mejillas Velvet Tint - Tono Devotion</t>
  </si>
  <si>
    <t>VLT-59</t>
  </si>
  <si>
    <t>Tinta para labios y mejillas Velvet Tint - Tono Poetry Rose</t>
  </si>
  <si>
    <t>VLT-60</t>
  </si>
  <si>
    <t>Labial líquido VELVET
Liquid Lipstick - Tono Juliet</t>
  </si>
  <si>
    <t>4 mL</t>
  </si>
  <si>
    <t>https://www.maccosmetics.com.mx/product/31840/75919/productos/maquillaje/labios/liquid-lip-colours/powder-kiss-liquid-lipcolour?shade=Resort_Season_</t>
  </si>
  <si>
    <t>4.15</t>
  </si>
  <si>
    <t>VLT-61</t>
  </si>
  <si>
    <t>Labial líquido VELVET
Liquid Lipstick - Tono Ophelia</t>
  </si>
  <si>
    <t>VLT-62</t>
  </si>
  <si>
    <t>Labial líquido VELVET
Liquid Lipstick - Tono Sophia</t>
  </si>
  <si>
    <t>VLT-63</t>
  </si>
  <si>
    <t>Labial líquido VELVET
Liquid Lipstick - Tono Elizabeth</t>
  </si>
  <si>
    <t>VLT-64</t>
  </si>
  <si>
    <t>Labial líquido VELVET
Liquid Lipstick - Tono Vivian</t>
  </si>
  <si>
    <t>VLT-65</t>
  </si>
  <si>
    <t>Spray Fijador VELVET Perfect Veil Fixing Spray</t>
  </si>
  <si>
    <t>https://pinkup.mx/product/fx-fixer?srsltid=AfmBOop0OvWJrHfhS6DGeB3Ps4UtHfUMPRJ2tlc448t7KTViU9lg-9BA</t>
  </si>
  <si>
    <t>En espera de Archivo abierto por parte de Incitrus</t>
  </si>
  <si>
    <t>VLT-66</t>
  </si>
  <si>
    <t>Protector Solar en Polvo Velvet Sun Veil Powder</t>
  </si>
  <si>
    <t>12.22g</t>
  </si>
  <si>
    <t>https://www.fahorro.com/fotoprotector-isdin-uv-mineral-brush-spf-50-2-g.html?srsltid=AfmBOoo2njWhr6gdFEay4W2c-2EDJlJBQ13dRmU0LGzC5BHgwKuaj5msZ9o</t>
  </si>
  <si>
    <t>Skin Care</t>
  </si>
  <si>
    <t>11.15</t>
  </si>
  <si>
    <t>VLT-67</t>
  </si>
  <si>
    <t>Suero Facial Humectante VELVET Hydradaily</t>
  </si>
  <si>
    <t>30 mL</t>
  </si>
  <si>
    <t>BIYING</t>
  </si>
  <si>
    <t>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</t>
  </si>
  <si>
    <t>0.8</t>
  </si>
  <si>
    <t>En proceso de realizacion de dummy para autorizacion final</t>
  </si>
  <si>
    <t>VLT-69</t>
  </si>
  <si>
    <t>Bruma humectante VELVET</t>
  </si>
  <si>
    <t>80 mL</t>
  </si>
  <si>
    <t>VLT-70</t>
  </si>
  <si>
    <t>Bruma refrescante VELVET</t>
  </si>
  <si>
    <t>VLT-71</t>
  </si>
  <si>
    <t>Limpiador Facial VELVET Foam</t>
  </si>
  <si>
    <t>300 gr</t>
  </si>
  <si>
    <t>En proceso de render para solicitar autorizacion final</t>
  </si>
  <si>
    <t>VLT-72</t>
  </si>
  <si>
    <t>Mascarilla facial con extracto de Granada Velvet Pomegranate Sheet Mask</t>
  </si>
  <si>
    <t>1 pz</t>
  </si>
  <si>
    <t>VLT-73</t>
  </si>
  <si>
    <t>Mascarilla facial con cafeina Velvet Coffee Mask</t>
  </si>
  <si>
    <t>VLT-74</t>
  </si>
  <si>
    <t>Mascarilla Facial Velvet Retinol Sheet Mask</t>
  </si>
  <si>
    <t>VLT-75</t>
  </si>
  <si>
    <t>Mascarilla Facial Velvet Peptides Sheet Mask</t>
  </si>
  <si>
    <t>VLT-76</t>
  </si>
  <si>
    <t>Mascarilla Facial Velvet Niacinamide Sheet Mask</t>
  </si>
  <si>
    <t>VLT-77</t>
  </si>
  <si>
    <t>Pack de 5 mascarillas VELVET Essential Collection</t>
  </si>
  <si>
    <t>0.4</t>
  </si>
  <si>
    <t>VLT-78</t>
  </si>
  <si>
    <t>Mist VELVET Wild Berries</t>
  </si>
  <si>
    <t>250 mL</t>
  </si>
  <si>
    <t>https://www.fragrantica.es/perfume/Victoria-s-Secret/Berry-Elixir-No-16-83974.html</t>
  </si>
  <si>
    <t>Personal Care</t>
  </si>
  <si>
    <t>8.65</t>
  </si>
  <si>
    <t>VLT-79</t>
  </si>
  <si>
    <t>Mist VELVET Midnight Muse</t>
  </si>
  <si>
    <t>Winter Cranberry Victoria&amp;#039;s Secret fragancia - una fragancia para Mujeres 2015</t>
  </si>
  <si>
    <t>VLT-83</t>
  </si>
  <si>
    <t>Enchinador Para Pestañas VELVET</t>
  </si>
  <si>
    <t>BEAUTY &amp; ACCESORIES</t>
  </si>
  <si>
    <t>4.2</t>
  </si>
  <si>
    <t>VLT-84</t>
  </si>
  <si>
    <t>Brochas - Set 5 piezas VELVET Essentials</t>
  </si>
  <si>
    <t xml:space="preserve">Karina Brush </t>
  </si>
  <si>
    <t>Accesorios</t>
  </si>
  <si>
    <t>Cancelado</t>
  </si>
  <si>
    <t>VLT-85</t>
  </si>
  <si>
    <t>Brochas - Set 11 piezas VELVET Uniform Glam</t>
  </si>
  <si>
    <t>VLT-86</t>
  </si>
  <si>
    <t>Beauty Blender 3 pcs. VELVET Blend Set de esponjas de maquillaje</t>
  </si>
  <si>
    <t>3 PIEZAS</t>
  </si>
  <si>
    <t>MUC / USHAS</t>
  </si>
  <si>
    <t>Beauty Creations - Trio De Esponjas Y Borla – Beauty Creations MX</t>
  </si>
  <si>
    <t>VLT-87</t>
  </si>
  <si>
    <t>Paleta de sombras 12 tonos- Cafes VELVET Arabia</t>
  </si>
  <si>
    <t>18 g</t>
  </si>
  <si>
    <t>BEAUTYDOM</t>
  </si>
  <si>
    <t>https://www.blush-bar.com.mx/paleta-de-sombras-bloom-eyeshadow-palette/p?idsku=3500&amp;srsltid=AfmBOopxpXR3lZLe-yJZnOYad-nqSfjs7F4DLSXeQ1pPjvJb20OifH8azYI</t>
  </si>
  <si>
    <t>VLT-88</t>
  </si>
  <si>
    <t>Paleta de sombras 12 tonos- Terracota VELVET Italy</t>
  </si>
  <si>
    <t>https://www.sephora.com.mx/products-9090668966.html</t>
  </si>
  <si>
    <t>VLT-89</t>
  </si>
  <si>
    <t>Paleta de sombras 12 tonos- Terracota VELVET Norway</t>
  </si>
  <si>
    <t>https://www.mercadolibre.com.mx/blood-money-palette-x-jeffree-star-cosmetics-paleta-sombras/p/MLM22663715?matt_tool=28238160&amp;utm_source=google_shopping&amp;utm_medium=organic&amp;pdp_filters=item_id%3AMLM3574100304&amp;from=gshop</t>
  </si>
  <si>
    <t>VLT-90</t>
  </si>
  <si>
    <t>Delineador en gel VELVET Graphite Gel Ink</t>
  </si>
  <si>
    <t>2.3 g</t>
  </si>
  <si>
    <t>VLT-91</t>
  </si>
  <si>
    <t>Lip Gloss Tono 1</t>
  </si>
  <si>
    <t>3.3 g</t>
  </si>
  <si>
    <t>VLT-92</t>
  </si>
  <si>
    <t>Lip Gloss Tono 2</t>
  </si>
  <si>
    <t>3.3 gr</t>
  </si>
  <si>
    <t>VLT-93</t>
  </si>
  <si>
    <t>Lip Gloss Tono 3</t>
  </si>
  <si>
    <t>VLT-94</t>
  </si>
  <si>
    <t>Labial líquido brillante Velvet Radiant Lip "First Kiss"</t>
  </si>
  <si>
    <t>10 g</t>
  </si>
  <si>
    <t>VLT-95</t>
  </si>
  <si>
    <t>Labial líquido brillante Velvet Radiant Lip "True Romance"</t>
  </si>
  <si>
    <t>VLT-96</t>
  </si>
  <si>
    <t>Labial líquido brillante Velvet Radiant Lip "Soft Devotion"</t>
  </si>
  <si>
    <t>VLT-97</t>
  </si>
  <si>
    <t>Labial Gloss Velvet "Pure" Lip Glaze</t>
  </si>
  <si>
    <t>VLT-98</t>
  </si>
  <si>
    <t>Labial Gloss Velvet "Sincere" Lip Glaze</t>
  </si>
  <si>
    <t>VLT-99</t>
  </si>
  <si>
    <t>Labial Gloss Velvet "Clarity" Lip Glaze</t>
  </si>
  <si>
    <t>VLT-100</t>
  </si>
  <si>
    <t>Set de Brochas Bloom Negras</t>
  </si>
  <si>
    <t>24 piezas</t>
  </si>
  <si>
    <t>Mega Outlet y Canales Internos</t>
  </si>
  <si>
    <t>MU</t>
  </si>
  <si>
    <t>En producción</t>
  </si>
  <si>
    <t>VLT-101</t>
  </si>
  <si>
    <t>Set de Brochas Bloom Rosas</t>
  </si>
  <si>
    <t>VLT-102</t>
  </si>
  <si>
    <t>Suero para Ojeras Roll On</t>
  </si>
  <si>
    <t>15 mL</t>
  </si>
  <si>
    <t>0.95</t>
  </si>
  <si>
    <t xml:space="preserve"> $        179.00</t>
  </si>
  <si>
    <t>VLT-103</t>
  </si>
  <si>
    <t>Suero Facial con Niacinamida</t>
  </si>
  <si>
    <t>0.82</t>
  </si>
  <si>
    <t>VLT-104</t>
  </si>
  <si>
    <t>Suero Facial con Péptidos</t>
  </si>
  <si>
    <t>VLT-105</t>
  </si>
  <si>
    <t>Suero Facial con Retinol y Ceramidas</t>
  </si>
  <si>
    <t>0.87</t>
  </si>
  <si>
    <t>VLT-07</t>
  </si>
  <si>
    <t>Corrector Líquido VELVET Smooth Concealer - Tono CN1</t>
  </si>
  <si>
    <t>7.5 mL</t>
  </si>
  <si>
    <t>https://www.maccosmetics.com.mx/product/13844/60430/productos/maquillaje/rostro/correctores/corrector-liquido-studio-fix-24-hour-smooth-wear-concealer?shade=NC15</t>
  </si>
  <si>
    <t>VLT-08</t>
  </si>
  <si>
    <t>Corrector Líquido VELVET Smooth Concealer - Tono CC2</t>
  </si>
  <si>
    <t>VLT-09</t>
  </si>
  <si>
    <t>Corrector Líquido VELVET Smooth Concealer - Tono CC3</t>
  </si>
  <si>
    <t>VLT-10</t>
  </si>
  <si>
    <t>Corrector Líquido VELVET Smooth Concealer - Tono MC4</t>
  </si>
  <si>
    <t>VLT-68</t>
  </si>
  <si>
    <t>Crema Facial VELVET</t>
  </si>
  <si>
    <t>Minions</t>
  </si>
  <si>
    <t>Código Interno</t>
  </si>
  <si>
    <t>Costo USD</t>
  </si>
  <si>
    <t>Piezas cotizadas</t>
  </si>
  <si>
    <t>Costo en MXN
(FOB en almacén PT)</t>
  </si>
  <si>
    <t>Regalía</t>
  </si>
  <si>
    <t>Margen Cadena</t>
  </si>
  <si>
    <t>País de origen</t>
  </si>
  <si>
    <t>Máster</t>
  </si>
  <si>
    <t>MN.001</t>
  </si>
  <si>
    <t>Bálsamo labial con esencia de plátano</t>
  </si>
  <si>
    <t>Carmex $51
Eos Birthday Cake $44
Labello $79
Azu's My melody $27
Azu's Hello Kitty $25
Disney $39
Hershey's $39</t>
  </si>
  <si>
    <t>Personal care</t>
  </si>
  <si>
    <t>En producción, se enviaron fotos de PP de exhibicajas, pendiente el OK de licencia</t>
  </si>
  <si>
    <t>Licencia</t>
  </si>
  <si>
    <t>MN.002</t>
  </si>
  <si>
    <t>Bálsamo labial con esencia de algodón de azúcar</t>
  </si>
  <si>
    <t>MN.003</t>
  </si>
  <si>
    <t>Set de 3 Bálsamos labiales con esencias de algodón de azúcar, sandía y plátano</t>
  </si>
  <si>
    <t xml:space="preserve">3 x 4 g </t>
  </si>
  <si>
    <t>Disney Villanas $119
Disney Toy Story $119</t>
  </si>
  <si>
    <t>MN.006</t>
  </si>
  <si>
    <t>Jabón líquido para manos con esencia de plátano</t>
  </si>
  <si>
    <t>400 mL</t>
  </si>
  <si>
    <t>Equate $31
Blumen $32
Kleenex $59
Palmolive $60</t>
  </si>
  <si>
    <t>Skin care</t>
  </si>
  <si>
    <t>Regu revisión de archivos</t>
  </si>
  <si>
    <t xml:space="preserve">NP </t>
  </si>
  <si>
    <t>MN.007</t>
  </si>
  <si>
    <t>Jabón liquido para manos con esencia de algodón de azúcar</t>
  </si>
  <si>
    <t>Equate $31
Blumen $32
Kleenex $59
Palmolive $61</t>
  </si>
  <si>
    <t>MN.008</t>
  </si>
  <si>
    <t>Gel de baño 2 en 1 para cara y cuerpo aroma banana</t>
  </si>
  <si>
    <t>Johnson $145
Dove baby $140
Raw Sugar $135
Loreal Kids $86
Grissi Hot Wheels $69
Blumen $49
Trolls $125</t>
  </si>
  <si>
    <t>Falta confirmación de molde de envase 2D o 3D</t>
  </si>
  <si>
    <t>MN.009</t>
  </si>
  <si>
    <t xml:space="preserve">Crema corporal con aroma a plátano  </t>
  </si>
  <si>
    <t>St Ives $80
HoneyKeeper $81
Vasenol $80
Mustela $276
Jergens $89
Grissi $69
Nivea $80
Dove baby $155</t>
  </si>
  <si>
    <t>En espera de PPEDIDOS</t>
  </si>
  <si>
    <t>MN.011</t>
  </si>
  <si>
    <t>Body Mist Minions "Citrus Banana"</t>
  </si>
  <si>
    <t>120 mL</t>
  </si>
  <si>
    <t>Disney $99
Chupa Chups $75
Hot Wheels $69
Essence $57
Coty $90
Bioscents $105
Stitch Zara $319
ISDIN $240</t>
  </si>
  <si>
    <t>México</t>
  </si>
  <si>
    <t>MN.012</t>
  </si>
  <si>
    <t>Body Mist Minions "Cotton Candy"</t>
  </si>
  <si>
    <t>Disney $99
Chupa Chups $75
Hot Wheels $69
Essence $57
Coty $90
Bioscents $105
Stitch Zara $319
ISDIN $241</t>
  </si>
  <si>
    <t>MN.013</t>
  </si>
  <si>
    <t>Cepillo para cabello "Minions"</t>
  </si>
  <si>
    <t>1 pza</t>
  </si>
  <si>
    <t>Disney $99
Conair $65
Goody (HEB) $89
Wet (Chedraui) $176</t>
  </si>
  <si>
    <t>En revisión de regulatorios</t>
  </si>
  <si>
    <t>MN.014</t>
  </si>
  <si>
    <t>Cepillo para cabello "Unicornio"</t>
  </si>
  <si>
    <t>Disney $99
Conair $65
Goody (HEB) $89
Wet (Chedraui) $177</t>
  </si>
  <si>
    <t>Caracteristicas de Fórmula</t>
  </si>
  <si>
    <t>Costo en MXN</t>
  </si>
  <si>
    <t>BENCHMARK DE PRECIO (MARCA)</t>
  </si>
  <si>
    <t>COMPETIDORES CERCANOS (Index de precios)</t>
  </si>
  <si>
    <t>Precio público s/IVA</t>
  </si>
  <si>
    <t>Inner
pcs</t>
  </si>
  <si>
    <t>Por confirmar</t>
  </si>
  <si>
    <t>Pendiente</t>
  </si>
  <si>
    <t>PB-001</t>
  </si>
  <si>
    <t>Shampoo para hombre "Fresh &amp; Clean"</t>
  </si>
  <si>
    <t>400 ml</t>
  </si>
  <si>
    <t>Playboy</t>
  </si>
  <si>
    <t>https://www.alibaba.com/product-detail/400ml-HDPE-Flat-Shape-Bottle-for_1601526564011.html?spm=a2700.prosearch.normal_offer.d_image.45d867af4CQShv&amp;priceId=1c4b5abd5ee1449cb5593bcec7ada90f</t>
  </si>
  <si>
    <t>Shampoo Ego Limpieza profunda</t>
  </si>
  <si>
    <t>Mentol, Ginseg. Limpieza profunda. Refrescante. Vegano, libre de parabenos con olor a Menta + cítricos (limón, bergamota o mandarina): muy refrescante, con energía vibrante</t>
  </si>
  <si>
    <t>EGO</t>
  </si>
  <si>
    <t>Ego Limpieza Profunda 200 ml $37.50  
Ego Limpieza Profunda 400 ml $71.00  
Axe Total Fresh 3 en 1 473 ml $69
Axe Apollo 2 en 1 473 ml $89</t>
  </si>
  <si>
    <t>PB-002</t>
  </si>
  <si>
    <t>Shampoo para hombre "Power Strength"</t>
  </si>
  <si>
    <t>Shampoo Ego Control Caida</t>
  </si>
  <si>
    <t>Cafeína, Biotina. Reduce la caída de cabello. 
Vegano, libre de parabenos" con olor Eucalipto + hierbas aromáticas (romero, albahaca): sensación de frescor intenso y deportivo.</t>
  </si>
  <si>
    <t>Nivea Men Strong Power 475 ml $199
Ego Limpieza Profunda 400 ml $71
Axe Total Fresh 3 en 1 473 ml $69
Axe Apollo 2 en 1 473 ml $89</t>
  </si>
  <si>
    <t>PB-003</t>
  </si>
  <si>
    <t>Jabón líquido 3 en 1 "Core Clean"</t>
  </si>
  <si>
    <t>https://www.alibaba.com/product-detail/SOMEWANG-100ml-200ml-400ml-Shampoo-Packaging_1601155361608.html?spm=a2700.find_similar.normal_offer.d_image.82865f93kmONAO</t>
  </si>
  <si>
    <t>Gel de ducha Nivea Men (Checar si solo es MO)</t>
  </si>
  <si>
    <t>Jabón líquido 3 en 1 con Aloe Vera. Para cara, cuerpo y cabello. Limpieza efectiva, diseñado para la piel de hombre. 
Vegano, libre de parabenos" con olor Pepino + té verde: más moderno y urbano, fresco pero sofisticado</t>
  </si>
  <si>
    <t>NIVEA</t>
  </si>
  <si>
    <t>Axe Total Fresh 3 en 1 473 ml $69
Axe Apollo 2 en 1 473 ml $89
Stefano Jabón Liquido Corporal Black 400 ml $79</t>
  </si>
  <si>
    <t>PB-004</t>
  </si>
  <si>
    <t>Gel fijación media "Hold Motion"</t>
  </si>
  <si>
    <t>220 g</t>
  </si>
  <si>
    <t>https://www.alibaba.com/product-detail/5ml-10ml-15ml-30ml-50ml-100ml_1600966550866.html?spm=a2700.galleryofferlist.p_offer.d_image.2d3813a0uGMI4E&amp;s=p</t>
  </si>
  <si>
    <t>Gel ego</t>
  </si>
  <si>
    <t>Gel para cabello fijación media. Definición sin dejar residuos.
Vegano, libre de parabenos.
 Notas oceánicas + madera clara (cedro o ámbar gris)</t>
  </si>
  <si>
    <t>Gel para Cabello Ego Ultra Intense 220 m $44.00
Gel Moco de Gorila Punk 340 g $65.00
Gel de Linaza Árbol Verde 500 g $39.00</t>
  </si>
  <si>
    <t>PB-006</t>
  </si>
  <si>
    <t>Limpiador facial 150 ml "Skin Cleanser"</t>
  </si>
  <si>
    <t>150mL</t>
  </si>
  <si>
    <t>https://www.alibaba.com/product-detail/Tubes-Cosmetic-Tube-Concealer-Cream-Foundation_1601454334334.html?spm=a2700.picsearch.normal_offer.d_image.47a75f93CPFDtz</t>
  </si>
  <si>
    <t>Limpiador facial vitamina C Garnier</t>
  </si>
  <si>
    <t>Gel limpiador facial refrescante. Con vitamina C y glicerina. Deja la piel limpia, suave y humectada. Ayuda a unificar el tono de la piel.
Vegano, libre de parabenos" con olor Menta + cítricos (limón, bergamota o mandarina): muy refrescante, con energía vibrante</t>
  </si>
  <si>
    <t>Garnier Express Acalara</t>
  </si>
  <si>
    <t>SIMPLE limpiador facial con efecto Humectante 150 ml $129
L'Oréal Paris Men Expert Limpiador facial en gel Pure Charcoal 100ml $139
Garnier Express Aclara Limpiador profundo exfoliante Anti-imperfecciones 150ml $220</t>
  </si>
  <si>
    <t>PB-013</t>
  </si>
  <si>
    <t>Parches para labios "Pillow Lips"</t>
  </si>
  <si>
    <t>Parches hidratantes para labios</t>
  </si>
  <si>
    <t>Rojos</t>
  </si>
  <si>
    <t>Pantone 705 C</t>
  </si>
  <si>
    <t>YAAB</t>
  </si>
  <si>
    <t xml:space="preserve">Parche para labios Kiss Kiss Lovely Tony Moly $79
Patch de colágeno para labios Yaab $20
</t>
  </si>
  <si>
    <t>Autorización Licencia</t>
  </si>
  <si>
    <t>PB-007</t>
  </si>
  <si>
    <t>Mascarilla facial para mujer matificante “Matte Harmony”</t>
  </si>
  <si>
    <t>Mascarilla YAAB Arroz</t>
  </si>
  <si>
    <t>Mascarilla de arroz orgánico Yaab Beauty $25
TONYMOLY Mascarilla limpiadora de Arroz $63</t>
  </si>
  <si>
    <t>En produccion</t>
  </si>
  <si>
    <t>PB-008</t>
  </si>
  <si>
    <t>Mascarilla facial para mujer vitamina C "Glow Crush"</t>
  </si>
  <si>
    <t>Mascarilla Vitamina C</t>
  </si>
  <si>
    <t>Mascarilla de Vitamina C Yaab Beauty $25
Skin Sense con Vitamina C $40
Esfolio Mascarilla Facial Vitamina C $20
Garnier Skin Active Express Aclara Anti-Manchas Vitamina C $50</t>
  </si>
  <si>
    <t>PB-009</t>
  </si>
  <si>
    <t>Mascarilla facial para mujer con extracto de rosas "Petal Seduction"</t>
  </si>
  <si>
    <t>Mascarillla de rosas</t>
  </si>
  <si>
    <t>Mascarilla de extracto de rosas y ácido hialurónico Yaab Beauty $25
Mascarilla Facial Esfolio Agua de Rosas $20
Nivea Mascarilla Agua de Rosas $99
TONYMOLY Mascarilla hidratante de Rosa $65</t>
  </si>
  <si>
    <t>PB-010</t>
  </si>
  <si>
    <t>Mascarilla facial para mujer con extracto de coco "Tropic Tease"</t>
  </si>
  <si>
    <t>Mascarilla Coco Hidratante</t>
  </si>
  <si>
    <t>TONYMOLY Mascarilla hidratante de Coco $65
Mascarilla equate agua de coco $29
Mascarilla Facial Yaab Beauty Coco $25</t>
  </si>
  <si>
    <t>PB-011</t>
  </si>
  <si>
    <t>Mascarilla facial para mujer con oro + ácido hialurónico "Golden Glow Up"</t>
  </si>
  <si>
    <t>Mascarilla Gold 24k</t>
  </si>
  <si>
    <t>Mascarilla 24K Gold y ácido hialurónico Yaab $25
Mascarilla de Oro 24K Y acido hialuronico Bella Durmiente $29
Eternal Secret Mascarilla Facial Oro $34</t>
  </si>
  <si>
    <t>PB-014</t>
  </si>
  <si>
    <t>Mascarilla facial para mujer suavizante "Cool Me Down"</t>
  </si>
  <si>
    <t>Mascarilla Calmante | Antiinflamatoria</t>
  </si>
  <si>
    <t>Skin Sense Mascarilla Facial con Miel $42
Mascarilla de miel orgánica RC $39
TONYMOLY Mascarilla nutritiva de Miel $65</t>
  </si>
  <si>
    <t>PB-015</t>
  </si>
  <si>
    <t>Mascarilla facial para mujer ácido hialurónico y té verde "Plump Glow Obsession"</t>
  </si>
  <si>
    <t>Mascarilla facial acido te verde yaab</t>
  </si>
  <si>
    <t>GARNIER</t>
  </si>
  <si>
    <t>TE VERDE SKIN ACTIVE HIDRA BOMB GARNIER $50
TONYMOLY Mascarilla purificante de Te Verde $65
Skin Sense Mascarilla Facial con Té Verde $45</t>
  </si>
  <si>
    <t>PB-016</t>
  </si>
  <si>
    <t>Mascarilla facial para mujer colágeno "Collagen Luxe Radiance"</t>
  </si>
  <si>
    <t>Mascarilla facial con colageno</t>
  </si>
  <si>
    <t>Skin Sense Mascarilla Facial con Colágeno $45
TONYMOLY Mascarilla de Colágeno Master Lab $85</t>
  </si>
  <si>
    <t>PB-017</t>
  </si>
  <si>
    <t>Mascarilla para busto "Blossom Me Duo"</t>
  </si>
  <si>
    <t>2 piezas</t>
  </si>
  <si>
    <t>https://www.alibaba.com/product-detail/24K-Gold-Collagen-Breast-Patch-Firming_60785116844.html?spm=a2700.details.you_may_like.1.71b24e39IGn6Yy</t>
  </si>
  <si>
    <t>Mascarilla para senos</t>
  </si>
  <si>
    <t>Mom to Mom Mascarilla de Tela para Senos $203
FRIDA MOM Mascarilla para la Congestión de Senos $219
Mascarilla Corporal Busto Tonificante Freeman $69</t>
  </si>
  <si>
    <t>PB-018</t>
  </si>
  <si>
    <t>Mascarilla para glúteos  "Peachy Me"</t>
  </si>
  <si>
    <t>https://www.alibaba.com/product-detail/Custom-Logo-Firming-Lifting-Moisturizing-Hip_1600479709904.html?spm=a2700.galleryofferlist.normal_offer.d_image.690b13a0z8sXhw&amp;selectedCarrierCode=SEMI_MANAGED_ECONOMIC@@ECONOMY</t>
  </si>
  <si>
    <t>Mascarilla para gluteos</t>
  </si>
  <si>
    <t>Mascarilla Miracle Shape-Up Buttocks Mask Freeman $64
SEPHORA COLLECTION body mask $174</t>
  </si>
  <si>
    <t>PB-019</t>
  </si>
  <si>
    <t>Mascarilla facial para hombre vitamina C "Bright Shot"</t>
  </si>
  <si>
    <t>Mascarilla Vitamina C Hombre</t>
  </si>
  <si>
    <t>Mascarilla de Vitamina C Yaab Beauty $25
Skin Sense con Vitamina C $45
Esfolio Mascarilla Facial Vitamina C $20
Garnier Skin Active Express Aclara Anti-Manchas Vitamina C $50</t>
  </si>
  <si>
    <t>PB-020</t>
  </si>
  <si>
    <t>Mascarilla facial para hombre "Charcoal Matte Perfect "</t>
  </si>
  <si>
    <t>Mascarilla Acne Hombre</t>
  </si>
  <si>
    <t>Skin Sense Mascarilla Facial con Carbón Activado $45
Oil Control Mask RC $29
TONYMOLY Mascarilla para poros con Carbón activado $65
Mascarilla tela Garnier Pure Carbon $50</t>
  </si>
  <si>
    <t>Pendiente de PP de sachets</t>
  </si>
  <si>
    <t>PB-021</t>
  </si>
  <si>
    <t>Mascarilla facial para hombre con retinol "Smooth Boost"</t>
  </si>
  <si>
    <t>Mascarilla Retinol Hombre</t>
  </si>
  <si>
    <t>REVLON</t>
  </si>
  <si>
    <t xml:space="preserve">Mascarilla Facial Retinol Puro Revlon $20
</t>
  </si>
  <si>
    <t>PB-022</t>
  </si>
  <si>
    <t>Mascarilla facial para hombre humectante y suavizante "Timeless Rebel"</t>
  </si>
  <si>
    <t>Mascarilla antiedad tipo YAAB</t>
  </si>
  <si>
    <t xml:space="preserve">Mascarilla antiedad tipo YAAB $24.99
</t>
  </si>
  <si>
    <t>PB-023</t>
  </si>
  <si>
    <t>Mascarilla facial para hombre Reducción brillo "Matte Instinct"</t>
  </si>
  <si>
    <t>Mascarilla Oil Control Loreal men expert</t>
  </si>
  <si>
    <t>L'oreal</t>
  </si>
  <si>
    <t xml:space="preserve">
Mascarilla L'oréal Men Expert En Tela Hydra Energetic $59.90
</t>
  </si>
  <si>
    <t>PB-024</t>
  </si>
  <si>
    <t>Sérum 5 en 1 vitamina C "C-Power Radiance"</t>
  </si>
  <si>
    <t>https://www.alibaba.com/product-detail/Hight-Quality-Hot-Selling-5ml-10ml_1601431997613.html?spm=a2700.find_similar.normal_offer.d_image.45e85f935b7qXL</t>
  </si>
  <si>
    <t>Serum vitamina C Garnier</t>
  </si>
  <si>
    <t>Sérum Facial Garnier Skin Active Express Aclara $194
Serum Booster Facial Pond's Vs. Manchas Vitamina C $175
Vitacilina Serum Iluminador con Vitamina C $139
PINK UP | Retinol Vitamin C Serum $188</t>
  </si>
  <si>
    <t>Pendiente aprobación de SERUMS en el contrato
Se pasaron fotos de PP</t>
  </si>
  <si>
    <t>PB-025</t>
  </si>
  <si>
    <t>Sérum 3 en 1 Ácido hialurónico + B3  "Triple Action 4 Men"</t>
  </si>
  <si>
    <t>Serum acido hialuronico PONDS</t>
  </si>
  <si>
    <t>PONDS</t>
  </si>
  <si>
    <t>Good Molecules Hyaluronic Acid Serum $265
POND'S Serum Booster Ácido Hialurónico $175
PINK UP Hyaluronic Acid Serum $188</t>
  </si>
  <si>
    <t>PB-026</t>
  </si>
  <si>
    <t>Labial líquido mate  "Red Affair"</t>
  </si>
  <si>
    <t>7 mL</t>
  </si>
  <si>
    <t>https://www.alibaba.com/product-detail/5ml-Black-White-Silver-Rose-Gold_1601324048875.html?spm=a2700.find_similar.normal_offer.d_image.7ede5f93rr5C2T</t>
  </si>
  <si>
    <t>Loreal Tono True Love 420</t>
  </si>
  <si>
    <t>https://www.amazon.com.mx/Paris-Infallible-Resistance-Duraci%C3%B3n-Hialur%C3%B3nico/dp/B0BWK5HRF8/ref=zg_bs_g_10178502011_d_sccl_1/139-2497918-0261623?psc=1</t>
  </si>
  <si>
    <t>Pantone 2347 C</t>
  </si>
  <si>
    <t>Lightweight formula with excellent coverage, non-drying, and long-lasting wear on the lips.</t>
  </si>
  <si>
    <t>Revlon Colorstay Limitless Matte Liquid Lipstick $255
Soft Matte Cream Nyx Professional $239
L'Oréal Paris Infallible Matte Resistance $289
Maybelline Super Stay matte ink $249</t>
  </si>
  <si>
    <t>Cosmeticos</t>
  </si>
  <si>
    <t>Todo ok por licencia. En producción.
Termina aprox 27/jun</t>
  </si>
  <si>
    <t>PB-027</t>
  </si>
  <si>
    <t>Labial líquido mate  "Cashmere Kiss"</t>
  </si>
  <si>
    <t>Loreal Tono Petal core</t>
  </si>
  <si>
    <t>https://www.amazon.com.mx/Maybelline-SuperStay-Teddy-Tint-Tono/dp/B0DHF9X19V/ref=zg_bs_g_10178502011_d_sccl_6/139-2497918-0261623?psc=1</t>
  </si>
  <si>
    <t>Pantone 693C</t>
  </si>
  <si>
    <t>PB-028</t>
  </si>
  <si>
    <t>Labial líquido mate  "Pink Kiss"</t>
  </si>
  <si>
    <t>Yuya Tono La sirena</t>
  </si>
  <si>
    <t>https://www.amazon.com.mx/Yuya-Set-labiales-sirena-quiero/dp/B0BJ88JG6C/ref=zg_bs_g_10178502011_d_sccl_5/139-2497918-0261623?psc=1</t>
  </si>
  <si>
    <t xml:space="preserve">Pantone 2340 C </t>
  </si>
  <si>
    <t>PB-029</t>
  </si>
  <si>
    <t>Labial líquido mate  "Berry Tease"</t>
  </si>
  <si>
    <t>Loreal tono Coquetish</t>
  </si>
  <si>
    <t>https://www.amazon.com.mx/Maybelline-SuperStay-Teddy-Tint-Tono/dp/B0DHF3S3CS/ref=zg_bs_g_10178502011_d_sccl_3/139-2497918-0261623?psc=1</t>
  </si>
  <si>
    <t>Pantone 1955 C</t>
  </si>
  <si>
    <t>PB-030</t>
  </si>
  <si>
    <t>Labial líquido mate  "Hot Cocoa"</t>
  </si>
  <si>
    <t>Loreal Tono mascara tear</t>
  </si>
  <si>
    <t>https://www.amazon.com.mx/Maybelline-SuperStay-Teddy-Tint-Tono/dp/B0DHF4PSCN/ref=zg_bs_g_10178502011_d_sccl_2/139-2497918-0261623?psc=1</t>
  </si>
  <si>
    <t>Pantone 181C</t>
  </si>
  <si>
    <t>PB-031</t>
  </si>
  <si>
    <t>Labial líquido mate "Wild Cherry"</t>
  </si>
  <si>
    <t>Loreal Tono skinnydip</t>
  </si>
  <si>
    <t>https://www.amazon.com.mx/Maybelline-SuperStay-Teddy-Tint-Tono/dp/B0DHDTXMYK/ref=zg_bs_g_10178502011_d_sccl_4/139-2497918-0261623?psc=1</t>
  </si>
  <si>
    <t>Pantone 186 C</t>
  </si>
  <si>
    <t>PB-032</t>
  </si>
  <si>
    <t>Lip plumper  "Juicy Secrets"</t>
  </si>
  <si>
    <t>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</si>
  <si>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2030 C</t>
  </si>
  <si>
    <t>Plumping lip gloss, with instant and long-lasting volume, spicy formula.</t>
  </si>
  <si>
    <t>NYX Professional Makeup, Duck Plump $299
Maybelline Gloss rellenador de labios, Lifter Plump $289
L'Oréal Paris Plump Ambition $259</t>
  </si>
  <si>
    <t>PB-033</t>
  </si>
  <si>
    <t>Lip plumper "Full Fantasy"</t>
  </si>
  <si>
    <t>Maybelline Lip Plumper Cocoa Zing</t>
  </si>
  <si>
    <t>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</si>
  <si>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7523 C</t>
  </si>
  <si>
    <t>PB-034</t>
  </si>
  <si>
    <t>Lip plumper "Kiss &amp; Swell"</t>
  </si>
  <si>
    <t>Maybelline Lip Plumper Blush Blaze</t>
  </si>
  <si>
    <t>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</si>
  <si>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192 C</t>
  </si>
  <si>
    <t>PB-035</t>
  </si>
  <si>
    <t>Lip plumper  "Lush Lips"</t>
  </si>
  <si>
    <t>Maybelline Lip Plumper Red Flag</t>
  </si>
  <si>
    <t>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</si>
  <si>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708 C</t>
  </si>
  <si>
    <t>PB-036</t>
  </si>
  <si>
    <t>Esmalte  "Cherry Bomb"</t>
  </si>
  <si>
    <t>16 mL</t>
  </si>
  <si>
    <t>https://www.alibaba.com/product-detail/Transparent-2ml-3ml-5ml-8ml-10ml_1600210133939.html?spm=a2700.find_similar.normal_offer.d_image.78545f93A3wXf4</t>
  </si>
  <si>
    <t>Color Teak Rose</t>
  </si>
  <si>
    <t>Revlon Snap HD #1 en Amazon palo de rosa</t>
  </si>
  <si>
    <t>Pantone 200 C</t>
  </si>
  <si>
    <t>Nail polish with intense color and shine in just one coat, enriched with natural ingredients such as avocado, green tea, and spinach to help keep nails in good condition. Quick-drying and long-lasting for several days.</t>
  </si>
  <si>
    <t>Revlon Esmalte ultra hd nail snap $135
Revlon Super Lustrous Esmalte de Uñas $135</t>
  </si>
  <si>
    <t>Uñas</t>
  </si>
  <si>
    <t>Se mandaron fotos de PP a licencia para vobo</t>
  </si>
  <si>
    <t>PB-037</t>
  </si>
  <si>
    <t>Esmalte  "Play Hard"</t>
  </si>
  <si>
    <t>Color Fearless</t>
  </si>
  <si>
    <t>Revlon Snap HD #1 en Amazon Color Rosa -Naranja</t>
  </si>
  <si>
    <t>Pantone Black 6 C</t>
  </si>
  <si>
    <t>PB-038</t>
  </si>
  <si>
    <t>Esmalte  "Blush Bunny"</t>
  </si>
  <si>
    <t>Color Visen</t>
  </si>
  <si>
    <t>Revlon Snap HD #1 en Amazon Color Guinda</t>
  </si>
  <si>
    <t>PANTONE Rubine Red C</t>
  </si>
  <si>
    <t>PB-039</t>
  </si>
  <si>
    <t>Esmalte  "Berry Wild"</t>
  </si>
  <si>
    <t>Color Revlon Red</t>
  </si>
  <si>
    <t>Revlon Snap HD #1 en Amazon Color Berry Red</t>
  </si>
  <si>
    <t>PANTONE 1815 C</t>
  </si>
  <si>
    <t>PB-040</t>
  </si>
  <si>
    <t>Esmalte  "Bare Me Babe"</t>
  </si>
  <si>
    <t>Color Black Cherry</t>
  </si>
  <si>
    <t>Revlon Snap HD #1 en Amazon Color cereza oscura</t>
  </si>
  <si>
    <t>PANTONE 502 C</t>
  </si>
  <si>
    <t>PB-041</t>
  </si>
  <si>
    <t>Esmalte "Purple Thrill"</t>
  </si>
  <si>
    <t>Color Iced Mauve</t>
  </si>
  <si>
    <t>Revlon Snap HD #1 en Amazon Color Malba brilloso</t>
  </si>
  <si>
    <t>Pantone 2357 C</t>
  </si>
  <si>
    <t>se mando el ajuste de serigrafía, en espera de PP</t>
  </si>
  <si>
    <t>PB-042</t>
  </si>
  <si>
    <t>Rubor en barra melocotón "Peach Crush"</t>
  </si>
  <si>
    <t>https://www.alibaba.com/product-detail/Wholesale-Empty-6g-10g-Sunscreen-Stick_1600460456748.html?spm=a2700.find_similar.normal_offer.d_image.2fc25f93yc6jks</t>
  </si>
  <si>
    <t>Peach Crush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</si>
  <si>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</t>
  </si>
  <si>
    <t>Pantone 2032 C</t>
  </si>
  <si>
    <t>Lightweight cream-to-powder multi-use formula that can be applied on eyes, lips, and cheeks for a soft, radiant look. Vegan and cruelty-free.</t>
  </si>
  <si>
    <t>Wet n wild</t>
  </si>
  <si>
    <t>E.l.f. - Multistick monocromático $310
Wet n Wild Megaglo $199
Beauty creations Flawless Stay $185</t>
  </si>
  <si>
    <t>PB-043</t>
  </si>
  <si>
    <t>Rubor en barra rosa "Oh So Flushed"</t>
  </si>
  <si>
    <t>Oh So Flushed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</si>
  <si>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</t>
  </si>
  <si>
    <t>Pantone 170 C</t>
  </si>
  <si>
    <t>PB-044</t>
  </si>
  <si>
    <t>Iluminador líquido  "Glow Hustle"</t>
  </si>
  <si>
    <t>5.1 mL</t>
  </si>
  <si>
    <t>Glow Hustle</t>
  </si>
  <si>
    <t>https://bellisima.mx/products/flawless-stay-liquid-highlight-glow-up-wands-beauty-creations?variant=41786795786318</t>
  </si>
  <si>
    <t>PANTONE 489 C</t>
  </si>
  <si>
    <t>Luminous finish formula that blends effortlessly. Enriched with Vitamin E and Hyaluronic Acid, it hydrates and moisturizes your skin to help keep it radiant and fresh.</t>
  </si>
  <si>
    <t xml:space="preserve">5000
10000
</t>
  </si>
  <si>
    <t>Maybelline</t>
  </si>
  <si>
    <t>Maybelline Iluminador líquido Sunkisser $239
PINK UP | Perfect Glow $174
NYX Professional Makeup, Jumbo Highlighte $274</t>
  </si>
  <si>
    <t>PB-045</t>
  </si>
  <si>
    <t>Iluminador líquido "Shine Addict"</t>
  </si>
  <si>
    <t>Shine Addict</t>
  </si>
  <si>
    <t>PANTONE 876 C</t>
  </si>
  <si>
    <t>PB-046</t>
  </si>
  <si>
    <t>Delineador negro plumón  "Night Out Ink"</t>
  </si>
  <si>
    <t>https://www.alibaba.com/product-detail/Non-Smudge-Beginner-Eyeliner-Pen-Waterproof_1601050184499.html?spm=a2700.picsearch.normal_offer.d_image.7a175f93RR0JWl</t>
  </si>
  <si>
    <t>Night Out Ink</t>
  </si>
  <si>
    <t>https://bellisima.mx/products/beauty-creations-liquid-eyeliner-mashes</t>
  </si>
  <si>
    <t xml:space="preserve">Pantone Black 6 C </t>
  </si>
  <si>
    <t>Easy-to-apply formula that glides on with precision, long-lasting, waterproof, and delivers intense color.</t>
  </si>
  <si>
    <t>Delineador de ojos Revlon ColorStay 48H Line $259
Moira Delineador Líquido Negro $175
Nyx Professional Makeup Epic Ink Liner $299
L'Oréal Paris Delineador de Ojos Infallible $269
Yuya Delineador negro $149</t>
  </si>
  <si>
    <t>PB-047</t>
  </si>
  <si>
    <t>Delineador vino plumón "Drama Wine"</t>
  </si>
  <si>
    <t>https://www.alibaba.com/product-detail/New-Arrival-OEM-ODM-Makeup-Cosmetic_1600747283787.html?spm=a2700.galleryofferlist.normal_offer.d_image.78ca13a0Hf4wSs</t>
  </si>
  <si>
    <t>Naughty Night</t>
  </si>
  <si>
    <t>Pantone 195 C</t>
  </si>
  <si>
    <t>PB-048</t>
  </si>
  <si>
    <t>Máscara de pestañas waterproof "Bunny Eyes"</t>
  </si>
  <si>
    <t>13 g</t>
  </si>
  <si>
    <t>https://www.alibaba.com/product-detail/Custom-Labeling-10ml-Lip-Gloss-Tubes_1601434307486.html?spm=a2700.picsearch.normal_offer.d_image.6b195f9391Xw7X</t>
  </si>
  <si>
    <t>Bunny Eyes</t>
  </si>
  <si>
    <t>https://bellisima.mx/products/mascara-voluminizadora-mega-volume-so-defined-wet-n-wild</t>
  </si>
  <si>
    <t>Volumizing formula with castor oil to condition the lashes, enriched with omega-6 fatty acids and proteins.</t>
  </si>
  <si>
    <t>$ -</t>
  </si>
  <si>
    <t>Wet N Wild Breakup proof $209
L´Oréal Paris Voluminous Original $229
Maybelline Colossal Go Extreme Mascara $269</t>
  </si>
  <si>
    <t>Se puso pedido de cajas y exhibicajas.</t>
  </si>
  <si>
    <t>PB-050</t>
  </si>
  <si>
    <t>Gel de cejas  "Hold My Look"</t>
  </si>
  <si>
    <t>6 mL</t>
  </si>
  <si>
    <t>https://www.alibaba.com/product-detail/Private-Label-4ml-Eyelash-Serum-Mascara_1600303641047.html?spm=a2700.galleryofferlist.normal_offer.d_image.3afc13a0s4ewLa&amp;priceId=693031f39fb1450d939e5f3d5db3352a</t>
  </si>
  <si>
    <t>Hold My Look</t>
  </si>
  <si>
    <t>https://bellisima.mx/products/tinta-para-cejas-stay-put-brow-mousse-milani</t>
  </si>
  <si>
    <t>Clear</t>
  </si>
  <si>
    <t>Ultra-moisturizing, high-pigment mousse tint formula. Infused with shea butter, jojoba seed oil, panthenol, and vitamin B5 to condition, groom, and enhance the brows.
Long-lasting wear for up to 16 hours, smudge-proof and flake-free.</t>
  </si>
  <si>
    <t>Gel Fijador para Cejas Yuya $189
NYX The Brow Glue Instant Brow Styler $229</t>
  </si>
  <si>
    <t>PB-051</t>
  </si>
  <si>
    <t>Paleta de sombras nude "Bare With Me"</t>
  </si>
  <si>
    <t>https://www.alibaba.com/product-detail/Square-Buckle-4-Grid-4-Color_1601217525343.html?spm=a2700.galleryofferlist.normal_offer.d_image.4e8313a00vaOlc&amp;priceId=daff05bcabdb4d4b930862732e2878c6</t>
  </si>
  <si>
    <t>Bare With Me</t>
  </si>
  <si>
    <t>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</t>
  </si>
  <si>
    <t>Smooth, lightweight formula with buildable, highly pigmented matte and shimmer shades. Features fine, soft particles that absorb oil and provide a defined, long-lasting effect.</t>
  </si>
  <si>
    <t>Elf</t>
  </si>
  <si>
    <t>elf, Sombras de ojos $244
Palladio Sombra de ojos cuádruple $199
Milani, Paleta de sombras Gilded Mini $309
Covergirl Covergirl eye enhancers 4-kit shadows  $177</t>
  </si>
  <si>
    <t>PB-052</t>
  </si>
  <si>
    <t>Paleta de sombras smokey "Into the Dark"</t>
  </si>
  <si>
    <t>Into the Dark</t>
  </si>
  <si>
    <t>https://bellisima.mx/products/sombras-gilded-mini-eyeshadow-quads-call-me-old-fashioned-milani</t>
  </si>
  <si>
    <t>PB-053</t>
  </si>
  <si>
    <t>Paleta de sombras café "Coffee Please"</t>
  </si>
  <si>
    <t>Coffee Please</t>
  </si>
  <si>
    <t>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</t>
  </si>
  <si>
    <t>PB-054</t>
  </si>
  <si>
    <t>Paleta de sombras verdes "Emerald City"</t>
  </si>
  <si>
    <t>Emerald City</t>
  </si>
  <si>
    <t>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</t>
  </si>
  <si>
    <t>PB-055</t>
  </si>
  <si>
    <t>Polvo traslúcido "Blur &amp; Set"</t>
  </si>
  <si>
    <t>https://www.alibaba.com/product-detail/High-Quality-Face-Powder-5-ml_1600565506136.html?spm=a2700.find_similar.normal_offer.d_image.29a85f93Z3JfcB</t>
  </si>
  <si>
    <t>Blur &amp; Set</t>
  </si>
  <si>
    <t>Pantone 2309 C</t>
  </si>
  <si>
    <t>Fine, soft, and silky powder that gives the skin a velvety matte finish. Enriched with ingredients such as Rice Powder and Oat Powder.</t>
  </si>
  <si>
    <t xml:space="preserve">Polvo traslúcido Yuya $250
NYX Polvo Translúcido $319
Wet n Wild Photo Focus Polvo Traslúcido $204
Polvo Translucido Cozzi Beauty $179.9
</t>
  </si>
  <si>
    <t>PB-056</t>
  </si>
  <si>
    <t>Lip oil frambuesa "Kiss Me"</t>
  </si>
  <si>
    <t>10 mL</t>
  </si>
  <si>
    <t>https://www.alibaba.com/product-detail/Custom-Label-Silicone-Seal-Ring-LipGloss_1601172713678.html?spm=a2700.picsearch.normal_offer.d_image.75bb5f93yqPWMw</t>
  </si>
  <si>
    <t>Kiss Me</t>
  </si>
  <si>
    <t>Formula that delivers consistent, vivid color with a donut-glaze-like shine.
Enriched with ingredients such as Polypeptide, Pomegranate Seed Oil, and Argan Ceramide. Features a buildable texture.</t>
  </si>
  <si>
    <t>Moira</t>
  </si>
  <si>
    <t>Moira Bálsamo labial Butter Bliss $259
e.l.f. Glow Reviver Lip Oil $259
NYX Fat Oil $289</t>
  </si>
  <si>
    <t>PB-057</t>
  </si>
  <si>
    <t>Lip oil mocha "Glow Me"</t>
  </si>
  <si>
    <t>Glow Me</t>
  </si>
  <si>
    <t>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</t>
  </si>
  <si>
    <t>Pantone 4985 C</t>
  </si>
  <si>
    <t>PB-058</t>
  </si>
  <si>
    <t>Lip oil nude "Shine On"</t>
  </si>
  <si>
    <t>Shine On</t>
  </si>
  <si>
    <t>Pantone 2338 C</t>
  </si>
  <si>
    <t>PB-059</t>
  </si>
  <si>
    <t>Lip oil peach "Love Drop"</t>
  </si>
  <si>
    <t>Love Drop</t>
  </si>
  <si>
    <t>Pantone 7418 C</t>
  </si>
  <si>
    <t>PB-060</t>
  </si>
  <si>
    <t>Lip gloss mocha "Juicy Glow"</t>
  </si>
  <si>
    <t>Juicy Babe</t>
  </si>
  <si>
    <t>Pantone 4695 C</t>
  </si>
  <si>
    <t>Formula with shea butter, leaving a soft and moisturized feel. Provides a smooth, translucent, pearly shine without a sticky sensation.</t>
  </si>
  <si>
    <t>Wet n Wild Megaslicks Lip Gloss $119
Fenty Fenty Labial Gloss $500</t>
  </si>
  <si>
    <t>PB-061</t>
  </si>
  <si>
    <t>Lip gloss pink "Sweet Rush"</t>
  </si>
  <si>
    <t>Sweet Rush</t>
  </si>
  <si>
    <t>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</t>
  </si>
  <si>
    <t>Pantone 2342 C</t>
  </si>
  <si>
    <t>PB-062</t>
  </si>
  <si>
    <t>Lip gloss cherry "Cherry Pop"</t>
  </si>
  <si>
    <t>Cherry Pop</t>
  </si>
  <si>
    <t>PB-063</t>
  </si>
  <si>
    <t>Lip gloss nude "Glossy Mood"</t>
  </si>
  <si>
    <t>Glossy Mood</t>
  </si>
  <si>
    <t>Pantone 7522 C</t>
  </si>
  <si>
    <t>PB-064</t>
  </si>
  <si>
    <t>Enchinador "Lash Up"</t>
  </si>
  <si>
    <t>https://www.alibaba.com/product-detail/Gun-Black-Silicone-Eyelash-Curler-with_1601483267156.html?spm=a2700.picsearch.normal_offer.d_image.7a595f93KkdMve</t>
  </si>
  <si>
    <t>Lash Up</t>
  </si>
  <si>
    <t>PANTONE 7606 C
METALLIC</t>
  </si>
  <si>
    <t>Sheseido $749
Enchinador yuya $149</t>
  </si>
  <si>
    <t>Se hizo Pedido. En espera de OK de preproducción por parte de licencia</t>
  </si>
  <si>
    <t>PB-065</t>
  </si>
  <si>
    <t>Set de brochas (6 piezas) "Brush Squad"</t>
  </si>
  <si>
    <t>6 piezas</t>
  </si>
  <si>
    <t>https://www.alibaba.com/product-detail/8Pcs-Synthetic-Foundation-Brush-Blending-Face_1601053171038.html?spm=a2700.picsearch.normal_offer.d_image.67d85f93AioiKN</t>
  </si>
  <si>
    <t>Brush Squad (6 piezas)</t>
  </si>
  <si>
    <t>https://bellisima.mx/products/set-de-12-brochas-dont-stop-sleighin-bebella-copia?srsltid=AfmBOoqScf_U19uwP_rD7w49vMQ3awvMgt-9vZTODcwmgv9A_DzeKTbt</t>
  </si>
  <si>
    <t>Mango: Pantone Black 6 C  
Pelitos: Pantone 698 C</t>
  </si>
  <si>
    <t>Disney</t>
  </si>
  <si>
    <t>Disney Set de 5 Brochas Holográficas $399
disney Set de 6 Brochas Villanas 399
E.L.F. Kit facial impecable, colección de brochas de 6 piezas $486</t>
  </si>
  <si>
    <t>Todo ok por licencia. En producción.
Termina aprox 20/jun</t>
  </si>
  <si>
    <t>Glam</t>
  </si>
  <si>
    <t>Pago de Anticipo</t>
  </si>
  <si>
    <t>preproduccion</t>
  </si>
  <si>
    <t>PAGO ANTICIPO</t>
  </si>
  <si>
    <t>FASE</t>
  </si>
  <si>
    <t>Costo SS a provedor</t>
  </si>
  <si>
    <t>Costo Esperado</t>
  </si>
  <si>
    <t>Costo real
KARINA / HEBEI
USHAS</t>
  </si>
  <si>
    <t>Costo real
MUC</t>
  </si>
  <si>
    <t>Costo real
HERB</t>
  </si>
  <si>
    <t>Costo en MX con IGI NUEVO</t>
  </si>
  <si>
    <t>Precio publico S/IVA</t>
  </si>
  <si>
    <t>INNER</t>
  </si>
  <si>
    <t>MASTER</t>
  </si>
  <si>
    <t>GL-032</t>
  </si>
  <si>
    <t>Tinta para labios "Cherry Bomb"</t>
  </si>
  <si>
    <t>Glam!</t>
  </si>
  <si>
    <t>Mix de Canales</t>
  </si>
  <si>
    <t>En Producción. Termina en 31/May</t>
  </si>
  <si>
    <t xml:space="preserve">Eduardo (Compras) </t>
  </si>
  <si>
    <t>GL-033</t>
  </si>
  <si>
    <t>Tinta para labios "Coral"</t>
  </si>
  <si>
    <t>GL-034</t>
  </si>
  <si>
    <t>Tinta para labios "Mauve Muse"</t>
  </si>
  <si>
    <t>GL-035</t>
  </si>
  <si>
    <t>Tinta para labios "Berry Rush"</t>
  </si>
  <si>
    <t>GL-036</t>
  </si>
  <si>
    <t>Lip Oil Peach</t>
  </si>
  <si>
    <t>Producción termina 25/May</t>
  </si>
  <si>
    <t>Eduardo (Compras) / Pao Salas (logistica)</t>
  </si>
  <si>
    <t>GL-037</t>
  </si>
  <si>
    <t>Lip Oil Rosé Sparkle</t>
  </si>
  <si>
    <t>GL-038</t>
  </si>
  <si>
    <t>Lip Oil Nude Glaze</t>
  </si>
  <si>
    <t>GL-039</t>
  </si>
  <si>
    <t>Lip Oil  Pink Frost</t>
  </si>
  <si>
    <t>GL-040</t>
  </si>
  <si>
    <t>Labial Líquido "Sparkle Nude"</t>
  </si>
  <si>
    <t>3.8 mL</t>
  </si>
  <si>
    <t>GL-041</t>
  </si>
  <si>
    <t>Labial Líquido "Sparkle Burdeos"</t>
  </si>
  <si>
    <t>GL-042</t>
  </si>
  <si>
    <t>Labial Líquido "Sparkle Rojo"</t>
  </si>
  <si>
    <t>GL-043</t>
  </si>
  <si>
    <t>Labial Líquido "Sparkle Mauve"</t>
  </si>
  <si>
    <t>GL-044</t>
  </si>
  <si>
    <t>Parches para imperfecciones "Smiley Face"</t>
  </si>
  <si>
    <t>36 pz</t>
  </si>
  <si>
    <t>En espera de recolección</t>
  </si>
  <si>
    <t>GL-045</t>
  </si>
  <si>
    <t>Parches para imperfecciones "Heart"</t>
  </si>
  <si>
    <t>GL-048</t>
  </si>
  <si>
    <t>Sombra líquida para párpados "Champagne Flame"</t>
  </si>
  <si>
    <t>2.1 mL</t>
  </si>
  <si>
    <t>En Producción. Aproximadamente terminan el 26/jul</t>
  </si>
  <si>
    <t>GL-049</t>
  </si>
  <si>
    <t>Sombra líquida para párpados "Pink Flame"</t>
  </si>
  <si>
    <t>GL-050</t>
  </si>
  <si>
    <t>Sombra líquida para párpados "Copper Flame"</t>
  </si>
  <si>
    <t>GL-051</t>
  </si>
  <si>
    <t>Sombra líquida para párpados "Silver Smoke"</t>
  </si>
  <si>
    <t>GL-052</t>
  </si>
  <si>
    <t>GLAM Glow &amp; Go BB Cream - Tono "Morning Light"</t>
  </si>
  <si>
    <t>GL-053</t>
  </si>
  <si>
    <t>GLAM Glow &amp; Go BB Cream - Tono "Morning Hour"</t>
  </si>
  <si>
    <t>GL-054</t>
  </si>
  <si>
    <t>GLAM Glow &amp; Go BB Cream - Tono "Golden Light"</t>
  </si>
  <si>
    <t>GL-055</t>
  </si>
  <si>
    <t>GLAM Glow &amp; Go BB Cream - Tono "Golden Hour"</t>
  </si>
  <si>
    <t>GL-058</t>
  </si>
  <si>
    <t>Gel fijador para cejas transparente "Glam Look"</t>
  </si>
  <si>
    <t>GL-060</t>
  </si>
  <si>
    <t>Delineador para ojos Glam "Power Liner"</t>
  </si>
  <si>
    <t>Producción termina 31/May</t>
  </si>
  <si>
    <t>GL-064</t>
  </si>
  <si>
    <t>Iluminador en barra Glam "Glow Champagne"</t>
  </si>
  <si>
    <t>GL-065</t>
  </si>
  <si>
    <t>Iluminador en barra Glam "Glow Rose"</t>
  </si>
  <si>
    <t>GL-066</t>
  </si>
  <si>
    <t>Blush en barra Glam "Glow Kiss"</t>
  </si>
  <si>
    <t>GL-067</t>
  </si>
  <si>
    <t>Blush en barra Glam "Glow Terra Flame"</t>
  </si>
  <si>
    <t>GL-068</t>
  </si>
  <si>
    <t>Top Coat para uñas Glam "Crystal Clear"</t>
  </si>
  <si>
    <t>GL-069</t>
  </si>
  <si>
    <t>Top Coat para uñas "Prism Sparkle"</t>
  </si>
  <si>
    <t>GL-070</t>
  </si>
  <si>
    <t>Esmalte para uñas Glam "Apple Red"</t>
  </si>
  <si>
    <t>GL-071</t>
  </si>
  <si>
    <t>Esmalte para uñas Glam "Pink up"</t>
  </si>
  <si>
    <t>GL-072</t>
  </si>
  <si>
    <t>Esmalte para uñas Glam "Party City"</t>
  </si>
  <si>
    <t>GL-073</t>
  </si>
  <si>
    <t>Esmalte para uñas Glam "Mauve It Girl"</t>
  </si>
  <si>
    <t>GL-074</t>
  </si>
  <si>
    <t>Esmalte para uñas Glam "Wine Not?"</t>
  </si>
  <si>
    <t>GL-075</t>
  </si>
  <si>
    <t>Esmalte para uñas Glam "That Peach"</t>
  </si>
  <si>
    <t>GL-076</t>
  </si>
  <si>
    <t>Esmalte para uñas Glam "Violet Vibes"</t>
  </si>
  <si>
    <t>GL-079</t>
  </si>
  <si>
    <t>Crema para manos Glam "Sweet Almond"</t>
  </si>
  <si>
    <t>Skincare</t>
  </si>
  <si>
    <t>GL-080</t>
  </si>
  <si>
    <t>Crema para manos Glam "Green Tea"</t>
  </si>
  <si>
    <t>GL-081</t>
  </si>
  <si>
    <t>Serum facial "Vitamina C Glam "</t>
  </si>
  <si>
    <t>En Producción. Aproximadamente terminan el 10/jun</t>
  </si>
  <si>
    <t>GL-082</t>
  </si>
  <si>
    <t>Serum facial Retinol "RetinGlow"</t>
  </si>
  <si>
    <t>GL-083</t>
  </si>
  <si>
    <t>Parches para imperfecciones Glam "Bye circle"</t>
  </si>
  <si>
    <t>-</t>
  </si>
  <si>
    <t>GL-084</t>
  </si>
  <si>
    <t>Mascarilla facial Glam "Colágeno Hidrolizado"</t>
  </si>
  <si>
    <t>GL-085</t>
  </si>
  <si>
    <t>Mascarilla facial Glam "Con extracto de rosas"</t>
  </si>
  <si>
    <t>GL-086</t>
  </si>
  <si>
    <t>Mascarilla facial Glam "Vitamina C"</t>
  </si>
  <si>
    <t>GL-087</t>
  </si>
  <si>
    <t>Mascarilla Facial Glam "Matificante"</t>
  </si>
  <si>
    <t>GL-088</t>
  </si>
  <si>
    <t>Mascarilla facial Glam "Con Oro y ácido hialurónico"</t>
  </si>
  <si>
    <t>GL-089</t>
  </si>
  <si>
    <t>Mascarilla Facial Glam "Extracto de Coco"</t>
  </si>
  <si>
    <t>GL-092</t>
  </si>
  <si>
    <t>Mascarilla facial Glam "Té Verde + Extracto de pepino"</t>
  </si>
  <si>
    <t>GL-093</t>
  </si>
  <si>
    <t>Mascarilla facial Glam "Con extracto de fresa"</t>
  </si>
  <si>
    <t>GL-096</t>
  </si>
  <si>
    <t>Polvo Traslúcido Glam</t>
  </si>
  <si>
    <t>GL-097</t>
  </si>
  <si>
    <t>Desmaquillante Bifásico Glam</t>
  </si>
  <si>
    <t>Se puso pedido de etiquetas y exhibicajas, llegada aprox 7 de agosto</t>
  </si>
  <si>
    <t>GL-098</t>
  </si>
  <si>
    <t>Agua de Rosas Glam "Rose Mist"</t>
  </si>
  <si>
    <t>GL-099</t>
  </si>
  <si>
    <t>Enchinador para pestañas Glam</t>
  </si>
  <si>
    <t>GL-100</t>
  </si>
  <si>
    <t>Beauty Blender Glam</t>
  </si>
  <si>
    <t>GL-101</t>
  </si>
  <si>
    <t xml:space="preserve">Set de brochas para maquillaje Glam </t>
  </si>
  <si>
    <t>ETD - 11/JUN</t>
  </si>
  <si>
    <t>GL-108</t>
  </si>
  <si>
    <t>Labial Gloss Glam "Candy Shine"</t>
  </si>
  <si>
    <t>12 000</t>
  </si>
  <si>
    <t>Por problemas en el granel, se paró la producción, en proceso de resolución</t>
  </si>
  <si>
    <t>GL-109</t>
  </si>
  <si>
    <t>Labial Gloss Glam "Caramel Shine"</t>
  </si>
  <si>
    <t>GL-110</t>
  </si>
  <si>
    <t>Labial Gloss Glam "Honey Shine"</t>
  </si>
  <si>
    <t>Perry Ellis</t>
  </si>
  <si>
    <t>Fecha Original P.E.</t>
  </si>
  <si>
    <t>Llegada de guias</t>
  </si>
  <si>
    <t>Autorizaciónes</t>
  </si>
  <si>
    <t>COSTO REAL USD</t>
  </si>
  <si>
    <t>COSTO MX</t>
  </si>
  <si>
    <t>IGI 2025</t>
  </si>
  <si>
    <t>INCREMENTABLES</t>
  </si>
  <si>
    <t>IGI 2026</t>
  </si>
  <si>
    <t>PE-0003</t>
  </si>
  <si>
    <t>Cera para el cabello "Cera Slick"</t>
  </si>
  <si>
    <t xml:space="preserve">65 mL </t>
  </si>
  <si>
    <t>Revisión Regu de abiertos. 
Diseño de exhibicajas</t>
  </si>
  <si>
    <t>PE-0004</t>
  </si>
  <si>
    <t>Mascarilla facial "Pure Defense"</t>
  </si>
  <si>
    <t>Se mandó abierto a licencia</t>
  </si>
  <si>
    <t>PE-0005</t>
  </si>
  <si>
    <t>Mascarilla facial "Firming "</t>
  </si>
  <si>
    <t>PE-0006</t>
  </si>
  <si>
    <t>Mascarilla facial "Vitamina C"</t>
  </si>
  <si>
    <t>PE-0007</t>
  </si>
  <si>
    <t>Mascarilla facial "Colageno"</t>
  </si>
  <si>
    <t>En revisión de ajustes</t>
  </si>
  <si>
    <t>Diseño</t>
  </si>
  <si>
    <t>PE-0008</t>
  </si>
  <si>
    <t>Mascarilla facial "Detox Matte"</t>
  </si>
  <si>
    <t>Pendiente revisión con Lab para costos</t>
  </si>
  <si>
    <t>PE-0009</t>
  </si>
  <si>
    <t>Jabón líquido para manos ""</t>
  </si>
  <si>
    <t>200 mL</t>
  </si>
  <si>
    <t>PE-0070</t>
  </si>
  <si>
    <t>Brief: Revision por Regulatorio</t>
  </si>
  <si>
    <t>PE-0010</t>
  </si>
  <si>
    <t>Serum facial "Lift + Firm Complex"</t>
  </si>
  <si>
    <t>PE-0011</t>
  </si>
  <si>
    <t>Serum facial "Radiance Boost"</t>
  </si>
  <si>
    <t>PE-0012</t>
  </si>
  <si>
    <t>Neceser "Plastic Case"</t>
  </si>
  <si>
    <t>PE-0013</t>
  </si>
  <si>
    <t>Parches para ojos "Revitalizing Eye"</t>
  </si>
  <si>
    <t>60 pc</t>
  </si>
  <si>
    <t>PE-0014</t>
  </si>
  <si>
    <t>Contorno de ojos "Roll On Eyes"</t>
  </si>
  <si>
    <t>35 mL</t>
  </si>
  <si>
    <t>PE-0015</t>
  </si>
  <si>
    <t>Lip balm "Smooth Style"</t>
  </si>
  <si>
    <t>4.8 gr</t>
  </si>
  <si>
    <t>PE-0016</t>
  </si>
  <si>
    <t>Kit manicure "Nail Care Kit"</t>
  </si>
  <si>
    <t>12pc</t>
  </si>
  <si>
    <t>Stand By. Posible: 2</t>
  </si>
  <si>
    <t>PE-0071</t>
  </si>
  <si>
    <t>Set corta uñas, corta uñas pequeño y chico</t>
  </si>
  <si>
    <t>2 pcs</t>
  </si>
  <si>
    <t>PE-0017</t>
  </si>
  <si>
    <t>Cepillo para cabello "Hair Brush"</t>
  </si>
  <si>
    <t>1pc</t>
  </si>
  <si>
    <t>PE-0021</t>
  </si>
  <si>
    <t>Set de brochas de maquillaje "Brush Squad"</t>
  </si>
  <si>
    <t>Estuche con 12 brochas</t>
  </si>
  <si>
    <t>PE-0022</t>
  </si>
  <si>
    <t>Set de brochas de maquillaje "Mini Brush Set"</t>
  </si>
  <si>
    <t>Estuche con 8 brochas</t>
  </si>
  <si>
    <t>En espera de diecuts finales</t>
  </si>
  <si>
    <t>PE-0023</t>
  </si>
  <si>
    <t>Rastrillo "Fresh Shave"</t>
  </si>
  <si>
    <t>PE-0072</t>
  </si>
  <si>
    <t>Bolsa con rastrillos</t>
  </si>
  <si>
    <t>5 pcs</t>
  </si>
  <si>
    <t>PE-0073</t>
  </si>
  <si>
    <t>Duo de rastrillos</t>
  </si>
  <si>
    <t>En elaboración de DIN</t>
  </si>
  <si>
    <t>PE-0028</t>
  </si>
  <si>
    <t>Esmalte de uñas "Rosa Chic"</t>
  </si>
  <si>
    <t>*</t>
  </si>
  <si>
    <t>PE-0029</t>
  </si>
  <si>
    <t>Esmalte de uñas "Rojo Clásico"</t>
  </si>
  <si>
    <t>PE-0030</t>
  </si>
  <si>
    <t>Esmalte de uñas "Vino Elegante"</t>
  </si>
  <si>
    <t>PE-0031</t>
  </si>
  <si>
    <t>Esmalte de uñas "Negro Intenso"</t>
  </si>
  <si>
    <t>PE-0032</t>
  </si>
  <si>
    <t>Esmalte de uñas "Rosa Brilloso Glam"</t>
  </si>
  <si>
    <t>PE-0033</t>
  </si>
  <si>
    <t>Bálsamo labial "Lip Care Balm"</t>
  </si>
  <si>
    <t>5 gr</t>
  </si>
  <si>
    <t>PE-0034</t>
  </si>
  <si>
    <t>Bálsamo labial "Essential Lip Balm"</t>
  </si>
  <si>
    <t>5gr</t>
  </si>
  <si>
    <t>Lab</t>
  </si>
  <si>
    <t>PE-0037</t>
  </si>
  <si>
    <t>Mascarilla capilar "Hair Restorative Mask"</t>
  </si>
  <si>
    <t>PE-0039</t>
  </si>
  <si>
    <t>Beauty blender "Duo Pro Sponge"</t>
  </si>
  <si>
    <t>2pz</t>
  </si>
  <si>
    <t>fase 2</t>
  </si>
  <si>
    <t>PE-0041</t>
  </si>
  <si>
    <t>Agua micelar "Pure Glow"</t>
  </si>
  <si>
    <t>300 mL</t>
  </si>
  <si>
    <t>PE-0042</t>
  </si>
  <si>
    <t>Desmaquillante "Gentle Clean"</t>
  </si>
  <si>
    <t>150 mL</t>
  </si>
  <si>
    <t>En espera de Formula Cuali-cuantitativa</t>
  </si>
  <si>
    <t>PE-0043</t>
  </si>
  <si>
    <t>Labial líquido "Rouge Mate"</t>
  </si>
  <si>
    <t>PENDIENTE INFORMACION DE PROVEEDOR</t>
  </si>
  <si>
    <t>PE-0044</t>
  </si>
  <si>
    <t>Labial líquido "Nude Elegance"</t>
  </si>
  <si>
    <t>PE-0045</t>
  </si>
  <si>
    <t>Labial líquido "Coral Glow"</t>
  </si>
  <si>
    <t>PE-0046</t>
  </si>
  <si>
    <t>Labial líquido "Berry Kiss"</t>
  </si>
  <si>
    <t>PE-0047</t>
  </si>
  <si>
    <t>Labial líquido "Pink Dream"</t>
  </si>
  <si>
    <t>PE-0048</t>
  </si>
  <si>
    <t>Brillo labial "Crystal Shine"</t>
  </si>
  <si>
    <t>PE-0049</t>
  </si>
  <si>
    <t>Brillo labial "Rosé Glow"</t>
  </si>
  <si>
    <t>PE-0050</t>
  </si>
  <si>
    <t>Brillo labial "Nude Gloss"</t>
  </si>
  <si>
    <t>PE-0051</t>
  </si>
  <si>
    <t>Brillo labial "Candy Spark"</t>
  </si>
  <si>
    <t>PE-0052</t>
  </si>
  <si>
    <t>Aceite labial "Moisture Care"</t>
  </si>
  <si>
    <t>PE-0053</t>
  </si>
  <si>
    <t>Aceite labial "Glossy Oil"</t>
  </si>
  <si>
    <t>PE-0054</t>
  </si>
  <si>
    <t>Aceite labial "Pink Oil"</t>
  </si>
  <si>
    <t>PE-0055</t>
  </si>
  <si>
    <t>Aceite labial "Shine Oil"</t>
  </si>
  <si>
    <t>En espera de DIN</t>
  </si>
  <si>
    <t>PE-0056</t>
  </si>
  <si>
    <t>Delineador para ojos "Precision"</t>
  </si>
  <si>
    <t>3 mL</t>
  </si>
  <si>
    <t>PE-0057</t>
  </si>
  <si>
    <t>Base de maquillaje "Soft Matte"</t>
  </si>
  <si>
    <t>PE-0058</t>
  </si>
  <si>
    <t>Base de maquillaje "Glow Skin"</t>
  </si>
  <si>
    <t>PE-0059</t>
  </si>
  <si>
    <t>Base de maquillaje "Natural Finish"</t>
  </si>
  <si>
    <t>PE-0060</t>
  </si>
  <si>
    <t>Base de maquillaje "Long Wear"</t>
  </si>
  <si>
    <t>PE-0061</t>
  </si>
  <si>
    <t>Bronceador facial "Sun Kiss Claro-Medio"</t>
  </si>
  <si>
    <t>10gr</t>
  </si>
  <si>
    <t>PE-0062</t>
  </si>
  <si>
    <t>Bronceador facial "Sun Kiss Medio-Oscuro"</t>
  </si>
  <si>
    <t>PE-0063</t>
  </si>
  <si>
    <t>Rubor "Terracota Glow"</t>
  </si>
  <si>
    <t>PE-0064</t>
  </si>
  <si>
    <t>Rubor "Rosa Bloom"</t>
  </si>
  <si>
    <t>PE-0065</t>
  </si>
  <si>
    <t>Tinta multiusos "Berry Tint"</t>
  </si>
  <si>
    <t>PE-0066</t>
  </si>
  <si>
    <t>Tinta multiusos "Coral Tint"</t>
  </si>
  <si>
    <t>PE-0067</t>
  </si>
  <si>
    <t>Tinta multiusos "Rosé Tint"</t>
  </si>
  <si>
    <t>PE-0068</t>
  </si>
  <si>
    <t>Sombras para ojos "Café Collection"</t>
  </si>
  <si>
    <t>1pz</t>
  </si>
  <si>
    <t>PE-0069</t>
  </si>
  <si>
    <t>Sombras para ojos "Rosé Collection"</t>
  </si>
  <si>
    <t>GL-077</t>
  </si>
  <si>
    <t>Body Mist Glam "Berry Crush"</t>
  </si>
  <si>
    <t>GL-078</t>
  </si>
  <si>
    <t>Body Mist Glam "Rose &amp; Tangerine"</t>
  </si>
  <si>
    <t>GL-091</t>
  </si>
  <si>
    <t>Mascariila hidratante para labios Glam "Pink"</t>
  </si>
  <si>
    <t>GL-094</t>
  </si>
  <si>
    <t>Espuma facial limpiadora "Fresh Citrus"</t>
  </si>
  <si>
    <t>GL-095</t>
  </si>
  <si>
    <t>Espuma facial limpiadora "Ginger Glow"</t>
  </si>
  <si>
    <t>Reunión de Lab</t>
  </si>
  <si>
    <t>PE-0035</t>
  </si>
  <si>
    <t>Shampoo "Perry Hydrating Touch"</t>
  </si>
  <si>
    <t>PE-0036</t>
  </si>
  <si>
    <t>Acondicionador "Perry Smooth Touch"</t>
  </si>
  <si>
    <t>F21</t>
  </si>
  <si>
    <t>Pago</t>
  </si>
  <si>
    <t>PREPRODUCCION</t>
  </si>
  <si>
    <t>F21-01</t>
  </si>
  <si>
    <t>Bronceador en Barra – Forever 21 - Light</t>
  </si>
  <si>
    <t>7 g</t>
  </si>
  <si>
    <t>Cosméticos de color</t>
  </si>
  <si>
    <t>CHINA</t>
  </si>
  <si>
    <t>En espera de autorización por parte de Licencia</t>
  </si>
  <si>
    <t>F21-02</t>
  </si>
  <si>
    <t>Bronceador en Barra – Forever 21 Bronzer Stick | Warm Medium</t>
  </si>
  <si>
    <t>F21-03</t>
  </si>
  <si>
    <t>Bronceador en Barra – Forever 21 Bronzer Stick | Neutral Bronzer</t>
  </si>
  <si>
    <t>F21-04</t>
  </si>
  <si>
    <t>Bronceador en Barra – Forever 21 Bronzer Stick | Soft Gold</t>
  </si>
  <si>
    <t>F21-06</t>
  </si>
  <si>
    <t>Rubor en Polvo – Forever 21 Powder Blush | Peach</t>
  </si>
  <si>
    <t>F21-07</t>
  </si>
  <si>
    <t>Rubor en Polvo – Forever 21 Powder Blush | Terracotta</t>
  </si>
  <si>
    <t>F21-08</t>
  </si>
  <si>
    <t>Rubor en Polvo – Forever 21 Powder Blush | Pink</t>
  </si>
  <si>
    <t>F21-09</t>
  </si>
  <si>
    <t>Aceite Labial - Forever 21 Shine Oil | Red Kiss Red Kiss</t>
  </si>
  <si>
    <t>PPedidos</t>
  </si>
  <si>
    <t>F21-11</t>
  </si>
  <si>
    <t>Aceite Labial - Forever 21 Shine Oil | Wine Crush</t>
  </si>
  <si>
    <t>F21-13</t>
  </si>
  <si>
    <t>Aceite Labial - Forever 21 Shine Oil | Nude Glow</t>
  </si>
  <si>
    <t>F21-14</t>
  </si>
  <si>
    <t>Labial Líquido Mate – Forever 21 Matte Icon | Classic Red</t>
  </si>
  <si>
    <t>F21-15</t>
  </si>
  <si>
    <t>Labial Líquido Mate – Forever 21 Matte Icon | Deep Wine</t>
  </si>
  <si>
    <t>F21-16</t>
  </si>
  <si>
    <t>Labial Líquido Mate –Forever 21 Matte Icon | Mocha Dream</t>
  </si>
  <si>
    <t>F21-17</t>
  </si>
  <si>
    <t>Labial Líquido Mate – Forever 21 Matte Icon | Tropic Pop</t>
  </si>
  <si>
    <t>F21-76</t>
  </si>
  <si>
    <t>Labial Líquido Mate - Forever 21 Matte Icon | Pretty Mood</t>
  </si>
  <si>
    <t>F21-77</t>
  </si>
  <si>
    <t>Labial Líquido Mate - Forever 21 Matte Icon | Golden Hour</t>
  </si>
  <si>
    <t>F21-78</t>
  </si>
  <si>
    <t>Labial Líquido Mate - Forever 21 Matte Icon | Heartbreaker</t>
  </si>
  <si>
    <t>F21-79</t>
  </si>
  <si>
    <t>Labial Líquido Mate - Forever 21 Matte Icon | Spicy Latte</t>
  </si>
  <si>
    <t>F21-80</t>
  </si>
  <si>
    <t>Labial Líquido Mate - Forever 21 Matte Icon | Molten Cocoa</t>
  </si>
  <si>
    <t>F21-81</t>
  </si>
  <si>
    <t>Labial Líquido Mate - Forever 21 Matte Icon | Bold Ruby</t>
  </si>
  <si>
    <t>F21-82</t>
  </si>
  <si>
    <t>Labial Líquido Mate - Forever 21 Matte Icon | Soft Glow</t>
  </si>
  <si>
    <t>F21-83</t>
  </si>
  <si>
    <t>Labial Líquido Mate - Forever 21 Matte Icon | Tangerine Punch</t>
  </si>
  <si>
    <t>F21-18</t>
  </si>
  <si>
    <t>Iluminador en Barra – Forever 21 Radiance Stick | Universal Glow</t>
  </si>
  <si>
    <t>Falta diecut de exhicaja y caja.</t>
  </si>
  <si>
    <t>F21-19</t>
  </si>
  <si>
    <t>Gloss Labial – Forever 21 Shine Gloss | Nude Glow</t>
  </si>
  <si>
    <t>En espera de cambios en diseño</t>
  </si>
  <si>
    <t>F21-20</t>
  </si>
  <si>
    <t>Gloss Labial – Forever 21 Shine Gloss | Crystal Clear</t>
  </si>
  <si>
    <t>F21-21</t>
  </si>
  <si>
    <t>Esmalte para Uñas Forever 21 Nails | Classic Red</t>
  </si>
  <si>
    <t>12 mL</t>
  </si>
  <si>
    <t>Elaboracion de PPEDIDOS</t>
  </si>
  <si>
    <t>F21-22</t>
  </si>
  <si>
    <t>Esmalte para Uñas Forever 21 Nails | Deep Wine</t>
  </si>
  <si>
    <t>F21-23</t>
  </si>
  <si>
    <t>Esmalte para Uñas Forever 21 Nails | Nude Elegance</t>
  </si>
  <si>
    <t>F21-24</t>
  </si>
  <si>
    <t>Esmalte para Uñas Forever 21 Nails | Diamond Dust</t>
  </si>
  <si>
    <t>F21-25</t>
  </si>
  <si>
    <t>Esmalte para Uñas Forever 21 Nails | Midnight</t>
  </si>
  <si>
    <t>F21-28</t>
  </si>
  <si>
    <t>Bálsamo Labial – Forever 21 Lip Balm | Original</t>
  </si>
  <si>
    <t>8 g</t>
  </si>
  <si>
    <t>Revision por parte de regu</t>
  </si>
  <si>
    <t>Regulatorio</t>
  </si>
  <si>
    <t>F21-29</t>
  </si>
  <si>
    <t>Bálsamo Labial – Forever 21 Lip Balm | Strawberry</t>
  </si>
  <si>
    <t>F21-30</t>
  </si>
  <si>
    <t>Bálsamo Labial – Forever 21 Lip Balm | Vanilla</t>
  </si>
  <si>
    <t>F21-31</t>
  </si>
  <si>
    <t>Paleta de Sombras 12 Tonos – Forever 21 Eyeshadow palette | Nude &amp; Pink</t>
  </si>
  <si>
    <t>12 sombras</t>
  </si>
  <si>
    <t>F21-32</t>
  </si>
  <si>
    <t>Paleta de Sombras 12 Tonos – Forever 21 Eyeshadow palette | Brown Edition</t>
  </si>
  <si>
    <t>F21-33</t>
  </si>
  <si>
    <t>Delineador en Plumón para Ojos – Forever 21 Precision Eye Marker | Black</t>
  </si>
  <si>
    <t>F21-34</t>
  </si>
  <si>
    <t>Máscara para Pestañas – Forever 21 Lash Mascara | Black</t>
  </si>
  <si>
    <t>F21-35</t>
  </si>
  <si>
    <t>Gel para Cejas Transparente – Forever 21 Brow Fix | Clear</t>
  </si>
  <si>
    <t>F21-84</t>
  </si>
  <si>
    <t xml:space="preserve">Gel para Cejas  – Forever 21 Brow Fix | </t>
  </si>
  <si>
    <t>F21-36</t>
  </si>
  <si>
    <t>Polvo Traslúcido Matificante – Forever 21 Velvet Powder | Translucent</t>
  </si>
  <si>
    <t>10 gr</t>
  </si>
  <si>
    <t>F21-37</t>
  </si>
  <si>
    <t>CC Cream - Forever 21 – Even Skin | Light</t>
  </si>
  <si>
    <t>F21-38</t>
  </si>
  <si>
    <t>CC Cream - Forever 21 – Even Skin | Medium</t>
  </si>
  <si>
    <t>F21-39</t>
  </si>
  <si>
    <t>CC Cream - Forever 21 – Even Skin | Beige</t>
  </si>
  <si>
    <t>F21-40</t>
  </si>
  <si>
    <t>CC Cream - Forever 21 – Even Skin | Tan</t>
  </si>
  <si>
    <t>F21-85</t>
  </si>
  <si>
    <t>CC Cream - Forever 21 – Even Skin |  Porcelain</t>
  </si>
  <si>
    <t>F21-86</t>
  </si>
  <si>
    <t xml:space="preserve">CC Cream - Forever 21 – Even Skin |  Warm </t>
  </si>
  <si>
    <t>F21-42</t>
  </si>
  <si>
    <t>Parches para Imperfecciones – Forever 21 Heart Pimple Patches</t>
  </si>
  <si>
    <t>F21-44</t>
  </si>
  <si>
    <t>Toallitas Desmaquillantes – Forever Makeup Remover Wipes</t>
  </si>
  <si>
    <t>20 pz</t>
  </si>
  <si>
    <t>F21-45</t>
  </si>
  <si>
    <t>Papel Absorbente de Grasa – Forever 21 Blotting Papers</t>
  </si>
  <si>
    <t>20pz</t>
  </si>
  <si>
    <t>F21-47</t>
  </si>
  <si>
    <t>Suero Facial con Vitamina C – Forever 21 Glow Serum | Vitamin C</t>
  </si>
  <si>
    <t>30ml</t>
  </si>
  <si>
    <t>Autorizacion por licencia</t>
  </si>
  <si>
    <t>F21-48</t>
  </si>
  <si>
    <t>Suero Facial con Ácido Hialurónico – Forever 21 Hyaluronic Serum | Hyaluronic Acid</t>
  </si>
  <si>
    <t>F21-52</t>
  </si>
  <si>
    <t>Mascarilla Facial con Colágeno – Forever 21 Softening Facial Mask | Collagen</t>
  </si>
  <si>
    <t>F21-53</t>
  </si>
  <si>
    <t>Mascarilla Facial con Rosas – Forever 21 Hydra Facial Mask | Rose</t>
  </si>
  <si>
    <t>F21-54</t>
  </si>
  <si>
    <t>Mascarilla Facial con Vitamina C – Forever 21 Glow Facial Mask | Vitamin C</t>
  </si>
  <si>
    <t>F21-55</t>
  </si>
  <si>
    <t>Mascarilla Facial Matificante – Forever 21 Mattifying Effect Facial Mask</t>
  </si>
  <si>
    <t>F21-56</t>
  </si>
  <si>
    <t>Mascarilla Facial con Ácido Hialurónico – Forever 21 Hydra Facial Mask| Hyaluronic Acid</t>
  </si>
  <si>
    <t>F21-57</t>
  </si>
  <si>
    <t>Mascarilla Facial con Coco – Forever 21 Humectant Facial Mask | Coconut</t>
  </si>
  <si>
    <t>F21-58</t>
  </si>
  <si>
    <t>Mascarilla Facial con Carbón Activado – Forever 21 Cleansing Facial Mask – Activated Charcoal</t>
  </si>
  <si>
    <t>F21-60</t>
  </si>
  <si>
    <t>Mascarilla Facial – Forever 21 Soothing Facial Mask</t>
  </si>
  <si>
    <t>F21-61</t>
  </si>
  <si>
    <t>Set de Esponjas de Maquillaje – Forever 21 Beauty Sponge Set</t>
  </si>
  <si>
    <t>Beauty accessories</t>
  </si>
  <si>
    <t>F21-62</t>
  </si>
  <si>
    <t>Parches para Ojos – Forever 21 Eye Patches</t>
  </si>
  <si>
    <t>F21-64</t>
  </si>
  <si>
    <t>Tiras para Puntos Negros – Forever 21 Nose Strips | Original</t>
  </si>
  <si>
    <t>Exhibicaja falta diecut</t>
  </si>
  <si>
    <t>F21-67</t>
  </si>
  <si>
    <t>Pinzas para Cabello – Forever 21 Buterfly and star Hair Clips</t>
  </si>
  <si>
    <t>F21-68</t>
  </si>
  <si>
    <t>Ligas para Cabello – Forever 21 Hair Elastics</t>
  </si>
  <si>
    <t>F21-69</t>
  </si>
  <si>
    <t>Enchinador para Pestañas – Forever 21 Pro Lash Curler</t>
  </si>
  <si>
    <t>F21-70</t>
  </si>
  <si>
    <t>Scrunchies para Cabello – Forever 21 Hair Scrunchies</t>
  </si>
  <si>
    <t>F21-72</t>
  </si>
  <si>
    <t>Cepillo para Cabello – Forever 21 Detangle &amp; Style Brush</t>
  </si>
  <si>
    <t>F21-74</t>
  </si>
  <si>
    <t>Plancha Multifuncional– Forever 21 Multifunctional Straightener</t>
  </si>
  <si>
    <t>En espera de muestras para revisión de UVA</t>
  </si>
  <si>
    <t>Logística</t>
  </si>
  <si>
    <t>F21-75</t>
  </si>
  <si>
    <t>Secadora para Cabello – Forever 21 Style Pro Dryer</t>
  </si>
  <si>
    <t>Dermo</t>
  </si>
  <si>
    <t>Tipo de Desarrollo</t>
  </si>
  <si>
    <t>Productos</t>
  </si>
  <si>
    <t>Render Inicial IA</t>
  </si>
  <si>
    <t>Nombre comercial (Para empaque)</t>
  </si>
  <si>
    <t>Fast Track</t>
  </si>
  <si>
    <t>DL-001</t>
  </si>
  <si>
    <t>Calming Serum</t>
  </si>
  <si>
    <t>20 mL</t>
  </si>
  <si>
    <t>SkinAir</t>
  </si>
  <si>
    <t>En espera de revisión final de Line Up con AM</t>
  </si>
  <si>
    <t>DL-002</t>
  </si>
  <si>
    <t>Calming Foam</t>
  </si>
  <si>
    <t>80 g</t>
  </si>
  <si>
    <t>DL-003</t>
  </si>
  <si>
    <t>Calming Toner</t>
  </si>
  <si>
    <t>DL-004</t>
  </si>
  <si>
    <t>Calming Face Cream</t>
  </si>
  <si>
    <t>DL-005</t>
  </si>
  <si>
    <t>Calming Moisturing Gloss Lotion</t>
  </si>
  <si>
    <t>DL-006</t>
  </si>
  <si>
    <t>Centella Skincare Set
 TONER + LOTION + FACE CREAM</t>
  </si>
  <si>
    <t>3 piezas</t>
  </si>
  <si>
    <t>DL-007</t>
  </si>
  <si>
    <t>Toner Salicylic - Tea Tree</t>
  </si>
  <si>
    <t>DL-008</t>
  </si>
  <si>
    <t>Serum Salicylic - Tea Tree</t>
  </si>
  <si>
    <t>DL-009</t>
  </si>
  <si>
    <t>Foam Salicylic - Tea Tree</t>
  </si>
  <si>
    <t>DL-010</t>
  </si>
  <si>
    <t>Face Cream Salicylic - Tea Tree</t>
  </si>
  <si>
    <t>DL-011</t>
  </si>
  <si>
    <t>Salicylic - Tea Tree Skincare Set</t>
  </si>
  <si>
    <t>4 piezas</t>
  </si>
  <si>
    <t>DL-012</t>
  </si>
  <si>
    <t>5% Lactic Acid Solution</t>
  </si>
  <si>
    <t>DL-013</t>
  </si>
  <si>
    <t>2% Salicylic Acid Solution</t>
  </si>
  <si>
    <t>DL-014</t>
  </si>
  <si>
    <t>Serum Peptidos</t>
  </si>
  <si>
    <t>DL-015</t>
  </si>
  <si>
    <t>Serum Vitamina E</t>
  </si>
  <si>
    <t>DL-016</t>
  </si>
  <si>
    <t>Serum Vitamina C</t>
  </si>
  <si>
    <t>DL-017</t>
  </si>
  <si>
    <t>Serum Q10</t>
  </si>
  <si>
    <t>DL-018</t>
  </si>
  <si>
    <t>Serum Niacinamida</t>
  </si>
  <si>
    <t>DL-019</t>
  </si>
  <si>
    <t>Serum Glicolico</t>
  </si>
  <si>
    <t>DL-020</t>
  </si>
  <si>
    <t>Serum Ceramidas</t>
  </si>
  <si>
    <t>DL-021</t>
  </si>
  <si>
    <t>Body Butter (Vitamina E)</t>
  </si>
  <si>
    <t>DL-022</t>
  </si>
  <si>
    <t>Betaine Lip Scrub</t>
  </si>
  <si>
    <t>DL-023</t>
  </si>
  <si>
    <t>Collagen Facial Cream</t>
  </si>
  <si>
    <t>Dermavia</t>
  </si>
  <si>
    <t>DL-024</t>
  </si>
  <si>
    <t>Collagen Facial Lotion</t>
  </si>
  <si>
    <t>DL-025</t>
  </si>
  <si>
    <t>Collagen Facial Serum</t>
  </si>
  <si>
    <t>DL-026</t>
  </si>
  <si>
    <t>Collagen Facial Toner</t>
  </si>
  <si>
    <t>DL-027</t>
  </si>
  <si>
    <t>Collagen Facial Cleanser</t>
  </si>
  <si>
    <t>100 g</t>
  </si>
  <si>
    <t>DL-028</t>
  </si>
  <si>
    <t>Collagen Skincare Set</t>
  </si>
  <si>
    <t>5 piezas</t>
  </si>
  <si>
    <t>DL-029</t>
  </si>
  <si>
    <t>Retinol Face Cleanser</t>
  </si>
  <si>
    <t>DL-030</t>
  </si>
  <si>
    <t>Retinol Essence Toner</t>
  </si>
  <si>
    <t>DL-031</t>
  </si>
  <si>
    <t>Retinol Neck Cream</t>
  </si>
  <si>
    <t>DL-032</t>
  </si>
  <si>
    <t>Retinol Lotion</t>
  </si>
  <si>
    <t>DL-033</t>
  </si>
  <si>
    <t>Retinol Serum</t>
  </si>
  <si>
    <t>DL-034</t>
  </si>
  <si>
    <t>Retinoll face cream</t>
  </si>
  <si>
    <t>DL-035</t>
  </si>
  <si>
    <t>Retinol Eye Mask Patch</t>
  </si>
  <si>
    <t>84 g / 60 pcs</t>
  </si>
  <si>
    <t>DL-036</t>
  </si>
  <si>
    <t>Retinol Eye Cream</t>
  </si>
  <si>
    <t>30 g</t>
  </si>
  <si>
    <t>DL-037</t>
  </si>
  <si>
    <t>Retinol Body Lotion</t>
  </si>
  <si>
    <t>DL-038</t>
  </si>
  <si>
    <t>Retinol Skincare Set</t>
  </si>
  <si>
    <t>DL-039</t>
  </si>
  <si>
    <t>Facial Peel Pads Anti-Aging (35% Glycolic Acid)</t>
  </si>
  <si>
    <t>50 piezas</t>
  </si>
  <si>
    <t>DL-040</t>
  </si>
  <si>
    <t>Moisturizing Cream con ceramidas (tipo CeraVe dupe)</t>
  </si>
  <si>
    <t>250 g</t>
  </si>
  <si>
    <t>Disney Princesas</t>
  </si>
  <si>
    <t>Tipo de desarrollo</t>
  </si>
  <si>
    <t>Ean</t>
  </si>
  <si>
    <t>Codigo Interno</t>
  </si>
  <si>
    <t>Producto</t>
  </si>
  <si>
    <t>Nombre comercial</t>
  </si>
  <si>
    <t>DN.0313</t>
  </si>
  <si>
    <t>Perfume para mujer 100 mL</t>
  </si>
  <si>
    <t>Perfume "Bella"</t>
  </si>
  <si>
    <t>En espera de revision con AM para viabilidad de proycto</t>
  </si>
  <si>
    <t>DN.0314</t>
  </si>
  <si>
    <t>Gloss Hidratante</t>
  </si>
  <si>
    <t>Brillo Labial Hidratante - Lip Gloss "Magic"</t>
  </si>
  <si>
    <t>Formula cuali - cuantitativa</t>
  </si>
  <si>
    <t>DN.0315</t>
  </si>
  <si>
    <t>Brillo Labial Hidratante - Lip Gloss "Dream"</t>
  </si>
  <si>
    <t>DN.0316</t>
  </si>
  <si>
    <t>Brillo Labial Hidratante - Lip Gloss "Enchanted"</t>
  </si>
  <si>
    <t>DN.0318</t>
  </si>
  <si>
    <t>Tintas Acabado Mate Difuminado.</t>
  </si>
  <si>
    <t>Tintas Acabado Mate Difuminado - Lip Tint "Wish"</t>
  </si>
  <si>
    <t>En porceso de DIN por parte de Regu</t>
  </si>
  <si>
    <t>DN.0319</t>
  </si>
  <si>
    <t>Tintas Acabado Mate Difuminado - Lip Tint "Destiny"</t>
  </si>
  <si>
    <t>DN.0320</t>
  </si>
  <si>
    <t>Tintas Acabado Mate Difuminado - Lip Tint "Miracle"</t>
  </si>
  <si>
    <t>DN.0321</t>
  </si>
  <si>
    <t>Tintas Acabado Mate Difuminado - Lip Tint "Promise"</t>
  </si>
  <si>
    <t>DN.0322</t>
  </si>
  <si>
    <t xml:space="preserve">Sombras de Ojos </t>
  </si>
  <si>
    <t>Paleta de sombras para ojos de 12 tonos "Dreams and Love"</t>
  </si>
  <si>
    <t>DN.0323</t>
  </si>
  <si>
    <t>Sombras de Ojos</t>
  </si>
  <si>
    <t>Paleta de sombras para ojos de 12 tonos "Once Upon a Time"</t>
  </si>
  <si>
    <t>DN.0324</t>
  </si>
  <si>
    <t>Barra 3 en 1 Rubor, Labial y Sombra</t>
  </si>
  <si>
    <t>Barra 3 en 1 Rubor, Labial y Sombra FPS +50 "Coral Enchant"</t>
  </si>
  <si>
    <t>DN.0325</t>
  </si>
  <si>
    <t>Barra 3 en 1 Rubor, Labial y Sombra "Berry Enchant"</t>
  </si>
  <si>
    <t>DN.0326</t>
  </si>
  <si>
    <t>Barra 3 en 1 Rubor, Labial y Sombra "Malva Enchant"</t>
  </si>
  <si>
    <t>DN.0327</t>
  </si>
  <si>
    <t>Jelly Press Setting Powder Makeup</t>
  </si>
  <si>
    <t>Fijador compacto en Gel Lavanda - Jelly Press Setting Powder Makeup "Spellbound"</t>
  </si>
  <si>
    <t>DN.0328</t>
  </si>
  <si>
    <t>Stick Highlighter</t>
  </si>
  <si>
    <t>Iluminador en Barra - Stick Highlighter "Snowlight"</t>
  </si>
  <si>
    <t>DN.0329</t>
  </si>
  <si>
    <t>Iluminador en Barra - Stick Highlighter "Bright Forest"</t>
  </si>
  <si>
    <t>DN.0330</t>
  </si>
  <si>
    <t>Iluminador en Barra - Stick Highlighter "Golden Wish"</t>
  </si>
  <si>
    <t>DN.0331</t>
  </si>
  <si>
    <t>Eyelash Curler</t>
  </si>
  <si>
    <t>Iluminador en Barra - Stick Highlighter "Bella"</t>
  </si>
  <si>
    <t>Diecut</t>
  </si>
  <si>
    <t>DN.0332</t>
  </si>
  <si>
    <t>Jelly gloss</t>
  </si>
  <si>
    <t>Brillo labial en gel - Jelly Glos s "Royale"</t>
  </si>
  <si>
    <t>DN.0333</t>
  </si>
  <si>
    <t>Brillo labial en gel - Jelly Gloss "Divine"</t>
  </si>
  <si>
    <t>DN.0334</t>
  </si>
  <si>
    <t>Brillo labial en gel - Jelly Gloss "Majesty"</t>
  </si>
  <si>
    <t>DN.0335</t>
  </si>
  <si>
    <t>Keychain lipgloss</t>
  </si>
  <si>
    <t>Gloss Labial - Lip Gloss Key Chain "Beloved"</t>
  </si>
  <si>
    <t>DN.0336</t>
  </si>
  <si>
    <t>Gloss Labial - Lip Gloss Key Chain "Desire"</t>
  </si>
  <si>
    <t>DN.0337</t>
  </si>
  <si>
    <t>Gloss Labial - Lip Gloss Key Chain "Adore"</t>
  </si>
  <si>
    <t>DN.0338</t>
  </si>
  <si>
    <t>Lipgloss</t>
  </si>
  <si>
    <t>Gloss Labial - Lip Gloss "Wonder"</t>
  </si>
  <si>
    <t>DN.0339</t>
  </si>
  <si>
    <t>Gloss Labial - Lip Gloss "Fantasy"</t>
  </si>
  <si>
    <t>DN.0340</t>
  </si>
  <si>
    <t>Gloss Labial - Lip Gloss "Forever"</t>
  </si>
  <si>
    <t>DN.0341</t>
  </si>
  <si>
    <t>lipbalm</t>
  </si>
  <si>
    <t>Bálsamo Labial - Lip Balm "Aurora"</t>
  </si>
  <si>
    <t>DN.0342</t>
  </si>
  <si>
    <t>lipbalm
 SET???</t>
  </si>
  <si>
    <t>Bálsamo Labial - Lip Balm "Bella"</t>
  </si>
  <si>
    <t>DN.0343</t>
  </si>
  <si>
    <t>Bálsamo Labial - Lip Balm "Cenicienta"</t>
  </si>
  <si>
    <t>DN.0344</t>
  </si>
  <si>
    <t>Metallic Eyeshadow Stick</t>
  </si>
  <si>
    <t>Sombra en Barra Metálica - Metallic Eyeshadow Stick "Magic"</t>
  </si>
  <si>
    <t>DN.0345</t>
  </si>
  <si>
    <t>Sombra en Barra Metálica - Metallic Eyeshadow Stick "Charm"</t>
  </si>
  <si>
    <t>DN.0348</t>
  </si>
  <si>
    <t>Lipgloss set</t>
  </si>
  <si>
    <t>Set de Labiales Gloss- Lipgloss set "Princess"</t>
  </si>
  <si>
    <t>DN.0349</t>
  </si>
  <si>
    <t>Lip plumper set</t>
  </si>
  <si>
    <t>Set de Gloss Labial Plumper "Crown &amp; Spell"</t>
  </si>
  <si>
    <t>DN.0350</t>
  </si>
  <si>
    <t>Lovely lipbalm set</t>
  </si>
  <si>
    <t>Set de Bálsamo Labial - Lipbalm set "Castle &amp; Magic"</t>
  </si>
  <si>
    <t>DN.0351</t>
  </si>
  <si>
    <t>lip gloss+lip mask set</t>
  </si>
  <si>
    <t>Set de Labial gloss + Máscara labial "Forest &amp; Whisper"</t>
  </si>
  <si>
    <t>DN.0352</t>
  </si>
  <si>
    <t>lip liner+lipgloss set</t>
  </si>
  <si>
    <t>Set de Delineador para labios + Labial gloss "Destiny &amp; Slumber"</t>
  </si>
  <si>
    <t>DN.0353</t>
  </si>
  <si>
    <t>Set de Delineador para labios + Labial gloss "Enchantment &amp; Slumber"</t>
  </si>
  <si>
    <t>DN.0354</t>
  </si>
  <si>
    <t>Set de Delineador para labios + Labial gloss "Grace &amp; Beauty"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</si>
</sst>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,##0.00;[Red]#,##0.00"/>
    <numFmt numFmtId="165" formatCode="d/m/yyyy"/>
    <numFmt numFmtId="166" formatCode="_-[$$-80A]* #,##0.00_-;\-[$$-80A]* #,##0.00_-;_-[$$-80A]* \-??_-;_-@"/>
    <numFmt numFmtId="167" formatCode="_(\$* #,##0.00_);_(\$* \(#,##0.00\);_(\$* \-??_);_(@_)"/>
    <numFmt numFmtId="168" formatCode="0.0%"/>
    <numFmt numFmtId="169" formatCode="_-\$* #,##0.00_-;&quot;-$&quot;* #,##0.00_-;_-\$* \-??_-;_-@"/>
    <numFmt numFmtId="170" formatCode="dmmmyy"/>
    <numFmt numFmtId="171" formatCode="_-\$* #,##0.000_-;&quot;-$&quot;* #,##0.000_-;_-\$* \-??_-;_-@"/>
    <numFmt numFmtId="172" formatCode="_-[$$-80A]* #,##0.000_-;\-[$$-80A]* #,##0.000_-;_-[$$-80A]* \-??_-;_-@"/>
    <numFmt numFmtId="173" formatCode="_-\$* #,##0_-;&quot;-$&quot;* #,##0_-;_-\$* \-??_-;_-@"/>
    <numFmt numFmtId="174" formatCode="_-* #,##0_-;\-* #,##0_-;_-* \-??_-;_-@"/>
    <numFmt numFmtId="175" formatCode="_(\$* #,##0_);_(\$* \(#,##0\);_(\$* \-??_);_(@_)"/>
    <numFmt numFmtId="176" formatCode="mmmm\ yyyy"/>
    <numFmt numFmtId="177" formatCode="#,##0_ ;\-#,##0\ "/>
  </numFmts>
  <fonts count="72">
    <font>
      <sz val="10"/>
      <name val="Arial"/>
      <family val="2"/>
    </font>
    <font>
      <b/>
      <sz val="22"/>
      <color theme="0"/>
      <name val="Play"/>
      <charset val="1"/>
    </font>
    <font>
      <sz val="22"/>
      <color theme="1"/>
      <name val="Play"/>
      <charset val="1"/>
    </font>
    <font>
      <sz val="11"/>
      <color theme="1"/>
      <name val="Aptos Narrow"/>
      <family val="2"/>
    </font>
    <font>
      <b/>
      <sz val="22"/>
      <color theme="1"/>
      <name val="Play"/>
      <charset val="1"/>
    </font>
    <font>
      <sz val="22"/>
      <color theme="1"/>
      <name val="Aptos Narrow"/>
      <family val="2"/>
    </font>
    <font>
      <sz val="11"/>
      <color theme="1"/>
      <name val="Play"/>
      <charset val="1"/>
    </font>
    <font>
      <b/>
      <sz val="11"/>
      <color theme="1"/>
      <name val="Play"/>
      <charset val="1"/>
    </font>
    <font>
      <b/>
      <sz val="11"/>
      <color theme="0"/>
      <name val="Play"/>
      <charset val="1"/>
    </font>
    <font>
      <b/>
      <sz val="26"/>
      <color theme="0"/>
      <name val="Play"/>
      <charset val="1"/>
    </font>
    <font>
      <b/>
      <sz val="26"/>
      <color rgb="FFE8E8E8"/>
      <name val="Arial"/>
      <family val="2"/>
    </font>
    <font>
      <b/>
      <sz val="28"/>
      <color theme="0"/>
      <name val="Play"/>
      <charset val="1"/>
    </font>
    <font>
      <sz val="11"/>
      <name val="Cambria"/>
      <family val="1"/>
    </font>
    <font>
      <b/>
      <sz val="14"/>
      <color theme="1"/>
      <name val="Aptos Narrow"/>
      <family val="2"/>
    </font>
    <font>
      <sz val="26"/>
      <color rgb="FF000000"/>
      <name val="Calibri"/>
      <family val="2"/>
    </font>
    <font>
      <sz val="26"/>
      <color rgb="FF000000"/>
      <name val="Aptos Narrow"/>
      <family val="2"/>
    </font>
    <font>
      <b/>
      <sz val="26"/>
      <color rgb="FF000000"/>
      <name val="Arial"/>
      <family val="2"/>
    </font>
    <font>
      <u/>
      <sz val="26"/>
      <color rgb="FF0000FF"/>
      <name val="Calibri"/>
      <family val="2"/>
    </font>
    <font>
      <sz val="26"/>
      <color theme="1"/>
      <name val="Play"/>
      <charset val="1"/>
    </font>
    <font>
      <b/>
      <sz val="26"/>
      <color theme="1"/>
      <name val="Aptos Narrow"/>
      <family val="2"/>
    </font>
    <font>
      <sz val="26"/>
      <color rgb="FF000000"/>
      <name val="Arial"/>
      <family val="2"/>
    </font>
    <font>
      <sz val="24"/>
      <color theme="1"/>
      <name val="Play"/>
      <charset val="1"/>
    </font>
    <font>
      <b/>
      <sz val="26"/>
      <color rgb="FF000000"/>
      <name val="Aptos Narrow"/>
      <family val="2"/>
    </font>
    <font>
      <u/>
      <sz val="26"/>
      <color rgb="FF000000"/>
      <name val="Calibri"/>
      <family val="2"/>
    </font>
    <font>
      <sz val="26"/>
      <color rgb="FF000000"/>
      <name val="Century Gothic"/>
      <family val="2"/>
    </font>
    <font>
      <u/>
      <sz val="26"/>
      <color rgb="FF0563C1"/>
      <name val="Calibri"/>
      <family val="2"/>
    </font>
    <font>
      <b/>
      <sz val="26"/>
      <color rgb="FF000000"/>
      <name val="Calibri"/>
      <family val="2"/>
    </font>
    <font>
      <sz val="11"/>
      <color theme="1"/>
      <name val="Arial"/>
      <family val="2"/>
    </font>
    <font>
      <b/>
      <sz val="24"/>
      <color rgb="FF000000"/>
      <name val="Play"/>
      <charset val="1"/>
    </font>
    <font>
      <sz val="26"/>
      <color theme="1"/>
      <name val="Aptos Narrow"/>
      <family val="2"/>
    </font>
    <font>
      <b/>
      <sz val="26"/>
      <color theme="1"/>
      <name val="Play"/>
      <charset val="1"/>
    </font>
    <font>
      <u/>
      <sz val="26"/>
      <color theme="10"/>
      <name val="Play"/>
      <charset val="1"/>
    </font>
    <font>
      <u/>
      <sz val="26"/>
      <color rgb="FF0000FF"/>
      <name val="Play"/>
      <charset val="1"/>
    </font>
    <font>
      <i/>
      <sz val="26"/>
      <color theme="1"/>
      <name val="Play"/>
      <charset val="1"/>
    </font>
    <font>
      <sz val="26"/>
      <color theme="1"/>
      <name val="Arial"/>
      <family val="2"/>
    </font>
    <font>
      <b/>
      <sz val="26"/>
      <color theme="0"/>
      <name val="Arial"/>
      <family val="2"/>
    </font>
    <font>
      <b/>
      <i/>
      <sz val="26"/>
      <color theme="1"/>
      <name val="Play"/>
      <charset val="1"/>
    </font>
    <font>
      <b/>
      <sz val="26"/>
      <color rgb="FF0000D4"/>
      <name val="Play"/>
      <charset val="1"/>
    </font>
    <font>
      <b/>
      <sz val="11"/>
      <color theme="1"/>
      <name val="Aptos Narrow"/>
      <family val="2"/>
    </font>
    <font>
      <sz val="11"/>
      <color theme="0"/>
      <name val="Aptos Narrow"/>
      <family val="2"/>
    </font>
    <font>
      <sz val="26"/>
      <color rgb="FF000000"/>
      <name val="Play"/>
      <charset val="1"/>
    </font>
    <font>
      <sz val="26"/>
      <color theme="0"/>
      <name val="Arial"/>
      <family val="2"/>
    </font>
    <font>
      <sz val="26"/>
      <color rgb="FF0000D4"/>
      <name val="Play"/>
      <charset val="1"/>
    </font>
    <font>
      <sz val="26"/>
      <color theme="0"/>
      <name val="Play"/>
      <charset val="1"/>
    </font>
    <font>
      <sz val="22"/>
      <color theme="0"/>
      <name val="Play"/>
      <charset val="1"/>
    </font>
    <font>
      <sz val="10"/>
      <color theme="0"/>
      <name val="Arial"/>
      <family val="2"/>
    </font>
    <font>
      <sz val="18"/>
      <color theme="1"/>
      <name val="Play"/>
      <charset val="1"/>
    </font>
    <font>
      <b/>
      <sz val="18"/>
      <color theme="1"/>
      <name val="Play"/>
      <charset val="1"/>
    </font>
    <font>
      <b/>
      <sz val="18"/>
      <color theme="0"/>
      <name val="Play"/>
      <charset val="1"/>
    </font>
    <font>
      <b/>
      <sz val="18"/>
      <color theme="0"/>
      <name val="Arial"/>
      <family val="2"/>
    </font>
    <font>
      <sz val="18"/>
      <name val="Arial"/>
      <family val="2"/>
    </font>
    <font>
      <b/>
      <sz val="18"/>
      <color theme="1"/>
      <name val="Aptos Narrow"/>
      <family val="2"/>
    </font>
    <font>
      <sz val="18"/>
      <color theme="1"/>
      <name val="Aptos Narrow"/>
      <family val="2"/>
    </font>
    <font>
      <sz val="18"/>
      <color rgb="FF000000"/>
      <name val="Calibri"/>
      <family val="2"/>
    </font>
    <font>
      <sz val="16"/>
      <color theme="1"/>
      <name val="Play"/>
      <charset val="1"/>
    </font>
    <font>
      <b/>
      <sz val="16"/>
      <color theme="0"/>
      <name val="Play"/>
      <charset val="1"/>
    </font>
    <font>
      <sz val="16"/>
      <name val="Arial"/>
      <family val="2"/>
    </font>
    <font>
      <sz val="16"/>
      <color theme="1"/>
      <name val="Aptos Narrow"/>
      <family val="2"/>
    </font>
    <font>
      <sz val="22"/>
      <name val="Arial"/>
      <family val="2"/>
    </font>
    <font>
      <b/>
      <sz val="22"/>
      <color theme="1"/>
      <name val="Aptos Narrow"/>
      <family val="2"/>
    </font>
    <font>
      <b/>
      <sz val="22"/>
      <color theme="0"/>
      <name val="Arial"/>
      <family val="2"/>
    </font>
    <font>
      <sz val="22"/>
      <color rgb="FFFFFFFF"/>
      <name val="Arial"/>
      <family val="2"/>
    </font>
    <font>
      <b/>
      <sz val="10"/>
      <name val="Arial"/>
      <family val="2"/>
    </font>
    <font>
      <b/>
      <sz val="22"/>
      <name val="Arial"/>
      <family val="2"/>
    </font>
    <font>
      <u/>
      <sz val="9"/>
      <color theme="1"/>
      <name val="Aptos Display"/>
      <family val="2"/>
    </font>
    <font>
      <b/>
      <sz val="9"/>
      <color theme="0"/>
      <name val="Play"/>
      <charset val="1"/>
    </font>
    <font>
      <sz val="9"/>
      <name val="Arial"/>
      <family val="2"/>
    </font>
    <font>
      <sz val="9"/>
      <color theme="1"/>
      <name val="Play"/>
      <charset val="1"/>
    </font>
    <font>
      <sz val="9"/>
      <color theme="1"/>
      <name val="Aptos Narrow"/>
      <family val="2"/>
    </font>
    <font>
      <b/>
      <sz val="9"/>
      <color theme="1"/>
      <name val="Play"/>
      <charset val="1"/>
    </font>
    <font>
      <sz val="9"/>
      <color rgb="FF000000"/>
      <name val="Aptos Display"/>
      <family val="2"/>
    </font>
    <font>
      <sz val="26"/>
      <color rgb="FF000000"/>
      <name val="Calibri"/>
    </font>
  </fonts>
  <fills count="35">
    <fill>
      <patternFill patternType="none"/>
    </fill>
    <fill>
      <patternFill patternType="gray125"/>
    </fill>
    <fill>
      <patternFill patternType="solid">
        <fgColor theme="1"/>
        <bgColor rgb="FF0C3512"/>
      </patternFill>
    </fill>
    <fill>
      <patternFill patternType="solid">
        <fgColor rgb="FFC1F0C8"/>
        <bgColor rgb="FFD9F2D0"/>
      </patternFill>
    </fill>
    <fill>
      <patternFill patternType="solid">
        <fgColor theme="0"/>
        <bgColor rgb="FFFFFFCC"/>
      </patternFill>
    </fill>
    <fill>
      <patternFill patternType="solid">
        <fgColor rgb="FFD9F2D0"/>
        <bgColor rgb="FFC1F0C8"/>
      </patternFill>
    </fill>
    <fill>
      <patternFill patternType="solid">
        <fgColor rgb="FFDBE9F7"/>
        <bgColor rgb="FFE8E8E8"/>
      </patternFill>
    </fill>
    <fill>
      <patternFill patternType="solid">
        <fgColor rgb="FFB3E5A1"/>
        <bgColor rgb="FFC1F0C8"/>
      </patternFill>
    </fill>
    <fill>
      <patternFill patternType="solid">
        <fgColor rgb="FFF6C6AC"/>
        <bgColor rgb="FFFFC7CE"/>
      </patternFill>
    </fill>
    <fill>
      <patternFill patternType="solid">
        <fgColor rgb="FFFAE2D5"/>
        <bgColor rgb="FFE8E8E8"/>
      </patternFill>
    </fill>
    <fill>
      <patternFill patternType="solid">
        <fgColor rgb="FF84E291"/>
        <bgColor rgb="FFB3E5A1"/>
      </patternFill>
    </fill>
    <fill>
      <patternFill patternType="solid">
        <fgColor rgb="FFFFFF00"/>
        <bgColor rgb="FFFFCC00"/>
      </patternFill>
    </fill>
    <fill>
      <patternFill patternType="solid">
        <fgColor rgb="FFFF0000"/>
        <bgColor rgb="FF9C0006"/>
      </patternFill>
    </fill>
    <fill>
      <patternFill patternType="solid">
        <fgColor rgb="FF993366"/>
        <bgColor rgb="FF993366"/>
      </patternFill>
    </fill>
    <fill>
      <patternFill patternType="solid">
        <fgColor rgb="FFFFFFCC"/>
        <bgColor rgb="FFFFFFFF"/>
      </patternFill>
    </fill>
    <fill>
      <patternFill patternType="solid">
        <fgColor rgb="FF0C3512"/>
        <bgColor rgb="FF333300"/>
      </patternFill>
    </fill>
    <fill>
      <patternFill patternType="solid">
        <fgColor rgb="FFC1E4F5"/>
        <bgColor rgb="FFCAEDFB"/>
      </patternFill>
    </fill>
    <fill>
      <patternFill patternType="solid">
        <fgColor rgb="FF60CBF3"/>
        <bgColor rgb="FF95DCF7"/>
      </patternFill>
    </fill>
    <fill>
      <patternFill patternType="solid">
        <fgColor rgb="FFE49EDD"/>
        <bgColor rgb="FFFFC7CE"/>
      </patternFill>
    </fill>
    <fill>
      <patternFill patternType="solid">
        <fgColor rgb="FF95DCF7"/>
        <bgColor rgb="FFC1E4F5"/>
      </patternFill>
    </fill>
    <fill>
      <patternFill patternType="solid">
        <fgColor rgb="FFCAEDFB"/>
        <bgColor rgb="FFC1E4F5"/>
      </patternFill>
    </fill>
    <fill>
      <patternFill patternType="solid">
        <fgColor rgb="FFD76DCC"/>
        <bgColor rgb="FFE49EDD"/>
      </patternFill>
    </fill>
    <fill>
      <patternFill patternType="solid">
        <fgColor theme="0"/>
        <bgColor rgb="FF0C351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993366"/>
      </patternFill>
    </fill>
    <fill>
      <patternFill patternType="solid">
        <fgColor theme="0"/>
        <bgColor rgb="FF9C0006"/>
      </patternFill>
    </fill>
    <fill>
      <patternFill patternType="solid">
        <fgColor theme="0"/>
        <bgColor rgb="FF95DCF7"/>
      </patternFill>
    </fill>
    <fill>
      <patternFill patternType="solid">
        <fgColor theme="0"/>
        <bgColor rgb="FFC1F0C8"/>
      </patternFill>
    </fill>
    <fill>
      <patternFill patternType="solid">
        <fgColor theme="0"/>
        <bgColor rgb="FFFFC7CE"/>
      </patternFill>
    </fill>
    <fill>
      <patternFill patternType="solid">
        <fgColor theme="1"/>
        <bgColor rgb="FF95DCF7"/>
      </patternFill>
    </fill>
    <fill>
      <patternFill patternType="solid">
        <fgColor theme="4" tint="0.79998168889431442"/>
        <bgColor rgb="FFFFFFCC"/>
      </patternFill>
    </fill>
    <fill>
      <patternFill patternType="solid">
        <fgColor theme="1" tint="0.14999847407452621"/>
        <bgColor rgb="FF0C3512"/>
      </patternFill>
    </fill>
    <fill>
      <patternFill patternType="solid">
        <fgColor theme="1" tint="0.34998626667073579"/>
        <bgColor rgb="FF0C3512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9" fontId="2" fillId="4" borderId="1" xfId="0" applyNumberFormat="1" applyFont="1" applyFill="1" applyBorder="1" applyAlignment="1">
      <alignment horizontal="center" vertical="center" wrapText="1"/>
    </xf>
    <xf numFmtId="1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/>
    <xf numFmtId="0" fontId="6" fillId="0" borderId="0" xfId="0" applyFont="1"/>
    <xf numFmtId="0" fontId="7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1" fontId="9" fillId="2" borderId="1" xfId="0" applyNumberFormat="1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15" fontId="9" fillId="2" borderId="1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/>
    </xf>
    <xf numFmtId="15" fontId="3" fillId="0" borderId="1" xfId="0" applyNumberFormat="1" applyFont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5" fontId="14" fillId="4" borderId="1" xfId="0" applyNumberFormat="1" applyFont="1" applyFill="1" applyBorder="1" applyAlignment="1">
      <alignment horizontal="center" vertical="center"/>
    </xf>
    <xf numFmtId="1" fontId="15" fillId="4" borderId="1" xfId="0" applyNumberFormat="1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3" fontId="14" fillId="4" borderId="1" xfId="0" applyNumberFormat="1" applyFont="1" applyFill="1" applyBorder="1" applyAlignment="1">
      <alignment horizontal="center" vertical="center"/>
    </xf>
    <xf numFmtId="167" fontId="18" fillId="4" borderId="1" xfId="0" applyNumberFormat="1" applyFont="1" applyFill="1" applyBorder="1" applyAlignment="1">
      <alignment horizontal="center" vertical="center"/>
    </xf>
    <xf numFmtId="169" fontId="15" fillId="4" borderId="1" xfId="0" applyNumberFormat="1" applyFont="1" applyFill="1" applyBorder="1" applyAlignment="1">
      <alignment horizontal="center" vertical="center" wrapText="1"/>
    </xf>
    <xf numFmtId="169" fontId="19" fillId="6" borderId="1" xfId="0" applyNumberFormat="1" applyFont="1" applyFill="1" applyBorder="1" applyAlignment="1">
      <alignment horizontal="center" vertical="center"/>
    </xf>
    <xf numFmtId="10" fontId="18" fillId="4" borderId="1" xfId="0" applyNumberFormat="1" applyFont="1" applyFill="1" applyBorder="1" applyAlignment="1">
      <alignment horizontal="center" vertical="center"/>
    </xf>
    <xf numFmtId="9" fontId="18" fillId="4" borderId="1" xfId="0" applyNumberFormat="1" applyFont="1" applyFill="1" applyBorder="1" applyAlignment="1">
      <alignment horizontal="center" vertical="center"/>
    </xf>
    <xf numFmtId="3" fontId="18" fillId="4" borderId="1" xfId="0" applyNumberFormat="1" applyFont="1" applyFill="1" applyBorder="1" applyAlignment="1">
      <alignment horizontal="center" vertical="center" wrapText="1"/>
    </xf>
    <xf numFmtId="169" fontId="20" fillId="4" borderId="1" xfId="0" applyNumberFormat="1" applyFont="1" applyFill="1" applyBorder="1" applyAlignment="1">
      <alignment horizontal="center" vertical="center"/>
    </xf>
    <xf numFmtId="169" fontId="14" fillId="4" borderId="1" xfId="0" applyNumberFormat="1" applyFont="1" applyFill="1" applyBorder="1" applyAlignment="1">
      <alignment horizontal="center" vertical="center"/>
    </xf>
    <xf numFmtId="9" fontId="14" fillId="4" borderId="1" xfId="0" applyNumberFormat="1" applyFont="1" applyFill="1" applyBorder="1" applyAlignment="1">
      <alignment horizontal="center" vertical="center"/>
    </xf>
    <xf numFmtId="9" fontId="21" fillId="4" borderId="1" xfId="0" applyNumberFormat="1" applyFont="1" applyFill="1" applyBorder="1" applyAlignment="1">
      <alignment horizontal="center" vertical="center"/>
    </xf>
    <xf numFmtId="169" fontId="22" fillId="6" borderId="1" xfId="0" applyNumberFormat="1" applyFont="1" applyFill="1" applyBorder="1" applyAlignment="1">
      <alignment horizontal="center" vertical="center"/>
    </xf>
    <xf numFmtId="169" fontId="14" fillId="4" borderId="4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6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vertical="center"/>
    </xf>
    <xf numFmtId="0" fontId="16" fillId="4" borderId="1" xfId="0" applyFont="1" applyFill="1" applyBorder="1" applyAlignment="1">
      <alignment horizontal="center" vertical="center" wrapText="1"/>
    </xf>
    <xf numFmtId="0" fontId="26" fillId="4" borderId="1" xfId="0" applyFont="1" applyFill="1" applyBorder="1" applyAlignment="1">
      <alignment horizontal="center" vertical="center" wrapText="1"/>
    </xf>
    <xf numFmtId="3" fontId="14" fillId="4" borderId="1" xfId="0" applyNumberFormat="1" applyFont="1" applyFill="1" applyBorder="1" applyAlignment="1">
      <alignment horizontal="center" vertical="center" wrapText="1"/>
    </xf>
    <xf numFmtId="169" fontId="14" fillId="4" borderId="1" xfId="0" applyNumberFormat="1" applyFont="1" applyFill="1" applyBorder="1" applyAlignment="1">
      <alignment horizontal="center" vertical="center" wrapText="1"/>
    </xf>
    <xf numFmtId="1" fontId="14" fillId="4" borderId="1" xfId="0" applyNumberFormat="1" applyFont="1" applyFill="1" applyBorder="1" applyAlignment="1">
      <alignment horizontal="center" vertical="center"/>
    </xf>
    <xf numFmtId="15" fontId="21" fillId="8" borderId="1" xfId="0" applyNumberFormat="1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/>
    </xf>
    <xf numFmtId="0" fontId="3" fillId="4" borderId="1" xfId="0" applyFont="1" applyFill="1" applyBorder="1"/>
    <xf numFmtId="15" fontId="3" fillId="4" borderId="1" xfId="0" applyNumberFormat="1" applyFont="1" applyFill="1" applyBorder="1" applyAlignment="1">
      <alignment horizontal="center" vertical="center"/>
    </xf>
    <xf numFmtId="1" fontId="21" fillId="4" borderId="1" xfId="0" applyNumberFormat="1" applyFont="1" applyFill="1" applyBorder="1" applyAlignment="1">
      <alignment horizontal="center" vertical="center"/>
    </xf>
    <xf numFmtId="15" fontId="21" fillId="4" borderId="1" xfId="0" applyNumberFormat="1" applyFont="1" applyFill="1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/>
    </xf>
    <xf numFmtId="1" fontId="21" fillId="4" borderId="1" xfId="0" applyNumberFormat="1" applyFont="1" applyFill="1" applyBorder="1" applyAlignment="1">
      <alignment horizontal="center" vertical="center" wrapText="1"/>
    </xf>
    <xf numFmtId="15" fontId="21" fillId="4" borderId="1" xfId="0" applyNumberFormat="1" applyFont="1" applyFill="1" applyBorder="1" applyAlignment="1">
      <alignment horizontal="center" vertical="center" wrapText="1"/>
    </xf>
    <xf numFmtId="15" fontId="21" fillId="4" borderId="1" xfId="0" applyNumberFormat="1" applyFont="1" applyFill="1" applyBorder="1"/>
    <xf numFmtId="169" fontId="21" fillId="4" borderId="1" xfId="0" applyNumberFormat="1" applyFont="1" applyFill="1" applyBorder="1" applyAlignment="1">
      <alignment horizontal="center" vertical="center"/>
    </xf>
    <xf numFmtId="15" fontId="21" fillId="0" borderId="1" xfId="0" applyNumberFormat="1" applyFont="1" applyBorder="1" applyAlignment="1">
      <alignment horizontal="center" vertical="center" wrapText="1"/>
    </xf>
    <xf numFmtId="169" fontId="28" fillId="6" borderId="1" xfId="0" applyNumberFormat="1" applyFont="1" applyFill="1" applyBorder="1" applyAlignment="1">
      <alignment horizontal="center" vertical="center"/>
    </xf>
    <xf numFmtId="169" fontId="21" fillId="0" borderId="1" xfId="0" applyNumberFormat="1" applyFont="1" applyBorder="1" applyAlignment="1">
      <alignment horizontal="center" vertical="center"/>
    </xf>
    <xf numFmtId="168" fontId="21" fillId="0" borderId="1" xfId="0" applyNumberFormat="1" applyFont="1" applyBorder="1" applyAlignment="1">
      <alignment horizontal="center" vertical="center"/>
    </xf>
    <xf numFmtId="168" fontId="21" fillId="4" borderId="1" xfId="0" applyNumberFormat="1" applyFont="1" applyFill="1" applyBorder="1" applyAlignment="1">
      <alignment horizontal="center" vertical="center"/>
    </xf>
    <xf numFmtId="3" fontId="21" fillId="4" borderId="1" xfId="0" applyNumberFormat="1" applyFont="1" applyFill="1" applyBorder="1" applyAlignment="1">
      <alignment horizontal="center" vertical="center"/>
    </xf>
    <xf numFmtId="169" fontId="28" fillId="16" borderId="1" xfId="0" applyNumberFormat="1" applyFont="1" applyFill="1" applyBorder="1" applyAlignment="1">
      <alignment horizontal="center" vertical="center"/>
    </xf>
    <xf numFmtId="0" fontId="21" fillId="4" borderId="0" xfId="0" applyFont="1" applyFill="1"/>
    <xf numFmtId="0" fontId="21" fillId="4" borderId="1" xfId="0" applyFont="1" applyFill="1" applyBorder="1"/>
    <xf numFmtId="15" fontId="3" fillId="17" borderId="1" xfId="0" applyNumberFormat="1" applyFont="1" applyFill="1" applyBorder="1" applyAlignment="1">
      <alignment horizontal="center" vertical="center"/>
    </xf>
    <xf numFmtId="0" fontId="27" fillId="0" borderId="0" xfId="0" applyFont="1"/>
    <xf numFmtId="15" fontId="3" fillId="0" borderId="0" xfId="0" applyNumberFormat="1" applyFont="1"/>
    <xf numFmtId="170" fontId="27" fillId="0" borderId="0" xfId="0" applyNumberFormat="1" applyFont="1"/>
    <xf numFmtId="165" fontId="18" fillId="0" borderId="1" xfId="0" applyNumberFormat="1" applyFont="1" applyBorder="1" applyAlignment="1">
      <alignment horizontal="center" vertical="center"/>
    </xf>
    <xf numFmtId="0" fontId="18" fillId="4" borderId="1" xfId="0" applyFont="1" applyFill="1" applyBorder="1" applyAlignment="1">
      <alignment horizontal="center" vertical="center"/>
    </xf>
    <xf numFmtId="1" fontId="18" fillId="0" borderId="1" xfId="0" applyNumberFormat="1" applyFont="1" applyBorder="1" applyAlignment="1">
      <alignment horizontal="center" vertical="center"/>
    </xf>
    <xf numFmtId="1" fontId="18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29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4" borderId="1" xfId="0" applyFont="1" applyFill="1" applyBorder="1" applyAlignment="1">
      <alignment horizontal="center" vertical="center" wrapText="1"/>
    </xf>
    <xf numFmtId="3" fontId="18" fillId="0" borderId="1" xfId="0" applyNumberFormat="1" applyFont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/>
    </xf>
    <xf numFmtId="171" fontId="18" fillId="5" borderId="1" xfId="0" applyNumberFormat="1" applyFont="1" applyFill="1" applyBorder="1" applyAlignment="1">
      <alignment horizontal="center" vertical="center"/>
    </xf>
    <xf numFmtId="3" fontId="18" fillId="0" borderId="1" xfId="0" applyNumberFormat="1" applyFont="1" applyBorder="1" applyAlignment="1">
      <alignment horizontal="center" vertical="center"/>
    </xf>
    <xf numFmtId="167" fontId="18" fillId="0" borderId="1" xfId="0" applyNumberFormat="1" applyFont="1" applyBorder="1" applyAlignment="1">
      <alignment horizontal="center" vertical="center"/>
    </xf>
    <xf numFmtId="167" fontId="18" fillId="0" borderId="1" xfId="0" applyNumberFormat="1" applyFont="1" applyBorder="1" applyAlignment="1">
      <alignment horizontal="center" vertical="center" wrapText="1"/>
    </xf>
    <xf numFmtId="167" fontId="30" fillId="6" borderId="1" xfId="0" applyNumberFormat="1" applyFont="1" applyFill="1" applyBorder="1" applyAlignment="1">
      <alignment horizontal="center" vertical="center"/>
    </xf>
    <xf numFmtId="168" fontId="18" fillId="0" borderId="1" xfId="0" applyNumberFormat="1" applyFont="1" applyBorder="1" applyAlignment="1">
      <alignment horizontal="center" vertical="center"/>
    </xf>
    <xf numFmtId="9" fontId="18" fillId="0" borderId="1" xfId="0" applyNumberFormat="1" applyFont="1" applyBorder="1" applyAlignment="1">
      <alignment horizontal="center" vertical="center"/>
    </xf>
    <xf numFmtId="1" fontId="18" fillId="4" borderId="1" xfId="0" applyNumberFormat="1" applyFont="1" applyFill="1" applyBorder="1" applyAlignment="1">
      <alignment horizontal="center" vertical="center" wrapText="1"/>
    </xf>
    <xf numFmtId="1" fontId="18" fillId="0" borderId="6" xfId="0" applyNumberFormat="1" applyFont="1" applyBorder="1" applyAlignment="1">
      <alignment horizontal="center" vertical="center"/>
    </xf>
    <xf numFmtId="1" fontId="18" fillId="0" borderId="6" xfId="0" applyNumberFormat="1" applyFont="1" applyBorder="1" applyAlignment="1">
      <alignment horizontal="center" vertical="center" wrapText="1"/>
    </xf>
    <xf numFmtId="0" fontId="18" fillId="0" borderId="6" xfId="0" applyFont="1" applyBorder="1" applyAlignment="1">
      <alignment horizontal="center" vertical="center"/>
    </xf>
    <xf numFmtId="0" fontId="18" fillId="4" borderId="6" xfId="0" applyFont="1" applyFill="1" applyBorder="1" applyAlignment="1">
      <alignment horizontal="center" vertical="center" wrapText="1"/>
    </xf>
    <xf numFmtId="3" fontId="18" fillId="0" borderId="6" xfId="0" applyNumberFormat="1" applyFont="1" applyBorder="1" applyAlignment="1">
      <alignment horizontal="center" vertical="center"/>
    </xf>
    <xf numFmtId="167" fontId="18" fillId="0" borderId="6" xfId="0" applyNumberFormat="1" applyFont="1" applyBorder="1" applyAlignment="1">
      <alignment horizontal="center" vertical="center"/>
    </xf>
    <xf numFmtId="171" fontId="33" fillId="5" borderId="1" xfId="0" applyNumberFormat="1" applyFont="1" applyFill="1" applyBorder="1" applyAlignment="1">
      <alignment horizontal="center" vertical="center"/>
    </xf>
    <xf numFmtId="0" fontId="34" fillId="0" borderId="1" xfId="0" applyFont="1" applyBorder="1" applyAlignment="1">
      <alignment horizontal="center" vertical="center"/>
    </xf>
    <xf numFmtId="166" fontId="18" fillId="0" borderId="1" xfId="0" applyNumberFormat="1" applyFont="1" applyBorder="1" applyAlignment="1">
      <alignment horizontal="center" vertical="center"/>
    </xf>
    <xf numFmtId="167" fontId="31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wrapText="1"/>
    </xf>
    <xf numFmtId="0" fontId="18" fillId="0" borderId="1" xfId="0" applyFont="1" applyBorder="1"/>
    <xf numFmtId="0" fontId="31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171" fontId="30" fillId="5" borderId="1" xfId="0" applyNumberFormat="1" applyFont="1" applyFill="1" applyBorder="1" applyAlignment="1">
      <alignment horizontal="center" vertical="center"/>
    </xf>
    <xf numFmtId="0" fontId="29" fillId="0" borderId="0" xfId="0" applyFont="1" applyAlignment="1">
      <alignment horizontal="center"/>
    </xf>
    <xf numFmtId="0" fontId="18" fillId="0" borderId="5" xfId="0" applyFont="1" applyBorder="1" applyAlignment="1">
      <alignment horizontal="center" vertical="center" wrapText="1"/>
    </xf>
    <xf numFmtId="0" fontId="34" fillId="0" borderId="1" xfId="0" applyFont="1" applyBorder="1" applyAlignment="1">
      <alignment horizontal="center"/>
    </xf>
    <xf numFmtId="0" fontId="32" fillId="0" borderId="6" xfId="0" applyFont="1" applyBorder="1" applyAlignment="1">
      <alignment horizontal="center" vertical="center" wrapText="1"/>
    </xf>
    <xf numFmtId="0" fontId="18" fillId="0" borderId="6" xfId="0" applyFont="1" applyBorder="1" applyAlignment="1">
      <alignment horizontal="center" vertical="center" wrapText="1"/>
    </xf>
    <xf numFmtId="0" fontId="18" fillId="0" borderId="7" xfId="0" applyFont="1" applyBorder="1" applyAlignment="1">
      <alignment horizontal="center" vertical="center" wrapText="1"/>
    </xf>
    <xf numFmtId="0" fontId="18" fillId="14" borderId="1" xfId="0" applyFont="1" applyFill="1" applyBorder="1" applyAlignment="1">
      <alignment horizontal="center" vertical="center" wrapText="1"/>
    </xf>
    <xf numFmtId="0" fontId="31" fillId="0" borderId="1" xfId="0" applyFont="1" applyBorder="1" applyAlignment="1">
      <alignment vertical="center" wrapText="1"/>
    </xf>
    <xf numFmtId="0" fontId="18" fillId="0" borderId="1" xfId="0" applyFont="1" applyBorder="1" applyAlignment="1">
      <alignment vertical="center"/>
    </xf>
    <xf numFmtId="171" fontId="18" fillId="4" borderId="1" xfId="0" applyNumberFormat="1" applyFont="1" applyFill="1" applyBorder="1" applyAlignment="1">
      <alignment horizontal="center" vertical="center" wrapText="1"/>
    </xf>
    <xf numFmtId="3" fontId="18" fillId="19" borderId="1" xfId="0" applyNumberFormat="1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8" fillId="0" borderId="1" xfId="0" applyFont="1" applyBorder="1" applyAlignment="1">
      <alignment horizontal="center" vertical="center" textRotation="45"/>
    </xf>
    <xf numFmtId="0" fontId="35" fillId="2" borderId="1" xfId="0" applyFont="1" applyFill="1" applyBorder="1" applyAlignment="1">
      <alignment horizontal="center" vertical="center" wrapText="1"/>
    </xf>
    <xf numFmtId="15" fontId="18" fillId="4" borderId="1" xfId="0" applyNumberFormat="1" applyFont="1" applyFill="1" applyBorder="1" applyAlignment="1">
      <alignment horizontal="center" vertical="center"/>
    </xf>
    <xf numFmtId="1" fontId="18" fillId="4" borderId="1" xfId="0" applyNumberFormat="1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/>
    </xf>
    <xf numFmtId="16" fontId="18" fillId="4" borderId="1" xfId="0" applyNumberFormat="1" applyFont="1" applyFill="1" applyBorder="1" applyAlignment="1">
      <alignment horizontal="center" vertical="center" wrapText="1"/>
    </xf>
    <xf numFmtId="169" fontId="18" fillId="4" borderId="1" xfId="0" applyNumberFormat="1" applyFont="1" applyFill="1" applyBorder="1" applyAlignment="1">
      <alignment horizontal="center" vertical="center" wrapText="1"/>
    </xf>
    <xf numFmtId="172" fontId="18" fillId="4" borderId="1" xfId="0" applyNumberFormat="1" applyFont="1" applyFill="1" applyBorder="1" applyAlignment="1">
      <alignment horizontal="center" vertical="center"/>
    </xf>
    <xf numFmtId="171" fontId="18" fillId="4" borderId="1" xfId="0" applyNumberFormat="1" applyFont="1" applyFill="1" applyBorder="1" applyAlignment="1">
      <alignment horizontal="center" vertical="center"/>
    </xf>
    <xf numFmtId="3" fontId="18" fillId="4" borderId="1" xfId="0" applyNumberFormat="1" applyFont="1" applyFill="1" applyBorder="1" applyAlignment="1">
      <alignment horizontal="center" vertical="center"/>
    </xf>
    <xf numFmtId="173" fontId="18" fillId="4" borderId="1" xfId="0" applyNumberFormat="1" applyFont="1" applyFill="1" applyBorder="1" applyAlignment="1">
      <alignment horizontal="center" vertical="center" wrapText="1"/>
    </xf>
    <xf numFmtId="9" fontId="18" fillId="4" borderId="1" xfId="0" applyNumberFormat="1" applyFont="1" applyFill="1" applyBorder="1" applyAlignment="1">
      <alignment horizontal="center" vertical="center" wrapText="1"/>
    </xf>
    <xf numFmtId="0" fontId="29" fillId="4" borderId="1" xfId="0" applyFont="1" applyFill="1" applyBorder="1" applyAlignment="1">
      <alignment horizontal="center"/>
    </xf>
    <xf numFmtId="0" fontId="18" fillId="4" borderId="1" xfId="0" applyFont="1" applyFill="1" applyBorder="1" applyAlignment="1">
      <alignment vertical="center"/>
    </xf>
    <xf numFmtId="171" fontId="30" fillId="4" borderId="1" xfId="0" applyNumberFormat="1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172" fontId="30" fillId="4" borderId="1" xfId="0" applyNumberFormat="1" applyFont="1" applyFill="1" applyBorder="1" applyAlignment="1">
      <alignment horizontal="center" vertical="center"/>
    </xf>
    <xf numFmtId="169" fontId="30" fillId="4" borderId="1" xfId="0" applyNumberFormat="1" applyFont="1" applyFill="1" applyBorder="1" applyAlignment="1">
      <alignment horizontal="center" vertical="center" wrapText="1"/>
    </xf>
    <xf numFmtId="0" fontId="30" fillId="4" borderId="1" xfId="0" applyFont="1" applyFill="1" applyBorder="1" applyAlignment="1">
      <alignment horizontal="center" vertical="center" wrapText="1"/>
    </xf>
    <xf numFmtId="0" fontId="36" fillId="4" borderId="1" xfId="0" applyFont="1" applyFill="1" applyBorder="1" applyAlignment="1">
      <alignment horizontal="center" vertical="center" wrapText="1"/>
    </xf>
    <xf numFmtId="15" fontId="18" fillId="8" borderId="1" xfId="0" applyNumberFormat="1" applyFont="1" applyFill="1" applyBorder="1" applyAlignment="1">
      <alignment horizontal="center" vertical="center" wrapText="1"/>
    </xf>
    <xf numFmtId="171" fontId="33" fillId="4" borderId="1" xfId="0" applyNumberFormat="1" applyFont="1" applyFill="1" applyBorder="1" applyAlignment="1">
      <alignment horizontal="center" vertical="center"/>
    </xf>
    <xf numFmtId="10" fontId="18" fillId="4" borderId="1" xfId="0" applyNumberFormat="1" applyFont="1" applyFill="1" applyBorder="1" applyAlignment="1">
      <alignment horizontal="center" vertical="center" wrapText="1"/>
    </xf>
    <xf numFmtId="168" fontId="18" fillId="4" borderId="1" xfId="0" applyNumberFormat="1" applyFont="1" applyFill="1" applyBorder="1" applyAlignment="1">
      <alignment horizontal="center" vertical="center" wrapText="1"/>
    </xf>
    <xf numFmtId="0" fontId="18" fillId="20" borderId="1" xfId="0" applyFont="1" applyFill="1" applyBorder="1" applyAlignment="1">
      <alignment horizontal="center" vertical="center"/>
    </xf>
    <xf numFmtId="0" fontId="18" fillId="14" borderId="1" xfId="0" applyFont="1" applyFill="1" applyBorder="1" applyAlignment="1">
      <alignment horizontal="center" vertical="center"/>
    </xf>
    <xf numFmtId="0" fontId="37" fillId="4" borderId="0" xfId="0" applyFont="1" applyFill="1" applyAlignment="1">
      <alignment horizontal="center" vertical="center" wrapText="1"/>
    </xf>
    <xf numFmtId="15" fontId="3" fillId="21" borderId="1" xfId="0" applyNumberFormat="1" applyFont="1" applyFill="1" applyBorder="1" applyAlignment="1">
      <alignment horizontal="center" vertical="center"/>
    </xf>
    <xf numFmtId="15" fontId="18" fillId="4" borderId="1" xfId="0" applyNumberFormat="1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167" fontId="18" fillId="4" borderId="1" xfId="0" applyNumberFormat="1" applyFont="1" applyFill="1" applyBorder="1" applyAlignment="1">
      <alignment horizontal="center" vertical="center" wrapText="1"/>
    </xf>
    <xf numFmtId="167" fontId="40" fillId="4" borderId="1" xfId="0" applyNumberFormat="1" applyFont="1" applyFill="1" applyBorder="1" applyAlignment="1">
      <alignment horizontal="center" vertical="center" wrapText="1"/>
    </xf>
    <xf numFmtId="168" fontId="40" fillId="4" borderId="1" xfId="0" applyNumberFormat="1" applyFont="1" applyFill="1" applyBorder="1" applyAlignment="1">
      <alignment horizontal="center" vertical="center" wrapText="1"/>
    </xf>
    <xf numFmtId="9" fontId="40" fillId="4" borderId="1" xfId="0" applyNumberFormat="1" applyFont="1" applyFill="1" applyBorder="1" applyAlignment="1">
      <alignment horizontal="center" vertical="center" wrapText="1"/>
    </xf>
    <xf numFmtId="169" fontId="40" fillId="4" borderId="1" xfId="0" applyNumberFormat="1" applyFont="1" applyFill="1" applyBorder="1" applyAlignment="1">
      <alignment horizontal="center" vertical="center" wrapText="1"/>
    </xf>
    <xf numFmtId="174" fontId="40" fillId="4" borderId="1" xfId="0" applyNumberFormat="1" applyFont="1" applyFill="1" applyBorder="1" applyAlignment="1">
      <alignment horizontal="center" vertical="center" wrapText="1"/>
    </xf>
    <xf numFmtId="0" fontId="29" fillId="4" borderId="0" xfId="0" applyFont="1" applyFill="1" applyAlignment="1">
      <alignment horizontal="center" wrapText="1"/>
    </xf>
    <xf numFmtId="173" fontId="40" fillId="4" borderId="1" xfId="0" applyNumberFormat="1" applyFont="1" applyFill="1" applyBorder="1" applyAlignment="1">
      <alignment horizontal="center" vertical="center" wrapText="1"/>
    </xf>
    <xf numFmtId="10" fontId="40" fillId="4" borderId="1" xfId="0" applyNumberFormat="1" applyFont="1" applyFill="1" applyBorder="1" applyAlignment="1">
      <alignment horizontal="center" vertical="center" wrapText="1"/>
    </xf>
    <xf numFmtId="175" fontId="18" fillId="4" borderId="1" xfId="0" applyNumberFormat="1" applyFont="1" applyFill="1" applyBorder="1" applyAlignment="1">
      <alignment horizontal="center" vertical="center" wrapText="1"/>
    </xf>
    <xf numFmtId="0" fontId="42" fillId="4" borderId="0" xfId="0" applyFont="1" applyFill="1" applyAlignment="1">
      <alignment horizontal="center" vertical="center" wrapText="1"/>
    </xf>
    <xf numFmtId="0" fontId="29" fillId="4" borderId="1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vertical="center" wrapText="1"/>
    </xf>
    <xf numFmtId="15" fontId="1" fillId="2" borderId="4" xfId="0" applyNumberFormat="1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 wrapText="1"/>
    </xf>
    <xf numFmtId="0" fontId="1" fillId="22" borderId="0" xfId="0" applyFont="1" applyFill="1" applyAlignment="1">
      <alignment horizontal="center" vertical="center" wrapText="1"/>
    </xf>
    <xf numFmtId="15" fontId="1" fillId="22" borderId="0" xfId="0" applyNumberFormat="1" applyFont="1" applyFill="1" applyAlignment="1">
      <alignment horizontal="center" vertical="center" wrapText="1"/>
    </xf>
    <xf numFmtId="164" fontId="1" fillId="22" borderId="0" xfId="0" applyNumberFormat="1" applyFont="1" applyFill="1" applyAlignment="1">
      <alignment horizontal="center" vertical="center" wrapText="1"/>
    </xf>
    <xf numFmtId="0" fontId="0" fillId="23" borderId="0" xfId="0" applyFill="1"/>
    <xf numFmtId="0" fontId="8" fillId="12" borderId="5" xfId="0" applyFont="1" applyFill="1" applyBorder="1" applyAlignment="1">
      <alignment horizontal="center" vertical="center"/>
    </xf>
    <xf numFmtId="15" fontId="3" fillId="0" borderId="5" xfId="0" applyNumberFormat="1" applyFont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1" fontId="9" fillId="2" borderId="4" xfId="0" applyNumberFormat="1" applyFont="1" applyFill="1" applyBorder="1" applyAlignment="1">
      <alignment horizontal="center" vertical="center" wrapText="1"/>
    </xf>
    <xf numFmtId="164" fontId="9" fillId="2" borderId="4" xfId="0" applyNumberFormat="1" applyFont="1" applyFill="1" applyBorder="1" applyAlignment="1">
      <alignment horizontal="center" vertical="center" wrapText="1"/>
    </xf>
    <xf numFmtId="0" fontId="10" fillId="13" borderId="8" xfId="0" applyFont="1" applyFill="1" applyBorder="1" applyAlignment="1">
      <alignment horizontal="center" vertical="center" wrapText="1"/>
    </xf>
    <xf numFmtId="0" fontId="10" fillId="13" borderId="4" xfId="0" applyFont="1" applyFill="1" applyBorder="1" applyAlignment="1">
      <alignment horizontal="center" vertical="center" wrapText="1"/>
    </xf>
    <xf numFmtId="15" fontId="9" fillId="2" borderId="4" xfId="0" applyNumberFormat="1" applyFont="1" applyFill="1" applyBorder="1" applyAlignment="1">
      <alignment horizontal="center" vertical="center" wrapText="1"/>
    </xf>
    <xf numFmtId="0" fontId="9" fillId="22" borderId="0" xfId="0" applyFont="1" applyFill="1" applyAlignment="1">
      <alignment horizontal="center" vertical="center" wrapText="1"/>
    </xf>
    <xf numFmtId="1" fontId="9" fillId="22" borderId="0" xfId="0" applyNumberFormat="1" applyFont="1" applyFill="1" applyAlignment="1">
      <alignment horizontal="center" vertical="center" wrapText="1"/>
    </xf>
    <xf numFmtId="164" fontId="9" fillId="22" borderId="0" xfId="0" applyNumberFormat="1" applyFont="1" applyFill="1" applyAlignment="1">
      <alignment horizontal="center" vertical="center" wrapText="1"/>
    </xf>
    <xf numFmtId="0" fontId="10" fillId="24" borderId="0" xfId="0" applyFont="1" applyFill="1" applyAlignment="1">
      <alignment horizontal="center" vertical="center" wrapText="1"/>
    </xf>
    <xf numFmtId="15" fontId="9" fillId="22" borderId="0" xfId="0" applyNumberFormat="1" applyFont="1" applyFill="1" applyAlignment="1">
      <alignment horizontal="center" vertical="center" wrapText="1"/>
    </xf>
    <xf numFmtId="15" fontId="11" fillId="22" borderId="0" xfId="0" applyNumberFormat="1" applyFont="1" applyFill="1" applyAlignment="1">
      <alignment horizontal="center" vertical="center"/>
    </xf>
    <xf numFmtId="0" fontId="12" fillId="23" borderId="0" xfId="0" applyFont="1" applyFill="1"/>
    <xf numFmtId="0" fontId="3" fillId="0" borderId="6" xfId="0" applyFont="1" applyBorder="1"/>
    <xf numFmtId="15" fontId="3" fillId="7" borderId="6" xfId="0" applyNumberFormat="1" applyFont="1" applyFill="1" applyBorder="1" applyAlignment="1">
      <alignment horizontal="center" vertical="center"/>
    </xf>
    <xf numFmtId="15" fontId="3" fillId="7" borderId="7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 wrapText="1"/>
    </xf>
    <xf numFmtId="15" fontId="11" fillId="2" borderId="0" xfId="0" applyNumberFormat="1" applyFont="1" applyFill="1" applyAlignment="1">
      <alignment horizontal="center" vertical="center"/>
    </xf>
    <xf numFmtId="0" fontId="8" fillId="15" borderId="5" xfId="0" applyFont="1" applyFill="1" applyBorder="1" applyAlignment="1">
      <alignment horizontal="center" vertical="center"/>
    </xf>
    <xf numFmtId="15" fontId="3" fillId="4" borderId="5" xfId="0" applyNumberFormat="1" applyFont="1" applyFill="1" applyBorder="1" applyAlignment="1">
      <alignment horizontal="center" vertical="center"/>
    </xf>
    <xf numFmtId="15" fontId="27" fillId="0" borderId="5" xfId="0" applyNumberFormat="1" applyFont="1" applyBorder="1" applyAlignment="1">
      <alignment horizontal="center" vertical="center"/>
    </xf>
    <xf numFmtId="15" fontId="27" fillId="18" borderId="5" xfId="0" applyNumberFormat="1" applyFont="1" applyFill="1" applyBorder="1" applyAlignment="1">
      <alignment horizontal="center" vertical="center"/>
    </xf>
    <xf numFmtId="15" fontId="3" fillId="8" borderId="7" xfId="0" applyNumberFormat="1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 wrapText="1"/>
    </xf>
    <xf numFmtId="0" fontId="35" fillId="22" borderId="0" xfId="0" applyFont="1" applyFill="1" applyAlignment="1">
      <alignment horizontal="center" vertical="center" wrapText="1"/>
    </xf>
    <xf numFmtId="0" fontId="38" fillId="0" borderId="5" xfId="0" applyFont="1" applyBorder="1" applyAlignment="1">
      <alignment horizontal="center" vertical="center"/>
    </xf>
    <xf numFmtId="15" fontId="39" fillId="12" borderId="5" xfId="0" applyNumberFormat="1" applyFont="1" applyFill="1" applyBorder="1" applyAlignment="1">
      <alignment horizontal="center" vertical="center"/>
    </xf>
    <xf numFmtId="15" fontId="39" fillId="4" borderId="5" xfId="0" applyNumberFormat="1" applyFont="1" applyFill="1" applyBorder="1" applyAlignment="1">
      <alignment horizontal="center" vertical="center"/>
    </xf>
    <xf numFmtId="169" fontId="30" fillId="17" borderId="4" xfId="0" applyNumberFormat="1" applyFont="1" applyFill="1" applyBorder="1" applyAlignment="1">
      <alignment horizontal="center" vertical="center" wrapText="1"/>
    </xf>
    <xf numFmtId="0" fontId="30" fillId="17" borderId="4" xfId="0" applyFont="1" applyFill="1" applyBorder="1" applyAlignment="1">
      <alignment horizontal="center" vertical="center" wrapText="1"/>
    </xf>
    <xf numFmtId="169" fontId="30" fillId="26" borderId="0" xfId="0" applyNumberFormat="1" applyFont="1" applyFill="1" applyAlignment="1">
      <alignment horizontal="center" vertical="center" wrapText="1"/>
    </xf>
    <xf numFmtId="0" fontId="30" fillId="26" borderId="0" xfId="0" applyFont="1" applyFill="1" applyAlignment="1">
      <alignment horizontal="center" vertical="center" wrapText="1"/>
    </xf>
    <xf numFmtId="0" fontId="9" fillId="29" borderId="4" xfId="0" applyFont="1" applyFill="1" applyBorder="1" applyAlignment="1">
      <alignment horizontal="center" vertical="center" wrapText="1"/>
    </xf>
    <xf numFmtId="167" fontId="40" fillId="30" borderId="1" xfId="0" applyNumberFormat="1" applyFont="1" applyFill="1" applyBorder="1" applyAlignment="1">
      <alignment horizontal="center" vertical="center" wrapText="1"/>
    </xf>
    <xf numFmtId="0" fontId="45" fillId="0" borderId="0" xfId="0" applyFont="1"/>
    <xf numFmtId="0" fontId="45" fillId="23" borderId="0" xfId="0" applyFont="1" applyFill="1"/>
    <xf numFmtId="0" fontId="46" fillId="0" borderId="0" xfId="0" applyFont="1"/>
    <xf numFmtId="0" fontId="47" fillId="0" borderId="1" xfId="0" applyFont="1" applyBorder="1" applyAlignment="1">
      <alignment horizontal="center" vertical="center"/>
    </xf>
    <xf numFmtId="0" fontId="48" fillId="12" borderId="5" xfId="0" applyFont="1" applyFill="1" applyBorder="1" applyAlignment="1">
      <alignment horizontal="center" vertical="center"/>
    </xf>
    <xf numFmtId="0" fontId="49" fillId="22" borderId="0" xfId="0" applyFont="1" applyFill="1" applyAlignment="1">
      <alignment horizontal="center" vertical="center" wrapText="1"/>
    </xf>
    <xf numFmtId="0" fontId="50" fillId="23" borderId="0" xfId="0" applyFont="1" applyFill="1"/>
    <xf numFmtId="15" fontId="48" fillId="22" borderId="0" xfId="0" applyNumberFormat="1" applyFont="1" applyFill="1" applyAlignment="1">
      <alignment horizontal="center" vertical="center" wrapText="1"/>
    </xf>
    <xf numFmtId="0" fontId="48" fillId="22" borderId="0" xfId="0" applyFont="1" applyFill="1" applyAlignment="1">
      <alignment horizontal="center" vertical="center" wrapText="1"/>
    </xf>
    <xf numFmtId="0" fontId="50" fillId="0" borderId="0" xfId="0" applyFont="1"/>
    <xf numFmtId="0" fontId="52" fillId="0" borderId="1" xfId="0" applyFont="1" applyBorder="1"/>
    <xf numFmtId="15" fontId="52" fillId="17" borderId="1" xfId="0" applyNumberFormat="1" applyFont="1" applyFill="1" applyBorder="1" applyAlignment="1">
      <alignment horizontal="center" vertical="center"/>
    </xf>
    <xf numFmtId="15" fontId="52" fillId="17" borderId="5" xfId="0" applyNumberFormat="1" applyFont="1" applyFill="1" applyBorder="1" applyAlignment="1">
      <alignment horizontal="center" vertical="center"/>
    </xf>
    <xf numFmtId="0" fontId="52" fillId="4" borderId="1" xfId="0" applyFont="1" applyFill="1" applyBorder="1"/>
    <xf numFmtId="15" fontId="52" fillId="4" borderId="1" xfId="0" applyNumberFormat="1" applyFont="1" applyFill="1" applyBorder="1" applyAlignment="1">
      <alignment horizontal="center" vertical="center"/>
    </xf>
    <xf numFmtId="15" fontId="52" fillId="4" borderId="5" xfId="0" applyNumberFormat="1" applyFont="1" applyFill="1" applyBorder="1" applyAlignment="1">
      <alignment horizontal="center" vertical="center"/>
    </xf>
    <xf numFmtId="15" fontId="52" fillId="0" borderId="1" xfId="0" applyNumberFormat="1" applyFont="1" applyBorder="1" applyAlignment="1">
      <alignment horizontal="center" vertical="center"/>
    </xf>
    <xf numFmtId="15" fontId="52" fillId="0" borderId="5" xfId="0" applyNumberFormat="1" applyFont="1" applyBorder="1" applyAlignment="1">
      <alignment horizontal="center" vertical="center"/>
    </xf>
    <xf numFmtId="0" fontId="52" fillId="0" borderId="6" xfId="0" applyFont="1" applyBorder="1"/>
    <xf numFmtId="15" fontId="52" fillId="7" borderId="6" xfId="0" applyNumberFormat="1" applyFont="1" applyFill="1" applyBorder="1" applyAlignment="1">
      <alignment horizontal="center" vertical="center"/>
    </xf>
    <xf numFmtId="15" fontId="52" fillId="7" borderId="7" xfId="0" applyNumberFormat="1" applyFont="1" applyFill="1" applyBorder="1" applyAlignment="1">
      <alignment horizontal="center" vertical="center"/>
    </xf>
    <xf numFmtId="0" fontId="49" fillId="2" borderId="4" xfId="0" applyFont="1" applyFill="1" applyBorder="1" applyAlignment="1">
      <alignment horizontal="center" vertical="center" wrapText="1"/>
    </xf>
    <xf numFmtId="0" fontId="49" fillId="2" borderId="9" xfId="0" applyFont="1" applyFill="1" applyBorder="1" applyAlignment="1">
      <alignment horizontal="center" vertical="center" wrapText="1"/>
    </xf>
    <xf numFmtId="15" fontId="48" fillId="2" borderId="4" xfId="0" applyNumberFormat="1" applyFont="1" applyFill="1" applyBorder="1" applyAlignment="1">
      <alignment horizontal="center" vertical="center" wrapText="1"/>
    </xf>
    <xf numFmtId="0" fontId="48" fillId="2" borderId="4" xfId="0" applyFont="1" applyFill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176" fontId="46" fillId="0" borderId="1" xfId="0" applyNumberFormat="1" applyFont="1" applyBorder="1" applyAlignment="1">
      <alignment horizontal="center" vertical="center"/>
    </xf>
    <xf numFmtId="1" fontId="46" fillId="0" borderId="1" xfId="0" applyNumberFormat="1" applyFont="1" applyBorder="1" applyAlignment="1">
      <alignment horizontal="center" vertical="center"/>
    </xf>
    <xf numFmtId="0" fontId="53" fillId="0" borderId="1" xfId="0" applyFont="1" applyBorder="1" applyAlignment="1">
      <alignment vertical="center" wrapText="1"/>
    </xf>
    <xf numFmtId="0" fontId="46" fillId="0" borderId="1" xfId="0" applyFont="1" applyBorder="1" applyAlignment="1">
      <alignment horizontal="center" vertical="center" wrapText="1"/>
    </xf>
    <xf numFmtId="0" fontId="52" fillId="0" borderId="1" xfId="0" applyFont="1" applyBorder="1" applyAlignment="1">
      <alignment horizontal="center" vertical="center"/>
    </xf>
    <xf numFmtId="0" fontId="46" fillId="4" borderId="1" xfId="0" applyFont="1" applyFill="1" applyBorder="1" applyAlignment="1">
      <alignment horizontal="center" vertical="center"/>
    </xf>
    <xf numFmtId="169" fontId="46" fillId="7" borderId="1" xfId="0" applyNumberFormat="1" applyFont="1" applyFill="1" applyBorder="1" applyAlignment="1">
      <alignment horizontal="center" vertical="center" wrapText="1"/>
    </xf>
    <xf numFmtId="169" fontId="46" fillId="0" borderId="1" xfId="0" applyNumberFormat="1" applyFont="1" applyBorder="1" applyAlignment="1">
      <alignment horizontal="center" vertical="center" wrapText="1"/>
    </xf>
    <xf numFmtId="177" fontId="46" fillId="0" borderId="1" xfId="0" applyNumberFormat="1" applyFont="1" applyBorder="1" applyAlignment="1">
      <alignment horizontal="center" vertical="center" wrapText="1"/>
    </xf>
    <xf numFmtId="169" fontId="46" fillId="16" borderId="1" xfId="0" applyNumberFormat="1" applyFont="1" applyFill="1" applyBorder="1" applyAlignment="1">
      <alignment horizontal="center" vertical="center" wrapText="1"/>
    </xf>
    <xf numFmtId="169" fontId="46" fillId="0" borderId="5" xfId="0" applyNumberFormat="1" applyFont="1" applyBorder="1" applyAlignment="1">
      <alignment horizontal="center" vertical="center" wrapText="1"/>
    </xf>
    <xf numFmtId="168" fontId="46" fillId="0" borderId="1" xfId="0" applyNumberFormat="1" applyFont="1" applyBorder="1" applyAlignment="1">
      <alignment horizontal="center" vertical="center" wrapText="1"/>
    </xf>
    <xf numFmtId="168" fontId="52" fillId="0" borderId="1" xfId="0" applyNumberFormat="1" applyFont="1" applyBorder="1" applyAlignment="1">
      <alignment horizontal="center" vertical="center"/>
    </xf>
    <xf numFmtId="9" fontId="46" fillId="0" borderId="1" xfId="0" applyNumberFormat="1" applyFont="1" applyBorder="1" applyAlignment="1">
      <alignment horizontal="center" vertical="center" wrapText="1"/>
    </xf>
    <xf numFmtId="0" fontId="46" fillId="0" borderId="2" xfId="0" applyFont="1" applyBorder="1" applyAlignment="1">
      <alignment horizontal="center" vertical="center" wrapText="1"/>
    </xf>
    <xf numFmtId="10" fontId="46" fillId="0" borderId="1" xfId="0" applyNumberFormat="1" applyFont="1" applyBorder="1" applyAlignment="1">
      <alignment horizontal="center" vertical="center" wrapText="1"/>
    </xf>
    <xf numFmtId="173" fontId="46" fillId="0" borderId="1" xfId="0" applyNumberFormat="1" applyFont="1" applyBorder="1" applyAlignment="1">
      <alignment horizontal="center" vertical="center" wrapText="1"/>
    </xf>
    <xf numFmtId="169" fontId="46" fillId="4" borderId="2" xfId="0" applyNumberFormat="1" applyFont="1" applyFill="1" applyBorder="1" applyAlignment="1">
      <alignment horizontal="center" vertical="center" wrapText="1"/>
    </xf>
    <xf numFmtId="168" fontId="46" fillId="4" borderId="1" xfId="0" applyNumberFormat="1" applyFont="1" applyFill="1" applyBorder="1" applyAlignment="1">
      <alignment horizontal="center" vertical="center" wrapText="1"/>
    </xf>
    <xf numFmtId="168" fontId="46" fillId="4" borderId="1" xfId="0" applyNumberFormat="1" applyFont="1" applyFill="1" applyBorder="1" applyAlignment="1">
      <alignment horizontal="center" vertical="center"/>
    </xf>
    <xf numFmtId="9" fontId="46" fillId="4" borderId="1" xfId="0" applyNumberFormat="1" applyFont="1" applyFill="1" applyBorder="1" applyAlignment="1">
      <alignment horizontal="center" vertical="center"/>
    </xf>
    <xf numFmtId="1" fontId="46" fillId="4" borderId="1" xfId="0" applyNumberFormat="1" applyFont="1" applyFill="1" applyBorder="1" applyAlignment="1">
      <alignment horizontal="center" vertical="center" wrapText="1"/>
    </xf>
    <xf numFmtId="9" fontId="46" fillId="4" borderId="1" xfId="0" applyNumberFormat="1" applyFont="1" applyFill="1" applyBorder="1" applyAlignment="1">
      <alignment horizontal="center" vertical="center" wrapText="1"/>
    </xf>
    <xf numFmtId="0" fontId="52" fillId="4" borderId="1" xfId="0" applyFont="1" applyFill="1" applyBorder="1" applyAlignment="1">
      <alignment horizontal="center" vertical="center"/>
    </xf>
    <xf numFmtId="169" fontId="46" fillId="5" borderId="1" xfId="0" applyNumberFormat="1" applyFont="1" applyFill="1" applyBorder="1" applyAlignment="1">
      <alignment horizontal="center" vertical="center" wrapText="1"/>
    </xf>
    <xf numFmtId="0" fontId="52" fillId="0" borderId="1" xfId="0" applyFont="1" applyBorder="1" applyAlignment="1">
      <alignment horizontal="center" vertical="center" wrapText="1"/>
    </xf>
    <xf numFmtId="169" fontId="46" fillId="4" borderId="1" xfId="0" applyNumberFormat="1" applyFont="1" applyFill="1" applyBorder="1" applyAlignment="1">
      <alignment horizontal="center" vertical="center" wrapText="1"/>
    </xf>
    <xf numFmtId="0" fontId="46" fillId="0" borderId="1" xfId="0" applyFont="1" applyBorder="1" applyAlignment="1">
      <alignment horizontal="right" vertical="center" wrapText="1"/>
    </xf>
    <xf numFmtId="169" fontId="46" fillId="11" borderId="1" xfId="0" applyNumberFormat="1" applyFont="1" applyFill="1" applyBorder="1" applyAlignment="1">
      <alignment horizontal="center" vertical="center" wrapText="1"/>
    </xf>
    <xf numFmtId="0" fontId="55" fillId="22" borderId="0" xfId="0" applyFont="1" applyFill="1" applyAlignment="1">
      <alignment horizontal="center" vertical="center" wrapText="1"/>
    </xf>
    <xf numFmtId="0" fontId="56" fillId="23" borderId="0" xfId="0" applyFont="1" applyFill="1"/>
    <xf numFmtId="0" fontId="55" fillId="2" borderId="4" xfId="0" applyFont="1" applyFill="1" applyBorder="1" applyAlignment="1">
      <alignment horizontal="center" vertical="center" wrapText="1"/>
    </xf>
    <xf numFmtId="0" fontId="56" fillId="0" borderId="0" xfId="0" applyFont="1"/>
    <xf numFmtId="1" fontId="54" fillId="4" borderId="1" xfId="0" applyNumberFormat="1" applyFont="1" applyFill="1" applyBorder="1" applyAlignment="1">
      <alignment horizontal="center" vertical="center" wrapText="1"/>
    </xf>
    <xf numFmtId="9" fontId="54" fillId="4" borderId="1" xfId="0" applyNumberFormat="1" applyFont="1" applyFill="1" applyBorder="1" applyAlignment="1">
      <alignment horizontal="center" vertical="center" wrapText="1"/>
    </xf>
    <xf numFmtId="0" fontId="58" fillId="0" borderId="0" xfId="0" applyFont="1"/>
    <xf numFmtId="0" fontId="58" fillId="0" borderId="1" xfId="0" applyFont="1" applyBorder="1" applyAlignment="1">
      <alignment horizontal="center" vertical="center"/>
    </xf>
    <xf numFmtId="14" fontId="58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58" fillId="23" borderId="0" xfId="0" applyFont="1" applyFill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14" fillId="4" borderId="0" xfId="0" applyFont="1" applyFill="1" applyAlignment="1">
      <alignment horizontal="center" vertical="center"/>
    </xf>
    <xf numFmtId="0" fontId="14" fillId="4" borderId="0" xfId="0" applyFont="1" applyFill="1" applyAlignment="1">
      <alignment horizontal="center" vertical="center" wrapText="1"/>
    </xf>
    <xf numFmtId="0" fontId="58" fillId="23" borderId="0" xfId="0" applyFont="1" applyFill="1" applyAlignment="1">
      <alignment horizontal="center" vertical="center" wrapText="1"/>
    </xf>
    <xf numFmtId="0" fontId="58" fillId="0" borderId="0" xfId="0" applyFont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8" fillId="0" borderId="0" xfId="0" applyFont="1" applyAlignment="1">
      <alignment wrapText="1"/>
    </xf>
    <xf numFmtId="15" fontId="1" fillId="2" borderId="0" xfId="0" applyNumberFormat="1" applyFont="1" applyFill="1" applyAlignment="1">
      <alignment horizontal="center" vertical="center" wrapText="1"/>
    </xf>
    <xf numFmtId="15" fontId="21" fillId="4" borderId="0" xfId="0" applyNumberFormat="1" applyFont="1" applyFill="1" applyAlignment="1">
      <alignment horizontal="center" vertical="center"/>
    </xf>
    <xf numFmtId="1" fontId="58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14" fontId="58" fillId="0" borderId="1" xfId="0" applyNumberFormat="1" applyFont="1" applyBorder="1" applyAlignment="1">
      <alignment horizontal="center" vertical="center" wrapText="1"/>
    </xf>
    <xf numFmtId="0" fontId="49" fillId="2" borderId="0" xfId="0" applyFont="1" applyFill="1" applyAlignment="1">
      <alignment horizontal="center" vertical="center" wrapText="1"/>
    </xf>
    <xf numFmtId="0" fontId="46" fillId="0" borderId="0" xfId="0" applyFont="1" applyAlignment="1">
      <alignment horizontal="center" vertical="center" wrapText="1"/>
    </xf>
    <xf numFmtId="0" fontId="57" fillId="4" borderId="1" xfId="0" applyFont="1" applyFill="1" applyBorder="1" applyAlignment="1">
      <alignment horizontal="center" vertical="center" wrapText="1"/>
    </xf>
    <xf numFmtId="0" fontId="56" fillId="0" borderId="0" xfId="0" applyFont="1" applyAlignment="1">
      <alignment wrapText="1"/>
    </xf>
    <xf numFmtId="9" fontId="50" fillId="0" borderId="0" xfId="0" applyNumberFormat="1" applyFont="1"/>
    <xf numFmtId="14" fontId="18" fillId="4" borderId="1" xfId="0" applyNumberFormat="1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9" fontId="2" fillId="4" borderId="5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1" fontId="58" fillId="0" borderId="2" xfId="0" applyNumberFormat="1" applyFont="1" applyBorder="1" applyAlignment="1">
      <alignment horizontal="center" vertical="center" wrapText="1"/>
    </xf>
    <xf numFmtId="9" fontId="2" fillId="4" borderId="0" xfId="0" applyNumberFormat="1" applyFont="1" applyFill="1" applyAlignment="1">
      <alignment horizontal="center" vertical="center" wrapText="1"/>
    </xf>
    <xf numFmtId="0" fontId="2" fillId="23" borderId="0" xfId="0" applyFont="1" applyFill="1"/>
    <xf numFmtId="0" fontId="4" fillId="23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center" vertical="center"/>
    </xf>
    <xf numFmtId="0" fontId="5" fillId="23" borderId="0" xfId="0" applyFont="1" applyFill="1"/>
    <xf numFmtId="15" fontId="5" fillId="26" borderId="0" xfId="0" applyNumberFormat="1" applyFont="1" applyFill="1" applyAlignment="1">
      <alignment horizontal="center" vertical="center"/>
    </xf>
    <xf numFmtId="15" fontId="5" fillId="23" borderId="0" xfId="0" applyNumberFormat="1" applyFont="1" applyFill="1" applyAlignment="1">
      <alignment horizontal="center" vertical="center"/>
    </xf>
    <xf numFmtId="0" fontId="5" fillId="4" borderId="0" xfId="0" applyFont="1" applyFill="1"/>
    <xf numFmtId="15" fontId="5" fillId="4" borderId="0" xfId="0" applyNumberFormat="1" applyFont="1" applyFill="1" applyAlignment="1">
      <alignment horizontal="center" vertical="center"/>
    </xf>
    <xf numFmtId="15" fontId="5" fillId="27" borderId="0" xfId="0" applyNumberFormat="1" applyFont="1" applyFill="1" applyAlignment="1">
      <alignment horizontal="center" vertical="center"/>
    </xf>
    <xf numFmtId="15" fontId="5" fillId="28" borderId="0" xfId="0" applyNumberFormat="1" applyFont="1" applyFill="1" applyAlignment="1">
      <alignment horizontal="center" vertical="center"/>
    </xf>
    <xf numFmtId="0" fontId="60" fillId="22" borderId="0" xfId="0" applyFont="1" applyFill="1" applyAlignment="1">
      <alignment horizontal="center" vertical="center" wrapText="1"/>
    </xf>
    <xf numFmtId="0" fontId="2" fillId="0" borderId="0" xfId="0" applyFont="1"/>
    <xf numFmtId="0" fontId="4" fillId="0" borderId="1" xfId="0" applyFont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59" fillId="0" borderId="0" xfId="0" applyFont="1" applyAlignment="1">
      <alignment horizontal="center"/>
    </xf>
    <xf numFmtId="0" fontId="5" fillId="0" borderId="1" xfId="0" applyFont="1" applyBorder="1"/>
    <xf numFmtId="15" fontId="5" fillId="0" borderId="1" xfId="0" applyNumberFormat="1" applyFont="1" applyBorder="1" applyAlignment="1">
      <alignment horizontal="center" vertical="center"/>
    </xf>
    <xf numFmtId="15" fontId="61" fillId="12" borderId="5" xfId="0" applyNumberFormat="1" applyFont="1" applyFill="1" applyBorder="1" applyAlignment="1">
      <alignment horizontal="center" vertical="center"/>
    </xf>
    <xf numFmtId="15" fontId="5" fillId="0" borderId="5" xfId="0" applyNumberFormat="1" applyFont="1" applyBorder="1" applyAlignment="1">
      <alignment horizontal="center" vertical="center"/>
    </xf>
    <xf numFmtId="0" fontId="5" fillId="0" borderId="6" xfId="0" applyFont="1" applyBorder="1"/>
    <xf numFmtId="15" fontId="5" fillId="7" borderId="6" xfId="0" applyNumberFormat="1" applyFont="1" applyFill="1" applyBorder="1" applyAlignment="1">
      <alignment horizontal="center" vertical="center"/>
    </xf>
    <xf numFmtId="15" fontId="5" fillId="7" borderId="7" xfId="0" applyNumberFormat="1" applyFont="1" applyFill="1" applyBorder="1" applyAlignment="1">
      <alignment horizontal="center" vertical="center"/>
    </xf>
    <xf numFmtId="0" fontId="0" fillId="0" borderId="1" xfId="0" applyBorder="1"/>
    <xf numFmtId="0" fontId="1" fillId="2" borderId="5" xfId="0" applyFont="1" applyFill="1" applyBorder="1" applyAlignment="1">
      <alignment horizontal="center" vertical="center" wrapText="1"/>
    </xf>
    <xf numFmtId="0" fontId="58" fillId="0" borderId="2" xfId="0" applyFont="1" applyBorder="1" applyAlignment="1">
      <alignment horizontal="center" vertical="center" wrapText="1"/>
    </xf>
    <xf numFmtId="0" fontId="35" fillId="2" borderId="8" xfId="0" applyFont="1" applyFill="1" applyBorder="1" applyAlignment="1">
      <alignment horizontal="center" vertical="center" wrapText="1"/>
    </xf>
    <xf numFmtId="0" fontId="18" fillId="4" borderId="2" xfId="0" applyFont="1" applyFill="1" applyBorder="1" applyAlignment="1">
      <alignment horizontal="center" vertical="center" wrapText="1"/>
    </xf>
    <xf numFmtId="0" fontId="41" fillId="2" borderId="4" xfId="0" applyFont="1" applyFill="1" applyBorder="1" applyAlignment="1">
      <alignment horizontal="center" vertical="center" wrapText="1"/>
    </xf>
    <xf numFmtId="0" fontId="18" fillId="17" borderId="4" xfId="0" applyFont="1" applyFill="1" applyBorder="1" applyAlignment="1">
      <alignment horizontal="center" vertical="center" wrapText="1"/>
    </xf>
    <xf numFmtId="169" fontId="18" fillId="17" borderId="4" xfId="0" applyNumberFormat="1" applyFont="1" applyFill="1" applyBorder="1" applyAlignment="1">
      <alignment horizontal="center" vertical="center" wrapText="1"/>
    </xf>
    <xf numFmtId="15" fontId="43" fillId="2" borderId="4" xfId="0" applyNumberFormat="1" applyFont="1" applyFill="1" applyBorder="1" applyAlignment="1">
      <alignment horizontal="center" vertical="center" wrapText="1"/>
    </xf>
    <xf numFmtId="0" fontId="44" fillId="2" borderId="4" xfId="0" applyFont="1" applyFill="1" applyBorder="1" applyAlignment="1">
      <alignment horizontal="center" vertical="center" wrapText="1"/>
    </xf>
    <xf numFmtId="0" fontId="41" fillId="22" borderId="0" xfId="0" applyFont="1" applyFill="1" applyAlignment="1">
      <alignment horizontal="center" vertical="center" wrapText="1"/>
    </xf>
    <xf numFmtId="0" fontId="18" fillId="26" borderId="0" xfId="0" applyFont="1" applyFill="1" applyAlignment="1">
      <alignment horizontal="center" vertical="center" wrapText="1"/>
    </xf>
    <xf numFmtId="169" fontId="18" fillId="26" borderId="0" xfId="0" applyNumberFormat="1" applyFont="1" applyFill="1" applyAlignment="1">
      <alignment horizontal="center" vertical="center" wrapText="1"/>
    </xf>
    <xf numFmtId="15" fontId="43" fillId="22" borderId="0" xfId="0" applyNumberFormat="1" applyFont="1" applyFill="1" applyAlignment="1">
      <alignment horizontal="center" vertical="center" wrapText="1"/>
    </xf>
    <xf numFmtId="0" fontId="44" fillId="22" borderId="0" xfId="0" applyFont="1" applyFill="1" applyAlignment="1">
      <alignment horizontal="center" vertical="center" wrapText="1"/>
    </xf>
    <xf numFmtId="0" fontId="49" fillId="2" borderId="1" xfId="0" applyFont="1" applyFill="1" applyBorder="1" applyAlignment="1">
      <alignment horizontal="center" vertical="center" wrapText="1"/>
    </xf>
    <xf numFmtId="0" fontId="50" fillId="0" borderId="1" xfId="0" applyFont="1" applyBorder="1"/>
    <xf numFmtId="15" fontId="5" fillId="17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/>
    <xf numFmtId="15" fontId="5" fillId="4" borderId="1" xfId="0" applyNumberFormat="1" applyFont="1" applyFill="1" applyBorder="1" applyAlignment="1">
      <alignment horizontal="center" vertical="center"/>
    </xf>
    <xf numFmtId="15" fontId="5" fillId="4" borderId="5" xfId="0" applyNumberFormat="1" applyFont="1" applyFill="1" applyBorder="1" applyAlignment="1">
      <alignment horizontal="center" vertical="center"/>
    </xf>
    <xf numFmtId="15" fontId="5" fillId="8" borderId="7" xfId="0" applyNumberFormat="1" applyFont="1" applyFill="1" applyBorder="1" applyAlignment="1">
      <alignment horizontal="center" vertical="center"/>
    </xf>
    <xf numFmtId="0" fontId="56" fillId="0" borderId="1" xfId="0" applyFont="1" applyBorder="1"/>
    <xf numFmtId="0" fontId="58" fillId="0" borderId="1" xfId="0" applyFont="1" applyBorder="1"/>
    <xf numFmtId="0" fontId="21" fillId="4" borderId="1" xfId="0" applyFont="1" applyFill="1" applyBorder="1" applyAlignment="1">
      <alignment horizontal="center" vertical="center" wrapText="1"/>
    </xf>
    <xf numFmtId="1" fontId="18" fillId="4" borderId="11" xfId="0" applyNumberFormat="1" applyFont="1" applyFill="1" applyBorder="1" applyAlignment="1">
      <alignment horizontal="center" vertical="center" wrapText="1"/>
    </xf>
    <xf numFmtId="1" fontId="18" fillId="4" borderId="5" xfId="0" applyNumberFormat="1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2" fontId="10" fillId="24" borderId="0" xfId="0" applyNumberFormat="1" applyFont="1" applyFill="1" applyAlignment="1">
      <alignment horizontal="center" vertical="center" wrapText="1"/>
    </xf>
    <xf numFmtId="2" fontId="10" fillId="13" borderId="4" xfId="0" applyNumberFormat="1" applyFont="1" applyFill="1" applyBorder="1" applyAlignment="1">
      <alignment horizontal="center" vertical="center" wrapText="1"/>
    </xf>
    <xf numFmtId="2" fontId="14" fillId="4" borderId="1" xfId="0" applyNumberFormat="1" applyFont="1" applyFill="1" applyBorder="1" applyAlignment="1">
      <alignment horizontal="center" vertical="center"/>
    </xf>
    <xf numFmtId="2" fontId="14" fillId="4" borderId="1" xfId="0" applyNumberFormat="1" applyFont="1" applyFill="1" applyBorder="1" applyAlignment="1">
      <alignment horizontal="center" vertical="center" wrapText="1"/>
    </xf>
    <xf numFmtId="2" fontId="0" fillId="0" borderId="0" xfId="0" applyNumberFormat="1"/>
    <xf numFmtId="0" fontId="50" fillId="0" borderId="0" xfId="0" applyFont="1" applyAlignment="1">
      <alignment horizontal="center" wrapText="1"/>
    </xf>
    <xf numFmtId="0" fontId="50" fillId="23" borderId="0" xfId="0" applyFont="1" applyFill="1" applyAlignment="1">
      <alignment horizontal="center" wrapText="1"/>
    </xf>
    <xf numFmtId="0" fontId="50" fillId="0" borderId="1" xfId="0" applyFont="1" applyBorder="1" applyAlignment="1">
      <alignment horizontal="center" wrapText="1"/>
    </xf>
    <xf numFmtId="0" fontId="49" fillId="23" borderId="0" xfId="0" applyFont="1" applyFill="1" applyAlignment="1">
      <alignment horizontal="center" vertical="center" wrapText="1"/>
    </xf>
    <xf numFmtId="14" fontId="18" fillId="4" borderId="11" xfId="0" applyNumberFormat="1" applyFont="1" applyFill="1" applyBorder="1" applyAlignment="1">
      <alignment horizontal="center" vertical="center" wrapText="1"/>
    </xf>
    <xf numFmtId="0" fontId="1" fillId="31" borderId="1" xfId="0" applyFont="1" applyFill="1" applyBorder="1" applyAlignment="1">
      <alignment horizontal="center" vertical="center" wrapText="1"/>
    </xf>
    <xf numFmtId="0" fontId="1" fillId="32" borderId="1" xfId="0" applyFont="1" applyFill="1" applyBorder="1" applyAlignment="1">
      <alignment horizontal="center" vertical="center" wrapText="1"/>
    </xf>
    <xf numFmtId="15" fontId="58" fillId="0" borderId="1" xfId="0" applyNumberFormat="1" applyFont="1" applyBorder="1" applyAlignment="1">
      <alignment horizontal="center" vertical="center" wrapText="1"/>
    </xf>
    <xf numFmtId="0" fontId="1" fillId="31" borderId="2" xfId="0" applyFont="1" applyFill="1" applyBorder="1" applyAlignment="1">
      <alignment horizontal="center" vertical="center" wrapText="1"/>
    </xf>
    <xf numFmtId="0" fontId="1" fillId="32" borderId="2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wrapText="1"/>
    </xf>
    <xf numFmtId="15" fontId="58" fillId="33" borderId="1" xfId="0" applyNumberFormat="1" applyFont="1" applyFill="1" applyBorder="1" applyAlignment="1">
      <alignment horizontal="center" vertical="center" wrapText="1"/>
    </xf>
    <xf numFmtId="0" fontId="58" fillId="33" borderId="1" xfId="0" applyFont="1" applyFill="1" applyBorder="1" applyAlignment="1">
      <alignment horizontal="center" vertical="center" wrapText="1"/>
    </xf>
    <xf numFmtId="0" fontId="58" fillId="33" borderId="1" xfId="0" applyFont="1" applyFill="1" applyBorder="1" applyAlignment="1">
      <alignment wrapText="1"/>
    </xf>
    <xf numFmtId="0" fontId="62" fillId="23" borderId="0" xfId="0" applyFont="1" applyFill="1"/>
    <xf numFmtId="15" fontId="63" fillId="33" borderId="1" xfId="0" applyNumberFormat="1" applyFont="1" applyFill="1" applyBorder="1" applyAlignment="1">
      <alignment horizontal="center" vertical="center" wrapText="1"/>
    </xf>
    <xf numFmtId="0" fontId="63" fillId="33" borderId="1" xfId="0" applyFont="1" applyFill="1" applyBorder="1" applyAlignment="1">
      <alignment horizontal="center" vertical="center" wrapText="1"/>
    </xf>
    <xf numFmtId="0" fontId="63" fillId="33" borderId="1" xfId="0" applyFont="1" applyFill="1" applyBorder="1" applyAlignment="1">
      <alignment wrapText="1"/>
    </xf>
    <xf numFmtId="0" fontId="63" fillId="0" borderId="0" xfId="0" applyFont="1" applyAlignment="1">
      <alignment wrapText="1"/>
    </xf>
    <xf numFmtId="15" fontId="63" fillId="0" borderId="1" xfId="0" applyNumberFormat="1" applyFont="1" applyBorder="1" applyAlignment="1">
      <alignment horizontal="center" vertical="center" wrapText="1"/>
    </xf>
    <xf numFmtId="0" fontId="63" fillId="0" borderId="1" xfId="0" applyFont="1" applyBorder="1" applyAlignment="1">
      <alignment horizontal="center" vertical="center" wrapText="1"/>
    </xf>
    <xf numFmtId="0" fontId="63" fillId="0" borderId="1" xfId="0" applyFont="1" applyBorder="1" applyAlignment="1">
      <alignment wrapText="1"/>
    </xf>
    <xf numFmtId="14" fontId="63" fillId="0" borderId="1" xfId="0" applyNumberFormat="1" applyFont="1" applyBorder="1" applyAlignment="1">
      <alignment horizontal="center" vertical="center"/>
    </xf>
    <xf numFmtId="0" fontId="63" fillId="0" borderId="1" xfId="0" applyFont="1" applyBorder="1"/>
    <xf numFmtId="0" fontId="63" fillId="0" borderId="0" xfId="0" applyFont="1"/>
    <xf numFmtId="15" fontId="63" fillId="0" borderId="1" xfId="0" applyNumberFormat="1" applyFont="1" applyBorder="1" applyAlignment="1">
      <alignment horizontal="center" vertical="center"/>
    </xf>
    <xf numFmtId="0" fontId="63" fillId="0" borderId="1" xfId="0" applyFont="1" applyBorder="1" applyAlignment="1">
      <alignment horizontal="center" vertical="center"/>
    </xf>
    <xf numFmtId="15" fontId="58" fillId="0" borderId="1" xfId="0" applyNumberFormat="1" applyFont="1" applyBorder="1" applyAlignment="1">
      <alignment horizontal="center" vertical="center"/>
    </xf>
    <xf numFmtId="0" fontId="58" fillId="0" borderId="11" xfId="0" applyFont="1" applyBorder="1" applyAlignment="1">
      <alignment horizontal="center" vertical="center" wrapText="1"/>
    </xf>
    <xf numFmtId="14" fontId="58" fillId="0" borderId="11" xfId="0" applyNumberFormat="1" applyFont="1" applyBorder="1" applyAlignment="1">
      <alignment horizontal="center" vertical="center"/>
    </xf>
    <xf numFmtId="0" fontId="58" fillId="0" borderId="11" xfId="0" applyFont="1" applyBorder="1" applyAlignment="1">
      <alignment horizontal="center" vertical="center"/>
    </xf>
    <xf numFmtId="0" fontId="58" fillId="0" borderId="11" xfId="0" applyFont="1" applyBorder="1" applyAlignment="1">
      <alignment wrapText="1"/>
    </xf>
    <xf numFmtId="0" fontId="58" fillId="0" borderId="11" xfId="0" applyFont="1" applyBorder="1"/>
    <xf numFmtId="0" fontId="58" fillId="0" borderId="6" xfId="0" applyFont="1" applyBorder="1" applyAlignment="1">
      <alignment horizontal="center" vertical="center" wrapText="1"/>
    </xf>
    <xf numFmtId="14" fontId="58" fillId="0" borderId="6" xfId="0" applyNumberFormat="1" applyFont="1" applyBorder="1" applyAlignment="1">
      <alignment horizontal="center" vertical="center"/>
    </xf>
    <xf numFmtId="0" fontId="58" fillId="0" borderId="6" xfId="0" applyFont="1" applyBorder="1" applyAlignment="1">
      <alignment horizontal="center" vertical="center"/>
    </xf>
    <xf numFmtId="15" fontId="58" fillId="0" borderId="11" xfId="0" applyNumberFormat="1" applyFont="1" applyBorder="1" applyAlignment="1">
      <alignment horizontal="center" vertical="center" wrapText="1"/>
    </xf>
    <xf numFmtId="15" fontId="58" fillId="0" borderId="11" xfId="0" applyNumberFormat="1" applyFont="1" applyBorder="1" applyAlignment="1">
      <alignment horizontal="center" vertical="center"/>
    </xf>
    <xf numFmtId="15" fontId="58" fillId="0" borderId="11" xfId="0" applyNumberFormat="1" applyFont="1" applyBorder="1" applyAlignment="1">
      <alignment wrapText="1"/>
    </xf>
    <xf numFmtId="15" fontId="58" fillId="0" borderId="11" xfId="0" applyNumberFormat="1" applyFont="1" applyBorder="1"/>
    <xf numFmtId="0" fontId="31" fillId="0" borderId="1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59" fillId="23" borderId="0" xfId="0" applyFont="1" applyFill="1" applyAlignment="1">
      <alignment horizontal="center"/>
    </xf>
    <xf numFmtId="0" fontId="11" fillId="2" borderId="10" xfId="0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59" fillId="0" borderId="1" xfId="0" applyFont="1" applyBorder="1" applyAlignment="1">
      <alignment horizontal="center"/>
    </xf>
    <xf numFmtId="15" fontId="11" fillId="2" borderId="3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31" fillId="0" borderId="1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59" fillId="23" borderId="0" xfId="0" applyFont="1" applyFill="1" applyAlignment="1">
      <alignment horizontal="center"/>
    </xf>
    <xf numFmtId="0" fontId="51" fillId="0" borderId="1" xfId="0" applyFont="1" applyBorder="1" applyAlignment="1">
      <alignment horizontal="center"/>
    </xf>
    <xf numFmtId="0" fontId="65" fillId="22" borderId="0" xfId="0" applyFont="1" applyFill="1" applyAlignment="1">
      <alignment horizontal="center" vertical="center" wrapText="1"/>
    </xf>
    <xf numFmtId="15" fontId="65" fillId="22" borderId="0" xfId="0" applyNumberFormat="1" applyFont="1" applyFill="1" applyAlignment="1">
      <alignment horizontal="center" vertical="center" wrapText="1"/>
    </xf>
    <xf numFmtId="1" fontId="65" fillId="22" borderId="0" xfId="0" applyNumberFormat="1" applyFont="1" applyFill="1" applyAlignment="1">
      <alignment horizontal="center" vertical="center" wrapText="1"/>
    </xf>
    <xf numFmtId="164" fontId="65" fillId="22" borderId="0" xfId="0" applyNumberFormat="1" applyFont="1" applyFill="1" applyAlignment="1">
      <alignment horizontal="center" vertical="center" wrapText="1"/>
    </xf>
    <xf numFmtId="0" fontId="66" fillId="23" borderId="0" xfId="0" applyFont="1" applyFill="1"/>
    <xf numFmtId="0" fontId="65" fillId="2" borderId="10" xfId="0" applyFont="1" applyFill="1" applyBorder="1" applyAlignment="1">
      <alignment horizontal="center" vertical="center" wrapText="1"/>
    </xf>
    <xf numFmtId="0" fontId="65" fillId="2" borderId="3" xfId="0" applyFont="1" applyFill="1" applyBorder="1" applyAlignment="1">
      <alignment horizontal="center" vertical="center" wrapText="1"/>
    </xf>
    <xf numFmtId="0" fontId="65" fillId="31" borderId="1" xfId="0" applyFont="1" applyFill="1" applyBorder="1" applyAlignment="1">
      <alignment horizontal="center" vertical="center" wrapText="1"/>
    </xf>
    <xf numFmtId="0" fontId="65" fillId="2" borderId="4" xfId="0" applyFont="1" applyFill="1" applyBorder="1" applyAlignment="1">
      <alignment horizontal="center" vertical="center" wrapText="1"/>
    </xf>
    <xf numFmtId="15" fontId="65" fillId="2" borderId="4" xfId="0" applyNumberFormat="1" applyFont="1" applyFill="1" applyBorder="1" applyAlignment="1">
      <alignment horizontal="center" vertical="center" wrapText="1"/>
    </xf>
    <xf numFmtId="1" fontId="65" fillId="2" borderId="4" xfId="0" applyNumberFormat="1" applyFont="1" applyFill="1" applyBorder="1" applyAlignment="1">
      <alignment horizontal="center" vertical="center" wrapText="1"/>
    </xf>
    <xf numFmtId="164" fontId="65" fillId="2" borderId="4" xfId="0" applyNumberFormat="1" applyFont="1" applyFill="1" applyBorder="1" applyAlignment="1">
      <alignment horizontal="center" vertical="center" wrapText="1"/>
    </xf>
    <xf numFmtId="0" fontId="66" fillId="0" borderId="0" xfId="0" applyFont="1"/>
    <xf numFmtId="0" fontId="65" fillId="2" borderId="1" xfId="0" applyFont="1" applyFill="1" applyBorder="1" applyAlignment="1">
      <alignment horizontal="center" vertical="center" wrapText="1"/>
    </xf>
    <xf numFmtId="0" fontId="65" fillId="32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/>
    </xf>
    <xf numFmtId="165" fontId="67" fillId="3" borderId="1" xfId="0" applyNumberFormat="1" applyFont="1" applyFill="1" applyBorder="1" applyAlignment="1">
      <alignment horizontal="center" vertical="center"/>
    </xf>
    <xf numFmtId="1" fontId="67" fillId="4" borderId="1" xfId="0" applyNumberFormat="1" applyFont="1" applyFill="1" applyBorder="1" applyAlignment="1">
      <alignment horizontal="center" vertical="center" wrapText="1"/>
    </xf>
    <xf numFmtId="0" fontId="67" fillId="4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/>
    </xf>
    <xf numFmtId="16" fontId="67" fillId="0" borderId="1" xfId="0" applyNumberFormat="1" applyFont="1" applyBorder="1" applyAlignment="1">
      <alignment horizontal="center" vertical="center" wrapText="1"/>
    </xf>
    <xf numFmtId="0" fontId="67" fillId="4" borderId="1" xfId="0" applyFont="1" applyFill="1" applyBorder="1" applyAlignment="1">
      <alignment horizontal="center" vertical="center"/>
    </xf>
    <xf numFmtId="0" fontId="67" fillId="0" borderId="1" xfId="0" applyFont="1" applyBorder="1" applyAlignment="1">
      <alignment horizontal="center" vertical="center" wrapText="1"/>
    </xf>
    <xf numFmtId="166" fontId="67" fillId="5" borderId="1" xfId="0" applyNumberFormat="1" applyFont="1" applyFill="1" applyBorder="1" applyAlignment="1">
      <alignment horizontal="center" vertical="center"/>
    </xf>
    <xf numFmtId="3" fontId="67" fillId="0" borderId="1" xfId="0" applyNumberFormat="1" applyFont="1" applyBorder="1" applyAlignment="1">
      <alignment horizontal="center" vertical="center"/>
    </xf>
    <xf numFmtId="167" fontId="67" fillId="0" borderId="1" xfId="0" applyNumberFormat="1" applyFont="1" applyBorder="1" applyAlignment="1">
      <alignment horizontal="center" vertical="center"/>
    </xf>
    <xf numFmtId="167" fontId="67" fillId="0" borderId="1" xfId="0" applyNumberFormat="1" applyFont="1" applyBorder="1" applyAlignment="1">
      <alignment horizontal="center" vertical="center" wrapText="1"/>
    </xf>
    <xf numFmtId="167" fontId="69" fillId="6" borderId="1" xfId="0" applyNumberFormat="1" applyFont="1" applyFill="1" applyBorder="1" applyAlignment="1">
      <alignment horizontal="center" vertical="center"/>
    </xf>
    <xf numFmtId="168" fontId="67" fillId="4" borderId="1" xfId="0" applyNumberFormat="1" applyFont="1" applyFill="1" applyBorder="1" applyAlignment="1">
      <alignment horizontal="center" vertical="center"/>
    </xf>
    <xf numFmtId="10" fontId="67" fillId="0" borderId="1" xfId="0" applyNumberFormat="1" applyFont="1" applyBorder="1" applyAlignment="1">
      <alignment horizontal="center" vertical="center"/>
    </xf>
    <xf numFmtId="9" fontId="67" fillId="0" borderId="1" xfId="0" applyNumberFormat="1" applyFont="1" applyBorder="1" applyAlignment="1">
      <alignment horizontal="center" vertical="center"/>
    </xf>
    <xf numFmtId="9" fontId="67" fillId="4" borderId="1" xfId="0" applyNumberFormat="1" applyFont="1" applyFill="1" applyBorder="1" applyAlignment="1">
      <alignment horizontal="center" vertical="center" wrapText="1"/>
    </xf>
    <xf numFmtId="9" fontId="67" fillId="4" borderId="0" xfId="0" applyNumberFormat="1" applyFont="1" applyFill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4" fontId="66" fillId="0" borderId="1" xfId="0" applyNumberFormat="1" applyFont="1" applyBorder="1" applyAlignment="1">
      <alignment horizontal="center" vertical="center"/>
    </xf>
    <xf numFmtId="0" fontId="66" fillId="0" borderId="1" xfId="0" applyFont="1" applyBorder="1" applyAlignment="1">
      <alignment horizontal="center" vertical="center"/>
    </xf>
    <xf numFmtId="15" fontId="66" fillId="0" borderId="1" xfId="0" applyNumberFormat="1" applyFont="1" applyBorder="1" applyAlignment="1">
      <alignment horizontal="center" vertical="center" wrapText="1"/>
    </xf>
    <xf numFmtId="17" fontId="67" fillId="0" borderId="1" xfId="0" applyNumberFormat="1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68" fillId="4" borderId="1" xfId="0" applyFont="1" applyFill="1" applyBorder="1" applyAlignment="1">
      <alignment horizontal="center" vertical="center" wrapText="1"/>
    </xf>
    <xf numFmtId="166" fontId="67" fillId="4" borderId="1" xfId="0" applyNumberFormat="1" applyFont="1" applyFill="1" applyBorder="1" applyAlignment="1">
      <alignment horizontal="center" vertical="center"/>
    </xf>
    <xf numFmtId="15" fontId="67" fillId="0" borderId="1" xfId="0" applyNumberFormat="1" applyFont="1" applyBorder="1" applyAlignment="1">
      <alignment horizontal="center" vertical="center" wrapText="1"/>
    </xf>
    <xf numFmtId="1" fontId="67" fillId="4" borderId="1" xfId="0" applyNumberFormat="1" applyFont="1" applyFill="1" applyBorder="1" applyAlignment="1">
      <alignment horizontal="center" vertical="center"/>
    </xf>
    <xf numFmtId="0" fontId="68" fillId="0" borderId="1" xfId="0" applyFont="1" applyBorder="1"/>
    <xf numFmtId="169" fontId="67" fillId="4" borderId="1" xfId="0" applyNumberFormat="1" applyFont="1" applyFill="1" applyBorder="1" applyAlignment="1">
      <alignment vertical="center"/>
    </xf>
    <xf numFmtId="16" fontId="67" fillId="4" borderId="1" xfId="0" applyNumberFormat="1" applyFont="1" applyFill="1" applyBorder="1" applyAlignment="1">
      <alignment horizontal="center" vertical="center" wrapText="1"/>
    </xf>
    <xf numFmtId="3" fontId="67" fillId="4" borderId="1" xfId="0" applyNumberFormat="1" applyFont="1" applyFill="1" applyBorder="1" applyAlignment="1">
      <alignment horizontal="center" vertical="center"/>
    </xf>
    <xf numFmtId="166" fontId="67" fillId="8" borderId="1" xfId="0" applyNumberFormat="1" applyFont="1" applyFill="1" applyBorder="1" applyAlignment="1">
      <alignment horizontal="center" vertical="center"/>
    </xf>
    <xf numFmtId="15" fontId="67" fillId="4" borderId="1" xfId="0" applyNumberFormat="1" applyFont="1" applyFill="1" applyBorder="1" applyAlignment="1">
      <alignment horizontal="center" vertical="center" wrapText="1"/>
    </xf>
    <xf numFmtId="169" fontId="67" fillId="0" borderId="1" xfId="0" applyNumberFormat="1" applyFont="1" applyBorder="1" applyAlignment="1">
      <alignment horizontal="center" vertical="center"/>
    </xf>
    <xf numFmtId="166" fontId="67" fillId="9" borderId="1" xfId="0" applyNumberFormat="1" applyFont="1" applyFill="1" applyBorder="1" applyAlignment="1">
      <alignment horizontal="center" vertical="center"/>
    </xf>
    <xf numFmtId="0" fontId="70" fillId="4" borderId="1" xfId="0" applyFont="1" applyFill="1" applyBorder="1" applyAlignment="1">
      <alignment horizontal="center" vertical="center" wrapText="1"/>
    </xf>
    <xf numFmtId="15" fontId="70" fillId="4" borderId="1" xfId="0" applyNumberFormat="1" applyFont="1" applyFill="1" applyBorder="1" applyAlignment="1">
      <alignment horizontal="center" vertical="center" wrapText="1"/>
    </xf>
    <xf numFmtId="0" fontId="66" fillId="0" borderId="1" xfId="0" applyFont="1" applyBorder="1"/>
    <xf numFmtId="0" fontId="68" fillId="0" borderId="1" xfId="0" applyFont="1" applyBorder="1" applyAlignment="1">
      <alignment horizontal="center" vertical="center"/>
    </xf>
    <xf numFmtId="3" fontId="67" fillId="10" borderId="1" xfId="0" applyNumberFormat="1" applyFont="1" applyFill="1" applyBorder="1" applyAlignment="1">
      <alignment horizontal="center" vertical="center"/>
    </xf>
    <xf numFmtId="0" fontId="68" fillId="4" borderId="1" xfId="0" applyFont="1" applyFill="1" applyBorder="1" applyAlignment="1">
      <alignment horizontal="center" vertical="center"/>
    </xf>
    <xf numFmtId="0" fontId="68" fillId="4" borderId="0" xfId="0" applyFont="1" applyFill="1" applyAlignment="1">
      <alignment vertical="center"/>
    </xf>
    <xf numFmtId="0" fontId="66" fillId="0" borderId="0" xfId="0" applyFont="1" applyAlignment="1">
      <alignment wrapText="1"/>
    </xf>
    <xf numFmtId="14" fontId="67" fillId="34" borderId="1" xfId="0" applyNumberFormat="1" applyFont="1" applyFill="1" applyBorder="1" applyAlignment="1">
      <alignment horizontal="center" vertical="center" wrapText="1"/>
    </xf>
    <xf numFmtId="14" fontId="66" fillId="0" borderId="1" xfId="0" applyNumberFormat="1" applyFont="1" applyBorder="1" applyAlignment="1">
      <alignment horizontal="center" vertical="center" wrapText="1"/>
    </xf>
    <xf numFmtId="0" fontId="66" fillId="0" borderId="1" xfId="0" applyFont="1" applyBorder="1" applyAlignment="1">
      <alignment wrapText="1"/>
    </xf>
    <xf numFmtId="15" fontId="46" fillId="0" borderId="1" xfId="0" applyNumberFormat="1" applyFont="1" applyBorder="1" applyAlignment="1">
      <alignment horizontal="center" vertical="center" wrapText="1"/>
    </xf>
    <xf numFmtId="16" fontId="14" fillId="4" borderId="1" xfId="0" applyNumberFormat="1" applyFont="1" applyFill="1" applyBorder="1" applyAlignment="1">
      <alignment horizontal="center" vertical="center"/>
    </xf>
    <xf numFmtId="16" fontId="71" fillId="4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3E5A1"/>
      <rgbColor rgb="FF808080"/>
      <rgbColor rgb="FFC1F0C8"/>
      <rgbColor rgb="FF993366"/>
      <rgbColor rgb="FFFFFFCC"/>
      <rgbColor rgb="FFCAEDFB"/>
      <rgbColor rgb="FF660066"/>
      <rgbColor rgb="FFD76DCC"/>
      <rgbColor rgb="FF0563C1"/>
      <rgbColor rgb="FFC1E4F5"/>
      <rgbColor rgb="FF000080"/>
      <rgbColor rgb="FFFF00FF"/>
      <rgbColor rgb="FFE8E8E8"/>
      <rgbColor rgb="FF00FFFF"/>
      <rgbColor rgb="FF800080"/>
      <rgbColor rgb="FF800000"/>
      <rgbColor rgb="FF008080"/>
      <rgbColor rgb="FF0000D4"/>
      <rgbColor rgb="FF00CCFF"/>
      <rgbColor rgb="FFDBE9F7"/>
      <rgbColor rgb="FFD9F2D0"/>
      <rgbColor rgb="FFFAE2D5"/>
      <rgbColor rgb="FF95DCF7"/>
      <rgbColor rgb="FFE49EDD"/>
      <rgbColor rgb="FFFFC7CE"/>
      <rgbColor rgb="FFF6C6AC"/>
      <rgbColor rgb="FF3366FF"/>
      <rgbColor rgb="FF60CBF3"/>
      <rgbColor rgb="FF84E291"/>
      <rgbColor rgb="FFFFCC00"/>
      <rgbColor rgb="FFFF9900"/>
      <rgbColor rgb="FFFF6600"/>
      <rgbColor rgb="FF467886"/>
      <rgbColor rgb="FF969696"/>
      <rgbColor rgb="FF003366"/>
      <rgbColor rgb="FF339966"/>
      <rgbColor rgb="FF0C3512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4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.png"/><Relationship Id="rId3" Type="http://schemas.openxmlformats.org/officeDocument/2006/relationships/image" Target="../media/image18.png"/><Relationship Id="rId7" Type="http://schemas.openxmlformats.org/officeDocument/2006/relationships/image" Target="../media/image22.png"/><Relationship Id="rId2" Type="http://schemas.openxmlformats.org/officeDocument/2006/relationships/image" Target="../media/image17.png"/><Relationship Id="rId1" Type="http://schemas.openxmlformats.org/officeDocument/2006/relationships/image" Target="../media/image16.png"/><Relationship Id="rId6" Type="http://schemas.openxmlformats.org/officeDocument/2006/relationships/image" Target="../media/image21.png"/><Relationship Id="rId5" Type="http://schemas.openxmlformats.org/officeDocument/2006/relationships/image" Target="../media/image20.png"/><Relationship Id="rId4" Type="http://schemas.openxmlformats.org/officeDocument/2006/relationships/image" Target="../media/image19.png"/><Relationship Id="rId9" Type="http://schemas.openxmlformats.org/officeDocument/2006/relationships/image" Target="../media/image24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32.png"/><Relationship Id="rId3" Type="http://schemas.openxmlformats.org/officeDocument/2006/relationships/image" Target="../media/image27.png"/><Relationship Id="rId7" Type="http://schemas.openxmlformats.org/officeDocument/2006/relationships/image" Target="../media/image31.png"/><Relationship Id="rId2" Type="http://schemas.openxmlformats.org/officeDocument/2006/relationships/image" Target="../media/image26.png"/><Relationship Id="rId1" Type="http://schemas.openxmlformats.org/officeDocument/2006/relationships/image" Target="../media/image25.png"/><Relationship Id="rId6" Type="http://schemas.openxmlformats.org/officeDocument/2006/relationships/image" Target="../media/image30.png"/><Relationship Id="rId5" Type="http://schemas.openxmlformats.org/officeDocument/2006/relationships/image" Target="../media/image29.png"/><Relationship Id="rId4" Type="http://schemas.openxmlformats.org/officeDocument/2006/relationships/image" Target="../media/image28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40.png"/><Relationship Id="rId3" Type="http://schemas.openxmlformats.org/officeDocument/2006/relationships/image" Target="../media/image35.png"/><Relationship Id="rId7" Type="http://schemas.openxmlformats.org/officeDocument/2006/relationships/image" Target="../media/image39.png"/><Relationship Id="rId2" Type="http://schemas.openxmlformats.org/officeDocument/2006/relationships/image" Target="../media/image34.png"/><Relationship Id="rId1" Type="http://schemas.openxmlformats.org/officeDocument/2006/relationships/image" Target="../media/image33.png"/><Relationship Id="rId6" Type="http://schemas.openxmlformats.org/officeDocument/2006/relationships/image" Target="../media/image38.png"/><Relationship Id="rId5" Type="http://schemas.openxmlformats.org/officeDocument/2006/relationships/image" Target="../media/image37.png"/><Relationship Id="rId4" Type="http://schemas.openxmlformats.org/officeDocument/2006/relationships/image" Target="../media/image36.png"/></Relationships>
</file>

<file path=xl/drawings/_rels/drawing6.xml.rels><?xml version="1.0" encoding="UTF-8" standalone="yes"?>
<Relationships xmlns="http://schemas.openxmlformats.org/package/2006/relationships"><Relationship Id="rId26" Type="http://schemas.openxmlformats.org/officeDocument/2006/relationships/image" Target="../media/image66.png"/><Relationship Id="rId21" Type="http://schemas.openxmlformats.org/officeDocument/2006/relationships/image" Target="../media/image61.png"/><Relationship Id="rId34" Type="http://schemas.openxmlformats.org/officeDocument/2006/relationships/image" Target="../media/image74.jpeg"/><Relationship Id="rId42" Type="http://schemas.openxmlformats.org/officeDocument/2006/relationships/image" Target="../media/image82.png"/><Relationship Id="rId47" Type="http://schemas.openxmlformats.org/officeDocument/2006/relationships/image" Target="../media/image87.jpeg"/><Relationship Id="rId50" Type="http://schemas.openxmlformats.org/officeDocument/2006/relationships/image" Target="../media/image90.jpeg"/><Relationship Id="rId55" Type="http://schemas.openxmlformats.org/officeDocument/2006/relationships/image" Target="../media/image95.jpeg"/><Relationship Id="rId63" Type="http://schemas.openxmlformats.org/officeDocument/2006/relationships/image" Target="../media/image103.png"/><Relationship Id="rId7" Type="http://schemas.openxmlformats.org/officeDocument/2006/relationships/image" Target="../media/image47.png"/><Relationship Id="rId2" Type="http://schemas.openxmlformats.org/officeDocument/2006/relationships/image" Target="../media/image42.png"/><Relationship Id="rId16" Type="http://schemas.openxmlformats.org/officeDocument/2006/relationships/image" Target="../media/image56.png"/><Relationship Id="rId29" Type="http://schemas.openxmlformats.org/officeDocument/2006/relationships/image" Target="../media/image69.png"/><Relationship Id="rId11" Type="http://schemas.openxmlformats.org/officeDocument/2006/relationships/image" Target="../media/image51.png"/><Relationship Id="rId24" Type="http://schemas.openxmlformats.org/officeDocument/2006/relationships/image" Target="../media/image64.png"/><Relationship Id="rId32" Type="http://schemas.openxmlformats.org/officeDocument/2006/relationships/image" Target="../media/image72.png"/><Relationship Id="rId37" Type="http://schemas.openxmlformats.org/officeDocument/2006/relationships/image" Target="../media/image77.png"/><Relationship Id="rId40" Type="http://schemas.openxmlformats.org/officeDocument/2006/relationships/image" Target="../media/image80.png"/><Relationship Id="rId45" Type="http://schemas.openxmlformats.org/officeDocument/2006/relationships/image" Target="../media/image85.jpeg"/><Relationship Id="rId53" Type="http://schemas.openxmlformats.org/officeDocument/2006/relationships/image" Target="../media/image93.jpeg"/><Relationship Id="rId58" Type="http://schemas.openxmlformats.org/officeDocument/2006/relationships/image" Target="../media/image98.jpeg"/><Relationship Id="rId66" Type="http://schemas.openxmlformats.org/officeDocument/2006/relationships/image" Target="../media/image106.png"/><Relationship Id="rId5" Type="http://schemas.openxmlformats.org/officeDocument/2006/relationships/image" Target="../media/image45.png"/><Relationship Id="rId61" Type="http://schemas.openxmlformats.org/officeDocument/2006/relationships/image" Target="../media/image101.png"/><Relationship Id="rId19" Type="http://schemas.openxmlformats.org/officeDocument/2006/relationships/image" Target="../media/image59.png"/><Relationship Id="rId14" Type="http://schemas.openxmlformats.org/officeDocument/2006/relationships/image" Target="../media/image54.png"/><Relationship Id="rId22" Type="http://schemas.openxmlformats.org/officeDocument/2006/relationships/image" Target="../media/image62.png"/><Relationship Id="rId27" Type="http://schemas.openxmlformats.org/officeDocument/2006/relationships/image" Target="../media/image67.png"/><Relationship Id="rId30" Type="http://schemas.openxmlformats.org/officeDocument/2006/relationships/image" Target="../media/image70.png"/><Relationship Id="rId35" Type="http://schemas.openxmlformats.org/officeDocument/2006/relationships/image" Target="../media/image75.png"/><Relationship Id="rId43" Type="http://schemas.openxmlformats.org/officeDocument/2006/relationships/image" Target="../media/image83.png"/><Relationship Id="rId48" Type="http://schemas.openxmlformats.org/officeDocument/2006/relationships/image" Target="../media/image88.jpeg"/><Relationship Id="rId56" Type="http://schemas.openxmlformats.org/officeDocument/2006/relationships/image" Target="../media/image96.jpeg"/><Relationship Id="rId64" Type="http://schemas.openxmlformats.org/officeDocument/2006/relationships/image" Target="../media/image104.png"/><Relationship Id="rId8" Type="http://schemas.openxmlformats.org/officeDocument/2006/relationships/image" Target="../media/image48.png"/><Relationship Id="rId51" Type="http://schemas.openxmlformats.org/officeDocument/2006/relationships/image" Target="../media/image91.jpeg"/><Relationship Id="rId3" Type="http://schemas.openxmlformats.org/officeDocument/2006/relationships/image" Target="../media/image43.png"/><Relationship Id="rId12" Type="http://schemas.openxmlformats.org/officeDocument/2006/relationships/image" Target="../media/image52.png"/><Relationship Id="rId17" Type="http://schemas.openxmlformats.org/officeDocument/2006/relationships/image" Target="../media/image57.png"/><Relationship Id="rId25" Type="http://schemas.openxmlformats.org/officeDocument/2006/relationships/image" Target="../media/image65.png"/><Relationship Id="rId33" Type="http://schemas.openxmlformats.org/officeDocument/2006/relationships/image" Target="../media/image73.png"/><Relationship Id="rId38" Type="http://schemas.openxmlformats.org/officeDocument/2006/relationships/image" Target="../media/image78.png"/><Relationship Id="rId46" Type="http://schemas.openxmlformats.org/officeDocument/2006/relationships/image" Target="../media/image86.jpeg"/><Relationship Id="rId59" Type="http://schemas.openxmlformats.org/officeDocument/2006/relationships/image" Target="../media/image99.png"/><Relationship Id="rId67" Type="http://schemas.openxmlformats.org/officeDocument/2006/relationships/image" Target="../media/image107.png"/><Relationship Id="rId20" Type="http://schemas.openxmlformats.org/officeDocument/2006/relationships/image" Target="../media/image60.jpeg"/><Relationship Id="rId41" Type="http://schemas.openxmlformats.org/officeDocument/2006/relationships/image" Target="../media/image81.png"/><Relationship Id="rId54" Type="http://schemas.openxmlformats.org/officeDocument/2006/relationships/image" Target="../media/image94.jpeg"/><Relationship Id="rId62" Type="http://schemas.openxmlformats.org/officeDocument/2006/relationships/image" Target="../media/image102.png"/><Relationship Id="rId1" Type="http://schemas.openxmlformats.org/officeDocument/2006/relationships/image" Target="../media/image41.png"/><Relationship Id="rId6" Type="http://schemas.openxmlformats.org/officeDocument/2006/relationships/image" Target="../media/image46.png"/><Relationship Id="rId15" Type="http://schemas.openxmlformats.org/officeDocument/2006/relationships/image" Target="../media/image55.png"/><Relationship Id="rId23" Type="http://schemas.openxmlformats.org/officeDocument/2006/relationships/image" Target="../media/image63.png"/><Relationship Id="rId28" Type="http://schemas.openxmlformats.org/officeDocument/2006/relationships/image" Target="../media/image68.png"/><Relationship Id="rId36" Type="http://schemas.openxmlformats.org/officeDocument/2006/relationships/image" Target="../media/image76.jpeg"/><Relationship Id="rId49" Type="http://schemas.openxmlformats.org/officeDocument/2006/relationships/image" Target="../media/image89.jpeg"/><Relationship Id="rId57" Type="http://schemas.openxmlformats.org/officeDocument/2006/relationships/image" Target="../media/image97.jpeg"/><Relationship Id="rId10" Type="http://schemas.openxmlformats.org/officeDocument/2006/relationships/image" Target="../media/image50.png"/><Relationship Id="rId31" Type="http://schemas.openxmlformats.org/officeDocument/2006/relationships/image" Target="../media/image71.png"/><Relationship Id="rId44" Type="http://schemas.openxmlformats.org/officeDocument/2006/relationships/image" Target="../media/image84.jpeg"/><Relationship Id="rId52" Type="http://schemas.openxmlformats.org/officeDocument/2006/relationships/image" Target="../media/image92.jpeg"/><Relationship Id="rId60" Type="http://schemas.openxmlformats.org/officeDocument/2006/relationships/image" Target="../media/image100.png"/><Relationship Id="rId65" Type="http://schemas.openxmlformats.org/officeDocument/2006/relationships/image" Target="../media/image105.png"/><Relationship Id="rId4" Type="http://schemas.openxmlformats.org/officeDocument/2006/relationships/image" Target="../media/image44.jpeg"/><Relationship Id="rId9" Type="http://schemas.openxmlformats.org/officeDocument/2006/relationships/image" Target="../media/image49.png"/><Relationship Id="rId13" Type="http://schemas.openxmlformats.org/officeDocument/2006/relationships/image" Target="../media/image53.png"/><Relationship Id="rId18" Type="http://schemas.openxmlformats.org/officeDocument/2006/relationships/image" Target="../media/image58.png"/><Relationship Id="rId39" Type="http://schemas.openxmlformats.org/officeDocument/2006/relationships/image" Target="../media/image7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102</xdr:row>
      <xdr:rowOff>0</xdr:rowOff>
    </xdr:from>
    <xdr:to>
      <xdr:col>33</xdr:col>
      <xdr:colOff>313920</xdr:colOff>
      <xdr:row>102</xdr:row>
      <xdr:rowOff>313920</xdr:rowOff>
    </xdr:to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87000" y="556266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65</xdr:row>
      <xdr:rowOff>0</xdr:rowOff>
    </xdr:from>
    <xdr:to>
      <xdr:col>33</xdr:col>
      <xdr:colOff>313920</xdr:colOff>
      <xdr:row>65</xdr:row>
      <xdr:rowOff>313920</xdr:rowOff>
    </xdr:to>
    <xdr:sp macro="" textlink="">
      <xdr:nvSpPr>
        <xdr:cNvPr id="3" name="Shape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38187000" y="351266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93600</xdr:colOff>
      <xdr:row>62</xdr:row>
      <xdr:rowOff>812160</xdr:rowOff>
    </xdr:from>
    <xdr:to>
      <xdr:col>33</xdr:col>
      <xdr:colOff>2314328</xdr:colOff>
      <xdr:row>62</xdr:row>
      <xdr:rowOff>845685</xdr:rowOff>
    </xdr:to>
    <xdr:pic>
      <xdr:nvPicPr>
        <xdr:cNvPr id="4" name="image4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93600</xdr:colOff>
      <xdr:row>62</xdr:row>
      <xdr:rowOff>812160</xdr:rowOff>
    </xdr:from>
    <xdr:to>
      <xdr:col>33</xdr:col>
      <xdr:colOff>2314328</xdr:colOff>
      <xdr:row>62</xdr:row>
      <xdr:rowOff>845685</xdr:rowOff>
    </xdr:to>
    <xdr:pic>
      <xdr:nvPicPr>
        <xdr:cNvPr id="5" name="image4.png 1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14</xdr:col>
      <xdr:colOff>0</xdr:colOff>
      <xdr:row>63</xdr:row>
      <xdr:rowOff>0</xdr:rowOff>
    </xdr:from>
    <xdr:to>
      <xdr:col>33</xdr:col>
      <xdr:colOff>313920</xdr:colOff>
      <xdr:row>63</xdr:row>
      <xdr:rowOff>313920</xdr:rowOff>
    </xdr:to>
    <xdr:sp macro="" textlink="">
      <xdr:nvSpPr>
        <xdr:cNvPr id="6" name="Shape 1">
          <a:extLst>
            <a:ext uri="{FF2B5EF4-FFF2-40B4-BE49-F238E27FC236}">
              <a16:creationId xmlns:a16="http://schemas.microsoft.com/office/drawing/2014/main" id="{25AFAB88-A71D-4437-A65E-1AEBE8E4199E}"/>
            </a:ext>
            <a:ext uri="{147F2762-F138-4A5C-976F-8EAC2B608ADB}">
              <a16:predDERef xmlns:a16="http://schemas.microsoft.com/office/drawing/2014/main" pred="{00000000-0008-0000-0100-000005000000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64</xdr:row>
      <xdr:rowOff>0</xdr:rowOff>
    </xdr:from>
    <xdr:to>
      <xdr:col>33</xdr:col>
      <xdr:colOff>313920</xdr:colOff>
      <xdr:row>64</xdr:row>
      <xdr:rowOff>313920</xdr:rowOff>
    </xdr:to>
    <xdr:sp macro="" textlink="">
      <xdr:nvSpPr>
        <xdr:cNvPr id="7" name="Shape 1">
          <a:extLst>
            <a:ext uri="{FF2B5EF4-FFF2-40B4-BE49-F238E27FC236}">
              <a16:creationId xmlns:a16="http://schemas.microsoft.com/office/drawing/2014/main" id="{BF06E520-6F85-4D62-8283-1DBB4A340CC3}"/>
            </a:ext>
            <a:ext uri="{147F2762-F138-4A5C-976F-8EAC2B608ADB}">
              <a16:predDERef xmlns:a16="http://schemas.microsoft.com/office/drawing/2014/main" pred="{25AFAB88-A71D-4437-A65E-1AEBE8E4199E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317095</xdr:rowOff>
    </xdr:to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317095</xdr:rowOff>
    </xdr:to>
    <xdr:sp macro="" textlink="">
      <xdr:nvSpPr>
        <xdr:cNvPr id="5" name="Shape 2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317095</xdr:rowOff>
    </xdr:to>
    <xdr:sp macro="" textlink="">
      <xdr:nvSpPr>
        <xdr:cNvPr id="6" name="Shap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317095</xdr:rowOff>
    </xdr:to>
    <xdr:sp macro="" textlink="">
      <xdr:nvSpPr>
        <xdr:cNvPr id="7" name="Shap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0</xdr:rowOff>
    </xdr:from>
    <xdr:to>
      <xdr:col>8</xdr:col>
      <xdr:colOff>304560</xdr:colOff>
      <xdr:row>19</xdr:row>
      <xdr:rowOff>317095</xdr:rowOff>
    </xdr:to>
    <xdr:sp macro="" textlink="">
      <xdr:nvSpPr>
        <xdr:cNvPr id="8" name="Shap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6502320" y="38672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122760</xdr:rowOff>
    </xdr:from>
    <xdr:to>
      <xdr:col>8</xdr:col>
      <xdr:colOff>304560</xdr:colOff>
      <xdr:row>19</xdr:row>
      <xdr:rowOff>436680</xdr:rowOff>
    </xdr:to>
    <xdr:sp macro="" textlink="">
      <xdr:nvSpPr>
        <xdr:cNvPr id="9" name="Shap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6502320" y="3879504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20</xdr:row>
      <xdr:rowOff>0</xdr:rowOff>
    </xdr:from>
    <xdr:to>
      <xdr:col>8</xdr:col>
      <xdr:colOff>323640</xdr:colOff>
      <xdr:row>20</xdr:row>
      <xdr:rowOff>323640</xdr:rowOff>
    </xdr:to>
    <xdr:sp macro="" textlink="">
      <xdr:nvSpPr>
        <xdr:cNvPr id="10" name="Shap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/>
      </xdr:nvSpPr>
      <xdr:spPr>
        <a:xfrm>
          <a:off x="6502320" y="44048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387000</xdr:colOff>
      <xdr:row>22</xdr:row>
      <xdr:rowOff>1041840</xdr:rowOff>
    </xdr:from>
    <xdr:to>
      <xdr:col>7</xdr:col>
      <xdr:colOff>1991888</xdr:colOff>
      <xdr:row>23</xdr:row>
      <xdr:rowOff>260</xdr:rowOff>
    </xdr:to>
    <xdr:pic>
      <xdr:nvPicPr>
        <xdr:cNvPr id="11" name="image9.png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076440" y="62045640"/>
          <a:ext cx="1609200" cy="2171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474018</xdr:colOff>
      <xdr:row>16</xdr:row>
      <xdr:rowOff>1028620</xdr:rowOff>
    </xdr:from>
    <xdr:to>
      <xdr:col>7</xdr:col>
      <xdr:colOff>2888007</xdr:colOff>
      <xdr:row>16</xdr:row>
      <xdr:rowOff>2849277</xdr:rowOff>
    </xdr:to>
    <xdr:pic>
      <xdr:nvPicPr>
        <xdr:cNvPr id="12" name="image13.png" descr="MN.001_Balsamo_Banana.psd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7619018" y="7457995"/>
          <a:ext cx="2413989" cy="1814307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194865</xdr:colOff>
      <xdr:row>17</xdr:row>
      <xdr:rowOff>967477</xdr:rowOff>
    </xdr:from>
    <xdr:to>
      <xdr:col>7</xdr:col>
      <xdr:colOff>2707234</xdr:colOff>
      <xdr:row>17</xdr:row>
      <xdr:rowOff>3373782</xdr:rowOff>
    </xdr:to>
    <xdr:pic>
      <xdr:nvPicPr>
        <xdr:cNvPr id="13" name="image12.png" descr="MN.002_CottonCandy.psd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7339865" y="11135415"/>
          <a:ext cx="2512369" cy="241265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502882</xdr:colOff>
      <xdr:row>18</xdr:row>
      <xdr:rowOff>104345</xdr:rowOff>
    </xdr:from>
    <xdr:to>
      <xdr:col>7</xdr:col>
      <xdr:colOff>2260245</xdr:colOff>
      <xdr:row>18</xdr:row>
      <xdr:rowOff>1516833</xdr:rowOff>
    </xdr:to>
    <xdr:pic>
      <xdr:nvPicPr>
        <xdr:cNvPr id="14" name="image15.png" descr="MN.003_Set3Balsamos.psd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7647882" y="14010845"/>
          <a:ext cx="1757363" cy="1406138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147240</xdr:colOff>
      <xdr:row>19</xdr:row>
      <xdr:rowOff>142560</xdr:rowOff>
    </xdr:from>
    <xdr:to>
      <xdr:col>7</xdr:col>
      <xdr:colOff>2488249</xdr:colOff>
      <xdr:row>19</xdr:row>
      <xdr:rowOff>1494705</xdr:rowOff>
    </xdr:to>
    <xdr:pic>
      <xdr:nvPicPr>
        <xdr:cNvPr id="15" name="image10.png" descr="MN.006_JabónLíquido-Banana.psd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5836680" y="38814840"/>
          <a:ext cx="2352240" cy="2142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76320</xdr:colOff>
      <xdr:row>22</xdr:row>
      <xdr:rowOff>715680</xdr:rowOff>
    </xdr:from>
    <xdr:to>
      <xdr:col>7</xdr:col>
      <xdr:colOff>1428106</xdr:colOff>
      <xdr:row>23</xdr:row>
      <xdr:rowOff>960</xdr:rowOff>
    </xdr:to>
    <xdr:pic>
      <xdr:nvPicPr>
        <xdr:cNvPr id="16" name="image18.png" descr="MN.009_Crema Corporal.psd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5765760" y="61719480"/>
          <a:ext cx="1361880" cy="2409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152640</xdr:colOff>
      <xdr:row>20</xdr:row>
      <xdr:rowOff>502920</xdr:rowOff>
    </xdr:from>
    <xdr:to>
      <xdr:col>7</xdr:col>
      <xdr:colOff>2268823</xdr:colOff>
      <xdr:row>20</xdr:row>
      <xdr:rowOff>1493025</xdr:rowOff>
    </xdr:to>
    <xdr:pic>
      <xdr:nvPicPr>
        <xdr:cNvPr id="17" name="image8.png" descr="MN.007_JabónLíquido-CottonCandy.psd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5842080" y="44551080"/>
          <a:ext cx="2142720" cy="2085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24</xdr:row>
      <xdr:rowOff>946800</xdr:rowOff>
    </xdr:from>
    <xdr:to>
      <xdr:col>7</xdr:col>
      <xdr:colOff>2143578</xdr:colOff>
      <xdr:row>24</xdr:row>
      <xdr:rowOff>2502295</xdr:rowOff>
    </xdr:to>
    <xdr:pic>
      <xdr:nvPicPr>
        <xdr:cNvPr id="18" name="image7.png" descr="MN.011_Perfume.psd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5843880" y="83455560"/>
          <a:ext cx="1999800" cy="1552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60120</xdr:colOff>
      <xdr:row>23</xdr:row>
      <xdr:rowOff>426600</xdr:rowOff>
    </xdr:from>
    <xdr:to>
      <xdr:col>7</xdr:col>
      <xdr:colOff>2668084</xdr:colOff>
      <xdr:row>24</xdr:row>
      <xdr:rowOff>670</xdr:rowOff>
    </xdr:to>
    <xdr:pic>
      <xdr:nvPicPr>
        <xdr:cNvPr id="19" name="image6.png" descr="MN.017_Perfume.psd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5749560" y="71355600"/>
          <a:ext cx="2628720" cy="266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21</xdr:row>
      <xdr:rowOff>147600</xdr:rowOff>
    </xdr:from>
    <xdr:to>
      <xdr:col>7</xdr:col>
      <xdr:colOff>2134218</xdr:colOff>
      <xdr:row>21</xdr:row>
      <xdr:rowOff>2388895</xdr:rowOff>
    </xdr:to>
    <xdr:pic>
      <xdr:nvPicPr>
        <xdr:cNvPr id="20" name="image17.png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5843880" y="50812200"/>
          <a:ext cx="1990440" cy="2238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28080</xdr:colOff>
      <xdr:row>25</xdr:row>
      <xdr:rowOff>390600</xdr:rowOff>
    </xdr:from>
    <xdr:to>
      <xdr:col>7</xdr:col>
      <xdr:colOff>2001343</xdr:colOff>
      <xdr:row>26</xdr:row>
      <xdr:rowOff>1574</xdr:rowOff>
    </xdr:to>
    <xdr:pic>
      <xdr:nvPicPr>
        <xdr:cNvPr id="21" name="image14.png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5717520" y="94479120"/>
          <a:ext cx="1999800" cy="2152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312480</xdr:colOff>
      <xdr:row>25</xdr:row>
      <xdr:rowOff>643320</xdr:rowOff>
    </xdr:from>
    <xdr:to>
      <xdr:col>7</xdr:col>
      <xdr:colOff>2203403</xdr:colOff>
      <xdr:row>26</xdr:row>
      <xdr:rowOff>264</xdr:rowOff>
    </xdr:to>
    <xdr:pic>
      <xdr:nvPicPr>
        <xdr:cNvPr id="22" name="image5.png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6001920" y="94731840"/>
          <a:ext cx="1904760" cy="2133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31680</xdr:colOff>
      <xdr:row>26</xdr:row>
      <xdr:rowOff>439560</xdr:rowOff>
    </xdr:from>
    <xdr:to>
      <xdr:col>7</xdr:col>
      <xdr:colOff>1973298</xdr:colOff>
      <xdr:row>27</xdr:row>
      <xdr:rowOff>2940</xdr:rowOff>
    </xdr:to>
    <xdr:pic>
      <xdr:nvPicPr>
        <xdr:cNvPr id="23" name="image11.png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5721120" y="100731600"/>
          <a:ext cx="1952280" cy="1942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310680</xdr:colOff>
      <xdr:row>26</xdr:row>
      <xdr:rowOff>568440</xdr:rowOff>
    </xdr:from>
    <xdr:to>
      <xdr:col>7</xdr:col>
      <xdr:colOff>1820363</xdr:colOff>
      <xdr:row>26</xdr:row>
      <xdr:rowOff>1865340</xdr:rowOff>
    </xdr:to>
    <xdr:pic>
      <xdr:nvPicPr>
        <xdr:cNvPr id="24" name="image16.png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6000120" y="100860480"/>
          <a:ext cx="1523520" cy="1923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100800</xdr:colOff>
      <xdr:row>32</xdr:row>
      <xdr:rowOff>2117160</xdr:rowOff>
    </xdr:from>
    <xdr:to>
      <xdr:col>7</xdr:col>
      <xdr:colOff>487676</xdr:colOff>
      <xdr:row>32</xdr:row>
      <xdr:rowOff>2896217</xdr:rowOff>
    </xdr:to>
    <xdr:grpSp>
      <xdr:nvGrpSpPr>
        <xdr:cNvPr id="25" name="Shape 12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GrpSpPr/>
      </xdr:nvGrpSpPr>
      <xdr:grpSpPr>
        <a:xfrm>
          <a:off x="15007425" y="67391985"/>
          <a:ext cx="1968026" cy="779057"/>
          <a:chOff x="9355320" y="280378440"/>
          <a:chExt cx="2037960" cy="1914120"/>
        </a:xfrm>
      </xdr:grpSpPr>
      <xdr:grpSp>
        <xdr:nvGrpSpPr>
          <xdr:cNvPr id="26" name="Shape 13">
            <a:extLst>
              <a:ext uri="{FF2B5EF4-FFF2-40B4-BE49-F238E27FC236}">
                <a16:creationId xmlns:a16="http://schemas.microsoft.com/office/drawing/2014/main" id="{00000000-0008-0000-0400-00001A000000}"/>
              </a:ext>
            </a:extLst>
          </xdr:cNvPr>
          <xdr:cNvGrpSpPr/>
        </xdr:nvGrpSpPr>
        <xdr:grpSpPr>
          <a:xfrm>
            <a:off x="9355320" y="280378440"/>
            <a:ext cx="2037960" cy="1914120"/>
            <a:chOff x="9355320" y="280378440"/>
            <a:chExt cx="2037960" cy="1914120"/>
          </a:xfrm>
        </xdr:grpSpPr>
        <xdr:sp macro="" textlink="">
          <xdr:nvSpPr>
            <xdr:cNvPr id="27" name="Shape 14">
              <a:extLst>
                <a:ext uri="{FF2B5EF4-FFF2-40B4-BE49-F238E27FC236}">
                  <a16:creationId xmlns:a16="http://schemas.microsoft.com/office/drawing/2014/main" id="{00000000-0008-0000-0400-00001B000000}"/>
                </a:ext>
              </a:extLst>
            </xdr:cNvPr>
            <xdr:cNvSpPr/>
          </xdr:nvSpPr>
          <xdr:spPr>
            <a:xfrm>
              <a:off x="935532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28" name="Shape 15">
              <a:extLst>
                <a:ext uri="{FF2B5EF4-FFF2-40B4-BE49-F238E27FC236}">
                  <a16:creationId xmlns:a16="http://schemas.microsoft.com/office/drawing/2014/main" id="{00000000-0008-0000-0400-00001C000000}"/>
                </a:ext>
              </a:extLst>
            </xdr:cNvPr>
            <xdr:cNvGrpSpPr/>
          </xdr:nvGrpSpPr>
          <xdr:grpSpPr>
            <a:xfrm>
              <a:off x="9355320" y="280378440"/>
              <a:ext cx="2037960" cy="1914120"/>
              <a:chOff x="9355320" y="280378440"/>
              <a:chExt cx="2037960" cy="1914120"/>
            </a:xfrm>
          </xdr:grpSpPr>
          <xdr:sp macro="" textlink="">
            <xdr:nvSpPr>
              <xdr:cNvPr id="29" name="Shape 16">
                <a:extLst>
                  <a:ext uri="{FF2B5EF4-FFF2-40B4-BE49-F238E27FC236}">
                    <a16:creationId xmlns:a16="http://schemas.microsoft.com/office/drawing/2014/main" id="{00000000-0008-0000-0400-00001D000000}"/>
                  </a:ext>
                </a:extLst>
              </xdr:cNvPr>
              <xdr:cNvSpPr/>
            </xdr:nvSpPr>
            <xdr:spPr>
              <a:xfrm>
                <a:off x="9355320" y="280378440"/>
                <a:ext cx="2037960" cy="19141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0" name="Shape 17">
                <a:extLst>
                  <a:ext uri="{FF2B5EF4-FFF2-40B4-BE49-F238E27FC236}">
                    <a16:creationId xmlns:a16="http://schemas.microsoft.com/office/drawing/2014/main" id="{00000000-0008-0000-0400-00001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28391" t="6683" r="27615" b="8692"/>
              <a:stretch/>
            </xdr:blipFill>
            <xdr:spPr>
              <a:xfrm>
                <a:off x="9355320" y="280405440"/>
                <a:ext cx="1039680" cy="18871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1" name="Shape 18">
                <a:extLst>
                  <a:ext uri="{FF2B5EF4-FFF2-40B4-BE49-F238E27FC236}">
                    <a16:creationId xmlns:a16="http://schemas.microsoft.com/office/drawing/2014/main" id="{00000000-0008-0000-0400-00001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33412" t="8351" r="33193" b="7011"/>
              <a:stretch/>
            </xdr:blipFill>
            <xdr:spPr>
              <a:xfrm>
                <a:off x="10624320" y="280378440"/>
                <a:ext cx="768960" cy="18601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31</xdr:row>
      <xdr:rowOff>4535966</xdr:rowOff>
    </xdr:to>
    <xdr:grpSp>
      <xdr:nvGrpSpPr>
        <xdr:cNvPr id="32" name="Shape 10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GrpSpPr/>
      </xdr:nvGrpSpPr>
      <xdr:grpSpPr>
        <a:xfrm>
          <a:off x="15044505" y="63307410"/>
          <a:ext cx="1898251" cy="1140806"/>
          <a:chOff x="9392400" y="256704840"/>
          <a:chExt cx="1971360" cy="1904760"/>
        </a:xfrm>
      </xdr:grpSpPr>
      <xdr:grpSp>
        <xdr:nvGrpSpPr>
          <xdr:cNvPr id="33" name="Shape 11">
            <a:extLst>
              <a:ext uri="{FF2B5EF4-FFF2-40B4-BE49-F238E27FC236}">
                <a16:creationId xmlns:a16="http://schemas.microsoft.com/office/drawing/2014/main" id="{00000000-0008-0000-0400-000021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34" name="Shape 19">
              <a:extLst>
                <a:ext uri="{FF2B5EF4-FFF2-40B4-BE49-F238E27FC236}">
                  <a16:creationId xmlns:a16="http://schemas.microsoft.com/office/drawing/2014/main" id="{00000000-0008-0000-0400-000022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35" name="Shape 20">
              <a:extLst>
                <a:ext uri="{FF2B5EF4-FFF2-40B4-BE49-F238E27FC236}">
                  <a16:creationId xmlns:a16="http://schemas.microsoft.com/office/drawing/2014/main" id="{00000000-0008-0000-0400-000023000000}"/>
                </a:ext>
              </a:extLst>
            </xdr:cNvPr>
            <xdr:cNvGrpSpPr/>
          </xdr:nvGrpSpPr>
          <xdr:grpSpPr>
            <a:xfrm>
              <a:off x="9392400" y="256704840"/>
              <a:ext cx="1971360" cy="1904760"/>
              <a:chOff x="9392400" y="256704840"/>
              <a:chExt cx="1971360" cy="1904760"/>
            </a:xfrm>
          </xdr:grpSpPr>
          <xdr:sp macro="" textlink="">
            <xdr:nvSpPr>
              <xdr:cNvPr id="36" name="Shape 21">
                <a:extLst>
                  <a:ext uri="{FF2B5EF4-FFF2-40B4-BE49-F238E27FC236}">
                    <a16:creationId xmlns:a16="http://schemas.microsoft.com/office/drawing/2014/main" id="{00000000-0008-0000-0400-000024000000}"/>
                  </a:ext>
                </a:extLst>
              </xdr:cNvPr>
              <xdr:cNvSpPr/>
            </xdr:nvSpPr>
            <xdr:spPr>
              <a:xfrm>
                <a:off x="9392400" y="256704840"/>
                <a:ext cx="1971360" cy="19047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7" name="Shape 22">
                <a:extLst>
                  <a:ext uri="{FF2B5EF4-FFF2-40B4-BE49-F238E27FC236}">
                    <a16:creationId xmlns:a16="http://schemas.microsoft.com/office/drawing/2014/main" id="{00000000-0008-0000-0400-000025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29518" t="7246" r="28176" b="7580"/>
              <a:stretch/>
            </xdr:blipFill>
            <xdr:spPr>
              <a:xfrm>
                <a:off x="9392400" y="256704840"/>
                <a:ext cx="895680" cy="18169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8" name="Shape 23">
                <a:extLst>
                  <a:ext uri="{FF2B5EF4-FFF2-40B4-BE49-F238E27FC236}">
                    <a16:creationId xmlns:a16="http://schemas.microsoft.com/office/drawing/2014/main" id="{00000000-0008-0000-0400-000026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33966" t="7796" r="29852" b="4231"/>
              <a:stretch/>
            </xdr:blipFill>
            <xdr:spPr>
              <a:xfrm>
                <a:off x="10582560" y="256732920"/>
                <a:ext cx="781200" cy="18763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317095</xdr:colOff>
      <xdr:row>60</xdr:row>
      <xdr:rowOff>317095</xdr:rowOff>
    </xdr:to>
    <xdr:sp macro="" textlink="">
      <xdr:nvSpPr>
        <xdr:cNvPr id="39" name="Shape 24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9254520" y="878909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317095</xdr:colOff>
      <xdr:row>56</xdr:row>
      <xdr:rowOff>317095</xdr:rowOff>
    </xdr:to>
    <xdr:sp macro="" textlink="">
      <xdr:nvSpPr>
        <xdr:cNvPr id="40" name="Shape 25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9254520" y="786650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3535560</xdr:rowOff>
    </xdr:from>
    <xdr:to>
      <xdr:col>7</xdr:col>
      <xdr:colOff>332876</xdr:colOff>
      <xdr:row>56</xdr:row>
      <xdr:rowOff>4536775</xdr:rowOff>
    </xdr:to>
    <xdr:grpSp>
      <xdr:nvGrpSpPr>
        <xdr:cNvPr id="41" name="Shape 26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GrpSpPr/>
      </xdr:nvGrpSpPr>
      <xdr:grpSpPr>
        <a:xfrm>
          <a:off x="15062145" y="205789410"/>
          <a:ext cx="1758506" cy="1001215"/>
          <a:chOff x="9410040" y="790185600"/>
          <a:chExt cx="1828440" cy="1704600"/>
        </a:xfrm>
      </xdr:grpSpPr>
      <xdr:grpSp>
        <xdr:nvGrpSpPr>
          <xdr:cNvPr id="42" name="Shape 27">
            <a:extLst>
              <a:ext uri="{FF2B5EF4-FFF2-40B4-BE49-F238E27FC236}">
                <a16:creationId xmlns:a16="http://schemas.microsoft.com/office/drawing/2014/main" id="{00000000-0008-0000-0400-00002A000000}"/>
              </a:ext>
            </a:extLst>
          </xdr:cNvPr>
          <xdr:cNvGrpSpPr/>
        </xdr:nvGrpSpPr>
        <xdr:grpSpPr>
          <a:xfrm>
            <a:off x="9410040" y="790185600"/>
            <a:ext cx="1828440" cy="1704600"/>
            <a:chOff x="9410040" y="790185600"/>
            <a:chExt cx="1828440" cy="1704600"/>
          </a:xfrm>
        </xdr:grpSpPr>
        <xdr:sp macro="" textlink="">
          <xdr:nvSpPr>
            <xdr:cNvPr id="43" name="Shape 28">
              <a:extLst>
                <a:ext uri="{FF2B5EF4-FFF2-40B4-BE49-F238E27FC236}">
                  <a16:creationId xmlns:a16="http://schemas.microsoft.com/office/drawing/2014/main" id="{00000000-0008-0000-0400-00002B000000}"/>
                </a:ext>
              </a:extLst>
            </xdr:cNvPr>
            <xdr:cNvSpPr/>
          </xdr:nvSpPr>
          <xdr:spPr>
            <a:xfrm>
              <a:off x="9410040" y="790185600"/>
              <a:ext cx="1828440" cy="170460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44" name="Shape 29">
              <a:extLst>
                <a:ext uri="{FF2B5EF4-FFF2-40B4-BE49-F238E27FC236}">
                  <a16:creationId xmlns:a16="http://schemas.microsoft.com/office/drawing/2014/main" id="{00000000-0008-0000-0400-00002C000000}"/>
                </a:ext>
              </a:extLst>
            </xdr:cNvPr>
            <xdr:cNvGrpSpPr/>
          </xdr:nvGrpSpPr>
          <xdr:grpSpPr>
            <a:xfrm>
              <a:off x="9410040" y="790185600"/>
              <a:ext cx="1828440" cy="1704600"/>
              <a:chOff x="9410040" y="790185600"/>
              <a:chExt cx="1828440" cy="1704600"/>
            </a:xfrm>
          </xdr:grpSpPr>
          <xdr:sp macro="" textlink="">
            <xdr:nvSpPr>
              <xdr:cNvPr id="45" name="Shape 30">
                <a:extLst>
                  <a:ext uri="{FF2B5EF4-FFF2-40B4-BE49-F238E27FC236}">
                    <a16:creationId xmlns:a16="http://schemas.microsoft.com/office/drawing/2014/main" id="{00000000-0008-0000-0400-00002D000000}"/>
                  </a:ext>
                </a:extLst>
              </xdr:cNvPr>
              <xdr:cNvSpPr/>
            </xdr:nvSpPr>
            <xdr:spPr>
              <a:xfrm>
                <a:off x="9410040" y="790185600"/>
                <a:ext cx="1828440" cy="170460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46" name="Shape 31">
                <a:extLst>
                  <a:ext uri="{FF2B5EF4-FFF2-40B4-BE49-F238E27FC236}">
                    <a16:creationId xmlns:a16="http://schemas.microsoft.com/office/drawing/2014/main" id="{00000000-0008-0000-0400-00002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5"/>
              <a:srcRect l="39994" t="21153" r="33329" b="21487"/>
              <a:stretch/>
            </xdr:blipFill>
            <xdr:spPr>
              <a:xfrm>
                <a:off x="10451160" y="790192440"/>
                <a:ext cx="786960" cy="169776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47" name="Shape 32">
                <a:extLst>
                  <a:ext uri="{FF2B5EF4-FFF2-40B4-BE49-F238E27FC236}">
                    <a16:creationId xmlns:a16="http://schemas.microsoft.com/office/drawing/2014/main" id="{00000000-0008-0000-0400-00002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6"/>
              <a:stretch/>
            </xdr:blipFill>
            <xdr:spPr>
              <a:xfrm>
                <a:off x="9410040" y="790185600"/>
                <a:ext cx="745200" cy="15606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317095</xdr:colOff>
      <xdr:row>68</xdr:row>
      <xdr:rowOff>317095</xdr:rowOff>
    </xdr:to>
    <xdr:sp macro="" textlink="">
      <xdr:nvSpPr>
        <xdr:cNvPr id="48" name="Shape 33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SpPr/>
      </xdr:nvSpPr>
      <xdr:spPr>
        <a:xfrm>
          <a:off x="9254520" y="10812956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102960</xdr:colOff>
      <xdr:row>32</xdr:row>
      <xdr:rowOff>2117160</xdr:rowOff>
    </xdr:from>
    <xdr:to>
      <xdr:col>7</xdr:col>
      <xdr:colOff>496186</xdr:colOff>
      <xdr:row>32</xdr:row>
      <xdr:rowOff>2896217</xdr:rowOff>
    </xdr:to>
    <xdr:grpSp>
      <xdr:nvGrpSpPr>
        <xdr:cNvPr id="49" name="Shape 34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GrpSpPr/>
      </xdr:nvGrpSpPr>
      <xdr:grpSpPr>
        <a:xfrm>
          <a:off x="15009585" y="67391985"/>
          <a:ext cx="1974376" cy="779057"/>
          <a:chOff x="9357480" y="280378440"/>
          <a:chExt cx="2037960" cy="1914120"/>
        </a:xfrm>
      </xdr:grpSpPr>
      <xdr:grpSp>
        <xdr:nvGrpSpPr>
          <xdr:cNvPr id="50" name="Shape 35">
            <a:extLst>
              <a:ext uri="{FF2B5EF4-FFF2-40B4-BE49-F238E27FC236}">
                <a16:creationId xmlns:a16="http://schemas.microsoft.com/office/drawing/2014/main" id="{00000000-0008-0000-0400-000032000000}"/>
              </a:ext>
            </a:extLst>
          </xdr:cNvPr>
          <xdr:cNvGrpSpPr/>
        </xdr:nvGrpSpPr>
        <xdr:grpSpPr>
          <a:xfrm>
            <a:off x="9357480" y="280378440"/>
            <a:ext cx="2037960" cy="1914120"/>
            <a:chOff x="9357480" y="280378440"/>
            <a:chExt cx="2037960" cy="1914120"/>
          </a:xfrm>
        </xdr:grpSpPr>
        <xdr:sp macro="" textlink="">
          <xdr:nvSpPr>
            <xdr:cNvPr id="51" name="Shape 36">
              <a:extLst>
                <a:ext uri="{FF2B5EF4-FFF2-40B4-BE49-F238E27FC236}">
                  <a16:creationId xmlns:a16="http://schemas.microsoft.com/office/drawing/2014/main" id="{00000000-0008-0000-0400-000033000000}"/>
                </a:ext>
              </a:extLst>
            </xdr:cNvPr>
            <xdr:cNvSpPr/>
          </xdr:nvSpPr>
          <xdr:spPr>
            <a:xfrm>
              <a:off x="935748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2" name="Shape 37">
              <a:extLst>
                <a:ext uri="{FF2B5EF4-FFF2-40B4-BE49-F238E27FC236}">
                  <a16:creationId xmlns:a16="http://schemas.microsoft.com/office/drawing/2014/main" id="{00000000-0008-0000-0400-00003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28391" t="6683" r="27615" b="8692"/>
            <a:stretch/>
          </xdr:blipFill>
          <xdr:spPr>
            <a:xfrm>
              <a:off x="9357480" y="280405440"/>
              <a:ext cx="1039680" cy="188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3" name="Shape 38">
              <a:extLst>
                <a:ext uri="{FF2B5EF4-FFF2-40B4-BE49-F238E27FC236}">
                  <a16:creationId xmlns:a16="http://schemas.microsoft.com/office/drawing/2014/main" id="{00000000-0008-0000-0400-000035000000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rcRect l="33412" t="8350" r="33193" b="7021"/>
            <a:stretch/>
          </xdr:blipFill>
          <xdr:spPr>
            <a:xfrm>
              <a:off x="10626120" y="280378440"/>
              <a:ext cx="768960" cy="18601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31</xdr:row>
      <xdr:rowOff>4535966</xdr:rowOff>
    </xdr:to>
    <xdr:grpSp>
      <xdr:nvGrpSpPr>
        <xdr:cNvPr id="54" name="Shape 39">
          <a:extLst>
            <a:ext uri="{FF2B5EF4-FFF2-40B4-BE49-F238E27FC236}">
              <a16:creationId xmlns:a16="http://schemas.microsoft.com/office/drawing/2014/main" id="{00000000-0008-0000-0400-000036000000}"/>
            </a:ext>
          </a:extLst>
        </xdr:cNvPr>
        <xdr:cNvGrpSpPr/>
      </xdr:nvGrpSpPr>
      <xdr:grpSpPr>
        <a:xfrm>
          <a:off x="15044505" y="63307410"/>
          <a:ext cx="1898251" cy="1140806"/>
          <a:chOff x="9392400" y="256704840"/>
          <a:chExt cx="1971360" cy="1904760"/>
        </a:xfrm>
      </xdr:grpSpPr>
      <xdr:grpSp>
        <xdr:nvGrpSpPr>
          <xdr:cNvPr id="55" name="Shape 40">
            <a:extLst>
              <a:ext uri="{FF2B5EF4-FFF2-40B4-BE49-F238E27FC236}">
                <a16:creationId xmlns:a16="http://schemas.microsoft.com/office/drawing/2014/main" id="{00000000-0008-0000-0400-000037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56" name="Shape 41">
              <a:extLst>
                <a:ext uri="{FF2B5EF4-FFF2-40B4-BE49-F238E27FC236}">
                  <a16:creationId xmlns:a16="http://schemas.microsoft.com/office/drawing/2014/main" id="{00000000-0008-0000-0400-000038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7" name="Shape 42">
              <a:extLst>
                <a:ext uri="{FF2B5EF4-FFF2-40B4-BE49-F238E27FC236}">
                  <a16:creationId xmlns:a16="http://schemas.microsoft.com/office/drawing/2014/main" id="{00000000-0008-0000-0400-00003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29518" t="7246" r="28176" b="7580"/>
            <a:stretch/>
          </xdr:blipFill>
          <xdr:spPr>
            <a:xfrm>
              <a:off x="9392400" y="256704840"/>
              <a:ext cx="895680" cy="18169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8" name="Shape 43">
              <a:extLst>
                <a:ext uri="{FF2B5EF4-FFF2-40B4-BE49-F238E27FC236}">
                  <a16:creationId xmlns:a16="http://schemas.microsoft.com/office/drawing/2014/main" id="{00000000-0008-0000-0400-00003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33966" t="7796" r="29852" b="4231"/>
            <a:stretch/>
          </xdr:blipFill>
          <xdr:spPr>
            <a:xfrm>
              <a:off x="10582560" y="256732920"/>
              <a:ext cx="781200" cy="18763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304560</xdr:colOff>
      <xdr:row>60</xdr:row>
      <xdr:rowOff>304560</xdr:rowOff>
    </xdr:to>
    <xdr:sp macro="" textlink="">
      <xdr:nvSpPr>
        <xdr:cNvPr id="59" name="Shape 44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SpPr/>
      </xdr:nvSpPr>
      <xdr:spPr>
        <a:xfrm>
          <a:off x="9254520" y="878909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304560</xdr:colOff>
      <xdr:row>56</xdr:row>
      <xdr:rowOff>304560</xdr:rowOff>
    </xdr:to>
    <xdr:sp macro="" textlink="">
      <xdr:nvSpPr>
        <xdr:cNvPr id="60" name="Shape 45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SpPr/>
      </xdr:nvSpPr>
      <xdr:spPr>
        <a:xfrm>
          <a:off x="9254520" y="786650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3423240</xdr:rowOff>
    </xdr:from>
    <xdr:to>
      <xdr:col>7</xdr:col>
      <xdr:colOff>332876</xdr:colOff>
      <xdr:row>56</xdr:row>
      <xdr:rowOff>4534682</xdr:rowOff>
    </xdr:to>
    <xdr:grpSp>
      <xdr:nvGrpSpPr>
        <xdr:cNvPr id="61" name="Shape 46">
          <a:extLst>
            <a:ext uri="{FF2B5EF4-FFF2-40B4-BE49-F238E27FC236}">
              <a16:creationId xmlns:a16="http://schemas.microsoft.com/office/drawing/2014/main" id="{00000000-0008-0000-0400-00003D000000}"/>
            </a:ext>
          </a:extLst>
        </xdr:cNvPr>
        <xdr:cNvGrpSpPr/>
      </xdr:nvGrpSpPr>
      <xdr:grpSpPr>
        <a:xfrm>
          <a:off x="15062145" y="205677090"/>
          <a:ext cx="1758506" cy="1111442"/>
          <a:chOff x="9410040" y="790073280"/>
          <a:chExt cx="1828440" cy="1713960"/>
        </a:xfrm>
      </xdr:grpSpPr>
      <xdr:grpSp>
        <xdr:nvGrpSpPr>
          <xdr:cNvPr id="62" name="Shape 47">
            <a:extLst>
              <a:ext uri="{FF2B5EF4-FFF2-40B4-BE49-F238E27FC236}">
                <a16:creationId xmlns:a16="http://schemas.microsoft.com/office/drawing/2014/main" id="{00000000-0008-0000-0400-00003E000000}"/>
              </a:ext>
            </a:extLst>
          </xdr:cNvPr>
          <xdr:cNvGrpSpPr/>
        </xdr:nvGrpSpPr>
        <xdr:grpSpPr>
          <a:xfrm>
            <a:off x="9410040" y="790073280"/>
            <a:ext cx="1828440" cy="1713960"/>
            <a:chOff x="9410040" y="790073280"/>
            <a:chExt cx="1828440" cy="1713960"/>
          </a:xfrm>
        </xdr:grpSpPr>
        <xdr:sp macro="" textlink="">
          <xdr:nvSpPr>
            <xdr:cNvPr id="63" name="Shape 48">
              <a:extLst>
                <a:ext uri="{FF2B5EF4-FFF2-40B4-BE49-F238E27FC236}">
                  <a16:creationId xmlns:a16="http://schemas.microsoft.com/office/drawing/2014/main" id="{00000000-0008-0000-0400-00003F000000}"/>
                </a:ext>
              </a:extLst>
            </xdr:cNvPr>
            <xdr:cNvSpPr/>
          </xdr:nvSpPr>
          <xdr:spPr>
            <a:xfrm>
              <a:off x="9410040" y="790073280"/>
              <a:ext cx="1828440" cy="1713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64" name="Shape 49">
              <a:extLst>
                <a:ext uri="{FF2B5EF4-FFF2-40B4-BE49-F238E27FC236}">
                  <a16:creationId xmlns:a16="http://schemas.microsoft.com/office/drawing/2014/main" id="{00000000-0008-0000-0400-000040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9994" t="21153" r="33329" b="21487"/>
            <a:stretch/>
          </xdr:blipFill>
          <xdr:spPr>
            <a:xfrm>
              <a:off x="10451160" y="790080120"/>
              <a:ext cx="786960" cy="170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65" name="Shape 50">
              <a:extLst>
                <a:ext uri="{FF2B5EF4-FFF2-40B4-BE49-F238E27FC236}">
                  <a16:creationId xmlns:a16="http://schemas.microsoft.com/office/drawing/2014/main" id="{00000000-0008-0000-0400-000041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/>
          </xdr:blipFill>
          <xdr:spPr>
            <a:xfrm>
              <a:off x="9410040" y="790073280"/>
              <a:ext cx="745200" cy="15692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304560</xdr:colOff>
      <xdr:row>68</xdr:row>
      <xdr:rowOff>304560</xdr:rowOff>
    </xdr:to>
    <xdr:sp macro="" textlink="">
      <xdr:nvSpPr>
        <xdr:cNvPr id="66" name="Shape 51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SpPr/>
      </xdr:nvSpPr>
      <xdr:spPr>
        <a:xfrm>
          <a:off x="9254520" y="10812956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7" name="image19.png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60</xdr:row>
      <xdr:rowOff>4505630</xdr:rowOff>
    </xdr:to>
    <xdr:pic>
      <xdr:nvPicPr>
        <xdr:cNvPr id="68" name="image20.png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9" name="image19.png 1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60</xdr:row>
      <xdr:rowOff>4505630</xdr:rowOff>
    </xdr:to>
    <xdr:pic>
      <xdr:nvPicPr>
        <xdr:cNvPr id="70" name="image20.png 1">
          <a:extLst>
            <a:ext uri="{FF2B5EF4-FFF2-40B4-BE49-F238E27FC236}">
              <a16:creationId xmlns:a16="http://schemas.microsoft.com/office/drawing/2014/main" id="{00000000-0008-0000-0400-000046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118440</xdr:colOff>
      <xdr:row>69</xdr:row>
      <xdr:rowOff>438480</xdr:rowOff>
    </xdr:from>
    <xdr:to>
      <xdr:col>7</xdr:col>
      <xdr:colOff>1229270</xdr:colOff>
      <xdr:row>69</xdr:row>
      <xdr:rowOff>819000</xdr:rowOff>
    </xdr:to>
    <xdr:grpSp>
      <xdr:nvGrpSpPr>
        <xdr:cNvPr id="78" name="Shape 59">
          <a:extLst>
            <a:ext uri="{FF2B5EF4-FFF2-40B4-BE49-F238E27FC236}">
              <a16:creationId xmlns:a16="http://schemas.microsoft.com/office/drawing/2014/main" id="{00000000-0008-0000-0600-00004E000000}"/>
            </a:ext>
          </a:extLst>
        </xdr:cNvPr>
        <xdr:cNvGrpSpPr/>
      </xdr:nvGrpSpPr>
      <xdr:grpSpPr>
        <a:xfrm>
          <a:off x="19701840" y="86630205"/>
          <a:ext cx="1110830" cy="380520"/>
          <a:chOff x="9509400" y="256424760"/>
          <a:chExt cx="1104480" cy="1066320"/>
        </a:xfrm>
      </xdr:grpSpPr>
      <xdr:grpSp>
        <xdr:nvGrpSpPr>
          <xdr:cNvPr id="79" name="Shape 60">
            <a:extLst>
              <a:ext uri="{FF2B5EF4-FFF2-40B4-BE49-F238E27FC236}">
                <a16:creationId xmlns:a16="http://schemas.microsoft.com/office/drawing/2014/main" id="{00000000-0008-0000-0600-00004F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80" name="Shape 61">
              <a:extLst>
                <a:ext uri="{FF2B5EF4-FFF2-40B4-BE49-F238E27FC236}">
                  <a16:creationId xmlns:a16="http://schemas.microsoft.com/office/drawing/2014/main" id="{00000000-0008-0000-0600-000050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1" name="Shape 62">
              <a:extLst>
                <a:ext uri="{FF2B5EF4-FFF2-40B4-BE49-F238E27FC236}">
                  <a16:creationId xmlns:a16="http://schemas.microsoft.com/office/drawing/2014/main" id="{00000000-0008-0000-0600-000051000000}"/>
                </a:ext>
              </a:extLst>
            </xdr:cNvPr>
            <xdr:cNvGrpSpPr/>
          </xdr:nvGrpSpPr>
          <xdr:grpSpPr>
            <a:xfrm>
              <a:off x="9509400" y="256424760"/>
              <a:ext cx="1104480" cy="1066320"/>
              <a:chOff x="9509400" y="256424760"/>
              <a:chExt cx="1104480" cy="1066320"/>
            </a:xfrm>
          </xdr:grpSpPr>
          <xdr:sp macro="" textlink="">
            <xdr:nvSpPr>
              <xdr:cNvPr id="82" name="Shape 63">
                <a:extLst>
                  <a:ext uri="{FF2B5EF4-FFF2-40B4-BE49-F238E27FC236}">
                    <a16:creationId xmlns:a16="http://schemas.microsoft.com/office/drawing/2014/main" id="{00000000-0008-0000-0600-000052000000}"/>
                  </a:ext>
                </a:extLst>
              </xdr:cNvPr>
              <xdr:cNvSpPr/>
            </xdr:nvSpPr>
            <xdr:spPr>
              <a:xfrm>
                <a:off x="9509400" y="256424760"/>
                <a:ext cx="1104480" cy="10663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83" name="Shape 64" descr="Enchinador.psd">
                <a:extLst>
                  <a:ext uri="{FF2B5EF4-FFF2-40B4-BE49-F238E27FC236}">
                    <a16:creationId xmlns:a16="http://schemas.microsoft.com/office/drawing/2014/main" id="{00000000-0008-0000-0600-000053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35930" t="17762" r="29448" b="5552"/>
              <a:stretch/>
            </xdr:blipFill>
            <xdr:spPr>
              <a:xfrm>
                <a:off x="9509400" y="256504680"/>
                <a:ext cx="443520" cy="98640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84" name="Shape 65">
                <a:extLst>
                  <a:ext uri="{FF2B5EF4-FFF2-40B4-BE49-F238E27FC236}">
                    <a16:creationId xmlns:a16="http://schemas.microsoft.com/office/drawing/2014/main" id="{00000000-0008-0000-0600-000054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28713" t="6689" r="26640" b="7583"/>
              <a:stretch/>
            </xdr:blipFill>
            <xdr:spPr>
              <a:xfrm>
                <a:off x="10071720" y="256424760"/>
                <a:ext cx="542160" cy="103644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193320</xdr:colOff>
      <xdr:row>70</xdr:row>
      <xdr:rowOff>154800</xdr:rowOff>
    </xdr:from>
    <xdr:to>
      <xdr:col>7</xdr:col>
      <xdr:colOff>974160</xdr:colOff>
      <xdr:row>70</xdr:row>
      <xdr:rowOff>446585</xdr:rowOff>
    </xdr:to>
    <xdr:grpSp>
      <xdr:nvGrpSpPr>
        <xdr:cNvPr id="85" name="Shape 66">
          <a:extLst>
            <a:ext uri="{FF2B5EF4-FFF2-40B4-BE49-F238E27FC236}">
              <a16:creationId xmlns:a16="http://schemas.microsoft.com/office/drawing/2014/main" id="{00000000-0008-0000-0600-000055000000}"/>
            </a:ext>
          </a:extLst>
        </xdr:cNvPr>
        <xdr:cNvGrpSpPr/>
      </xdr:nvGrpSpPr>
      <xdr:grpSpPr>
        <a:xfrm>
          <a:off x="19776720" y="87318075"/>
          <a:ext cx="780840" cy="291785"/>
          <a:chOff x="9584280" y="259724880"/>
          <a:chExt cx="780840" cy="1056960"/>
        </a:xfrm>
      </xdr:grpSpPr>
      <xdr:grpSp>
        <xdr:nvGrpSpPr>
          <xdr:cNvPr id="86" name="Shape 67">
            <a:extLst>
              <a:ext uri="{FF2B5EF4-FFF2-40B4-BE49-F238E27FC236}">
                <a16:creationId xmlns:a16="http://schemas.microsoft.com/office/drawing/2014/main" id="{00000000-0008-0000-0600-000056000000}"/>
              </a:ext>
            </a:extLst>
          </xdr:cNvPr>
          <xdr:cNvGrpSpPr/>
        </xdr:nvGrpSpPr>
        <xdr:grpSpPr>
          <a:xfrm>
            <a:off x="9584280" y="259724880"/>
            <a:ext cx="780840" cy="1056960"/>
            <a:chOff x="9584280" y="259724880"/>
            <a:chExt cx="780840" cy="1056960"/>
          </a:xfrm>
        </xdr:grpSpPr>
        <xdr:sp macro="" textlink="">
          <xdr:nvSpPr>
            <xdr:cNvPr id="87" name="Shape 68">
              <a:extLst>
                <a:ext uri="{FF2B5EF4-FFF2-40B4-BE49-F238E27FC236}">
                  <a16:creationId xmlns:a16="http://schemas.microsoft.com/office/drawing/2014/main" id="{00000000-0008-0000-0600-000057000000}"/>
                </a:ext>
              </a:extLst>
            </xdr:cNvPr>
            <xdr:cNvSpPr/>
          </xdr:nvSpPr>
          <xdr:spPr>
            <a:xfrm>
              <a:off x="9584280" y="25972488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8" name="Shape 69">
              <a:extLst>
                <a:ext uri="{FF2B5EF4-FFF2-40B4-BE49-F238E27FC236}">
                  <a16:creationId xmlns:a16="http://schemas.microsoft.com/office/drawing/2014/main" id="{00000000-0008-0000-0600-000058000000}"/>
                </a:ext>
              </a:extLst>
            </xdr:cNvPr>
            <xdr:cNvGrpSpPr/>
          </xdr:nvGrpSpPr>
          <xdr:grpSpPr>
            <a:xfrm>
              <a:off x="9584280" y="259724880"/>
              <a:ext cx="780840" cy="1056960"/>
              <a:chOff x="9584280" y="259724880"/>
              <a:chExt cx="780840" cy="1056960"/>
            </a:xfrm>
          </xdr:grpSpPr>
          <xdr:sp macro="" textlink="">
            <xdr:nvSpPr>
              <xdr:cNvPr id="89" name="Shape 70">
                <a:extLst>
                  <a:ext uri="{FF2B5EF4-FFF2-40B4-BE49-F238E27FC236}">
                    <a16:creationId xmlns:a16="http://schemas.microsoft.com/office/drawing/2014/main" id="{00000000-0008-0000-0600-000059000000}"/>
                  </a:ext>
                </a:extLst>
              </xdr:cNvPr>
              <xdr:cNvSpPr/>
            </xdr:nvSpPr>
            <xdr:spPr>
              <a:xfrm>
                <a:off x="9584280" y="259724880"/>
                <a:ext cx="780840" cy="10569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90" name="Shape 71">
                <a:extLst>
                  <a:ext uri="{FF2B5EF4-FFF2-40B4-BE49-F238E27FC236}">
                    <a16:creationId xmlns:a16="http://schemas.microsoft.com/office/drawing/2014/main" id="{00000000-0008-0000-0600-00005A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18227" t="27233" r="17793" b="26458"/>
              <a:stretch/>
            </xdr:blipFill>
            <xdr:spPr>
              <a:xfrm>
                <a:off x="9603000" y="260286840"/>
                <a:ext cx="690120" cy="49464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91" name="Shape 72">
                <a:extLst>
                  <a:ext uri="{FF2B5EF4-FFF2-40B4-BE49-F238E27FC236}">
                    <a16:creationId xmlns:a16="http://schemas.microsoft.com/office/drawing/2014/main" id="{00000000-0008-0000-0600-00005B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6648" t="26467" r="5842" b="25921"/>
              <a:stretch/>
            </xdr:blipFill>
            <xdr:spPr>
              <a:xfrm>
                <a:off x="9584280" y="259724880"/>
                <a:ext cx="780840" cy="5040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598865</xdr:colOff>
      <xdr:row>38</xdr:row>
      <xdr:rowOff>169538</xdr:rowOff>
    </xdr:from>
    <xdr:to>
      <xdr:col>7</xdr:col>
      <xdr:colOff>1163640</xdr:colOff>
      <xdr:row>38</xdr:row>
      <xdr:rowOff>740529</xdr:rowOff>
    </xdr:to>
    <xdr:grpSp>
      <xdr:nvGrpSpPr>
        <xdr:cNvPr id="92" name="Shape 73">
          <a:extLst>
            <a:ext uri="{FF2B5EF4-FFF2-40B4-BE49-F238E27FC236}">
              <a16:creationId xmlns:a16="http://schemas.microsoft.com/office/drawing/2014/main" id="{00000000-0008-0000-0600-00005C000000}"/>
            </a:ext>
          </a:extLst>
        </xdr:cNvPr>
        <xdr:cNvGrpSpPr/>
      </xdr:nvGrpSpPr>
      <xdr:grpSpPr>
        <a:xfrm>
          <a:off x="20182265" y="39612563"/>
          <a:ext cx="564775" cy="570991"/>
          <a:chOff x="9612000" y="104438160"/>
          <a:chExt cx="561600" cy="1047240"/>
        </a:xfrm>
      </xdr:grpSpPr>
      <xdr:grpSp>
        <xdr:nvGrpSpPr>
          <xdr:cNvPr id="93" name="Shape 74">
            <a:extLst>
              <a:ext uri="{FF2B5EF4-FFF2-40B4-BE49-F238E27FC236}">
                <a16:creationId xmlns:a16="http://schemas.microsoft.com/office/drawing/2014/main" id="{00000000-0008-0000-0600-00005D000000}"/>
              </a:ext>
            </a:extLst>
          </xdr:cNvPr>
          <xdr:cNvGrpSpPr/>
        </xdr:nvGrpSpPr>
        <xdr:grpSpPr>
          <a:xfrm>
            <a:off x="9612000" y="104438160"/>
            <a:ext cx="561600" cy="1047240"/>
            <a:chOff x="9612000" y="104438160"/>
            <a:chExt cx="561600" cy="1047240"/>
          </a:xfrm>
        </xdr:grpSpPr>
        <xdr:sp macro="" textlink="">
          <xdr:nvSpPr>
            <xdr:cNvPr id="94" name="Shape 75">
              <a:extLst>
                <a:ext uri="{FF2B5EF4-FFF2-40B4-BE49-F238E27FC236}">
                  <a16:creationId xmlns:a16="http://schemas.microsoft.com/office/drawing/2014/main" id="{00000000-0008-0000-0600-00005E000000}"/>
                </a:ext>
              </a:extLst>
            </xdr:cNvPr>
            <xdr:cNvSpPr/>
          </xdr:nvSpPr>
          <xdr:spPr>
            <a:xfrm>
              <a:off x="9612000" y="104438160"/>
              <a:ext cx="561600" cy="104724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95" name="Shape 76">
              <a:extLst>
                <a:ext uri="{FF2B5EF4-FFF2-40B4-BE49-F238E27FC236}">
                  <a16:creationId xmlns:a16="http://schemas.microsoft.com/office/drawing/2014/main" id="{00000000-0008-0000-0600-00005F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8851" t="13495" r="38948" b="13495"/>
            <a:stretch/>
          </xdr:blipFill>
          <xdr:spPr>
            <a:xfrm>
              <a:off x="9612000" y="104438160"/>
              <a:ext cx="245880" cy="10472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96" name="Shape 77">
              <a:extLst>
                <a:ext uri="{FF2B5EF4-FFF2-40B4-BE49-F238E27FC236}">
                  <a16:creationId xmlns:a16="http://schemas.microsoft.com/office/drawing/2014/main" id="{00000000-0008-0000-0600-000060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rcRect l="39073" t="11724" r="39180" b="11283"/>
            <a:stretch/>
          </xdr:blipFill>
          <xdr:spPr>
            <a:xfrm>
              <a:off x="9955800" y="104457600"/>
              <a:ext cx="217800" cy="10026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118440</xdr:colOff>
      <xdr:row>69</xdr:row>
      <xdr:rowOff>438480</xdr:rowOff>
    </xdr:from>
    <xdr:to>
      <xdr:col>7</xdr:col>
      <xdr:colOff>1229270</xdr:colOff>
      <xdr:row>69</xdr:row>
      <xdr:rowOff>819000</xdr:rowOff>
    </xdr:to>
    <xdr:grpSp>
      <xdr:nvGrpSpPr>
        <xdr:cNvPr id="97" name="Shape 78">
          <a:extLst>
            <a:ext uri="{FF2B5EF4-FFF2-40B4-BE49-F238E27FC236}">
              <a16:creationId xmlns:a16="http://schemas.microsoft.com/office/drawing/2014/main" id="{00000000-0008-0000-0600-000061000000}"/>
            </a:ext>
          </a:extLst>
        </xdr:cNvPr>
        <xdr:cNvGrpSpPr/>
      </xdr:nvGrpSpPr>
      <xdr:grpSpPr>
        <a:xfrm>
          <a:off x="19701840" y="86630205"/>
          <a:ext cx="1110830" cy="380520"/>
          <a:chOff x="9509400" y="256424760"/>
          <a:chExt cx="1104480" cy="1066320"/>
        </a:xfrm>
      </xdr:grpSpPr>
      <xdr:grpSp>
        <xdr:nvGrpSpPr>
          <xdr:cNvPr id="98" name="Shape 79">
            <a:extLst>
              <a:ext uri="{FF2B5EF4-FFF2-40B4-BE49-F238E27FC236}">
                <a16:creationId xmlns:a16="http://schemas.microsoft.com/office/drawing/2014/main" id="{00000000-0008-0000-0600-000062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99" name="Shape 80">
              <a:extLst>
                <a:ext uri="{FF2B5EF4-FFF2-40B4-BE49-F238E27FC236}">
                  <a16:creationId xmlns:a16="http://schemas.microsoft.com/office/drawing/2014/main" id="{00000000-0008-0000-0600-000063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0" name="Shape 81" descr="Enchinador.psd">
              <a:extLst>
                <a:ext uri="{FF2B5EF4-FFF2-40B4-BE49-F238E27FC236}">
                  <a16:creationId xmlns:a16="http://schemas.microsoft.com/office/drawing/2014/main" id="{00000000-0008-0000-0600-00006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35930" t="17762" r="29448" b="5552"/>
            <a:stretch/>
          </xdr:blipFill>
          <xdr:spPr>
            <a:xfrm>
              <a:off x="9509400" y="256504680"/>
              <a:ext cx="443520" cy="98640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1" name="Shape 82">
              <a:extLst>
                <a:ext uri="{FF2B5EF4-FFF2-40B4-BE49-F238E27FC236}">
                  <a16:creationId xmlns:a16="http://schemas.microsoft.com/office/drawing/2014/main" id="{00000000-0008-0000-0600-000065000000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rcRect l="28713" t="6689" r="26640" b="7583"/>
            <a:stretch/>
          </xdr:blipFill>
          <xdr:spPr>
            <a:xfrm>
              <a:off x="10071720" y="256424760"/>
              <a:ext cx="542160" cy="10364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193320</xdr:colOff>
      <xdr:row>70</xdr:row>
      <xdr:rowOff>173880</xdr:rowOff>
    </xdr:from>
    <xdr:to>
      <xdr:col>7</xdr:col>
      <xdr:colOff>974160</xdr:colOff>
      <xdr:row>70</xdr:row>
      <xdr:rowOff>446615</xdr:rowOff>
    </xdr:to>
    <xdr:grpSp>
      <xdr:nvGrpSpPr>
        <xdr:cNvPr id="102" name="Shape 83">
          <a:extLst>
            <a:ext uri="{FF2B5EF4-FFF2-40B4-BE49-F238E27FC236}">
              <a16:creationId xmlns:a16="http://schemas.microsoft.com/office/drawing/2014/main" id="{00000000-0008-0000-0600-000066000000}"/>
            </a:ext>
          </a:extLst>
        </xdr:cNvPr>
        <xdr:cNvGrpSpPr/>
      </xdr:nvGrpSpPr>
      <xdr:grpSpPr>
        <a:xfrm>
          <a:off x="19776720" y="87337155"/>
          <a:ext cx="780840" cy="272735"/>
          <a:chOff x="9584280" y="259743960"/>
          <a:chExt cx="780840" cy="1056960"/>
        </a:xfrm>
      </xdr:grpSpPr>
      <xdr:grpSp>
        <xdr:nvGrpSpPr>
          <xdr:cNvPr id="103" name="Shape 84">
            <a:extLst>
              <a:ext uri="{FF2B5EF4-FFF2-40B4-BE49-F238E27FC236}">
                <a16:creationId xmlns:a16="http://schemas.microsoft.com/office/drawing/2014/main" id="{00000000-0008-0000-0600-000067000000}"/>
              </a:ext>
            </a:extLst>
          </xdr:cNvPr>
          <xdr:cNvGrpSpPr/>
        </xdr:nvGrpSpPr>
        <xdr:grpSpPr>
          <a:xfrm>
            <a:off x="9584280" y="259743960"/>
            <a:ext cx="780840" cy="1056960"/>
            <a:chOff x="9584280" y="259743960"/>
            <a:chExt cx="780840" cy="1056960"/>
          </a:xfrm>
        </xdr:grpSpPr>
        <xdr:sp macro="" textlink="">
          <xdr:nvSpPr>
            <xdr:cNvPr id="104" name="Shape 85">
              <a:extLst>
                <a:ext uri="{FF2B5EF4-FFF2-40B4-BE49-F238E27FC236}">
                  <a16:creationId xmlns:a16="http://schemas.microsoft.com/office/drawing/2014/main" id="{00000000-0008-0000-0600-000068000000}"/>
                </a:ext>
              </a:extLst>
            </xdr:cNvPr>
            <xdr:cNvSpPr/>
          </xdr:nvSpPr>
          <xdr:spPr>
            <a:xfrm>
              <a:off x="9584280" y="25974396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5" name="Shape 86">
              <a:extLst>
                <a:ext uri="{FF2B5EF4-FFF2-40B4-BE49-F238E27FC236}">
                  <a16:creationId xmlns:a16="http://schemas.microsoft.com/office/drawing/2014/main" id="{00000000-0008-0000-0600-00006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18227" t="27233" r="17793" b="26458"/>
            <a:stretch/>
          </xdr:blipFill>
          <xdr:spPr>
            <a:xfrm>
              <a:off x="9603000" y="260306280"/>
              <a:ext cx="690120" cy="4946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6" name="Shape 87">
              <a:extLst>
                <a:ext uri="{FF2B5EF4-FFF2-40B4-BE49-F238E27FC236}">
                  <a16:creationId xmlns:a16="http://schemas.microsoft.com/office/drawing/2014/main" id="{00000000-0008-0000-0600-00006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6648" t="26467" r="5842" b="25921"/>
            <a:stretch/>
          </xdr:blipFill>
          <xdr:spPr>
            <a:xfrm>
              <a:off x="9584280" y="259743960"/>
              <a:ext cx="780840" cy="5040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90720</xdr:colOff>
      <xdr:row>58</xdr:row>
      <xdr:rowOff>544680</xdr:rowOff>
    </xdr:from>
    <xdr:to>
      <xdr:col>7</xdr:col>
      <xdr:colOff>963590</xdr:colOff>
      <xdr:row>58</xdr:row>
      <xdr:rowOff>820590</xdr:rowOff>
    </xdr:to>
    <xdr:pic>
      <xdr:nvPicPr>
        <xdr:cNvPr id="107" name="image22.png">
          <a:extLst>
            <a:ext uri="{FF2B5EF4-FFF2-40B4-BE49-F238E27FC236}">
              <a16:creationId xmlns:a16="http://schemas.microsoft.com/office/drawing/2014/main" id="{00000000-0008-0000-0600-00006B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90720</xdr:colOff>
      <xdr:row>58</xdr:row>
      <xdr:rowOff>544680</xdr:rowOff>
    </xdr:from>
    <xdr:to>
      <xdr:col>7</xdr:col>
      <xdr:colOff>963590</xdr:colOff>
      <xdr:row>58</xdr:row>
      <xdr:rowOff>820590</xdr:rowOff>
    </xdr:to>
    <xdr:pic>
      <xdr:nvPicPr>
        <xdr:cNvPr id="108" name="image22.png 1">
          <a:extLst>
            <a:ext uri="{FF2B5EF4-FFF2-40B4-BE49-F238E27FC236}">
              <a16:creationId xmlns:a16="http://schemas.microsoft.com/office/drawing/2014/main" id="{00000000-0008-0000-0600-00006C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268560</xdr:colOff>
      <xdr:row>71</xdr:row>
      <xdr:rowOff>2836440</xdr:rowOff>
    </xdr:from>
    <xdr:to>
      <xdr:col>8</xdr:col>
      <xdr:colOff>485280</xdr:colOff>
      <xdr:row>72</xdr:row>
      <xdr:rowOff>11782</xdr:rowOff>
    </xdr:to>
    <xdr:pic>
      <xdr:nvPicPr>
        <xdr:cNvPr id="109" name="image21.png">
          <a:extLst>
            <a:ext uri="{FF2B5EF4-FFF2-40B4-BE49-F238E27FC236}">
              <a16:creationId xmlns:a16="http://schemas.microsoft.com/office/drawing/2014/main" id="{00000000-0008-0000-0600-00006D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659520" y="265094640"/>
          <a:ext cx="1933200" cy="1399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26</xdr:row>
      <xdr:rowOff>0</xdr:rowOff>
    </xdr:from>
    <xdr:to>
      <xdr:col>20</xdr:col>
      <xdr:colOff>323640</xdr:colOff>
      <xdr:row>26</xdr:row>
      <xdr:rowOff>323640</xdr:rowOff>
    </xdr:to>
    <xdr:sp macro="" textlink="">
      <xdr:nvSpPr>
        <xdr:cNvPr id="110" name="Shape 88">
          <a:extLst>
            <a:ext uri="{FF2B5EF4-FFF2-40B4-BE49-F238E27FC236}">
              <a16:creationId xmlns:a16="http://schemas.microsoft.com/office/drawing/2014/main" id="{00000000-0008-0000-0800-00006E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26</xdr:row>
      <xdr:rowOff>0</xdr:rowOff>
    </xdr:from>
    <xdr:to>
      <xdr:col>20</xdr:col>
      <xdr:colOff>323640</xdr:colOff>
      <xdr:row>26</xdr:row>
      <xdr:rowOff>323640</xdr:rowOff>
    </xdr:to>
    <xdr:sp macro="" textlink="">
      <xdr:nvSpPr>
        <xdr:cNvPr id="111" name="Shape 89">
          <a:extLst>
            <a:ext uri="{FF2B5EF4-FFF2-40B4-BE49-F238E27FC236}">
              <a16:creationId xmlns:a16="http://schemas.microsoft.com/office/drawing/2014/main" id="{00000000-0008-0000-0800-00006F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33</xdr:row>
      <xdr:rowOff>0</xdr:rowOff>
    </xdr:from>
    <xdr:to>
      <xdr:col>20</xdr:col>
      <xdr:colOff>323640</xdr:colOff>
      <xdr:row>33</xdr:row>
      <xdr:rowOff>323640</xdr:rowOff>
    </xdr:to>
    <xdr:sp macro="" textlink="">
      <xdr:nvSpPr>
        <xdr:cNvPr id="112" name="Shape 90">
          <a:extLst>
            <a:ext uri="{FF2B5EF4-FFF2-40B4-BE49-F238E27FC236}">
              <a16:creationId xmlns:a16="http://schemas.microsoft.com/office/drawing/2014/main" id="{00000000-0008-0000-0800-000070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33</xdr:row>
      <xdr:rowOff>0</xdr:rowOff>
    </xdr:from>
    <xdr:to>
      <xdr:col>20</xdr:col>
      <xdr:colOff>323640</xdr:colOff>
      <xdr:row>33</xdr:row>
      <xdr:rowOff>323640</xdr:rowOff>
    </xdr:to>
    <xdr:sp macro="" textlink="">
      <xdr:nvSpPr>
        <xdr:cNvPr id="113" name="Shape 91">
          <a:extLst>
            <a:ext uri="{FF2B5EF4-FFF2-40B4-BE49-F238E27FC236}">
              <a16:creationId xmlns:a16="http://schemas.microsoft.com/office/drawing/2014/main" id="{00000000-0008-0000-0800-000071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33</xdr:row>
      <xdr:rowOff>0</xdr:rowOff>
    </xdr:from>
    <xdr:to>
      <xdr:col>20</xdr:col>
      <xdr:colOff>323640</xdr:colOff>
      <xdr:row>33</xdr:row>
      <xdr:rowOff>323640</xdr:rowOff>
    </xdr:to>
    <xdr:sp macro="" textlink="">
      <xdr:nvSpPr>
        <xdr:cNvPr id="114" name="Shape 92">
          <a:extLst>
            <a:ext uri="{FF2B5EF4-FFF2-40B4-BE49-F238E27FC236}">
              <a16:creationId xmlns:a16="http://schemas.microsoft.com/office/drawing/2014/main" id="{00000000-0008-0000-0800-000072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26</xdr:row>
      <xdr:rowOff>0</xdr:rowOff>
    </xdr:from>
    <xdr:to>
      <xdr:col>20</xdr:col>
      <xdr:colOff>323640</xdr:colOff>
      <xdr:row>26</xdr:row>
      <xdr:rowOff>323640</xdr:rowOff>
    </xdr:to>
    <xdr:sp macro="" textlink="">
      <xdr:nvSpPr>
        <xdr:cNvPr id="115" name="Shape 93">
          <a:extLst>
            <a:ext uri="{FF2B5EF4-FFF2-40B4-BE49-F238E27FC236}">
              <a16:creationId xmlns:a16="http://schemas.microsoft.com/office/drawing/2014/main" id="{00000000-0008-0000-0800-000073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29</xdr:row>
      <xdr:rowOff>0</xdr:rowOff>
    </xdr:from>
    <xdr:to>
      <xdr:col>8</xdr:col>
      <xdr:colOff>323640</xdr:colOff>
      <xdr:row>29</xdr:row>
      <xdr:rowOff>323640</xdr:rowOff>
    </xdr:to>
    <xdr:sp macro="" textlink="">
      <xdr:nvSpPr>
        <xdr:cNvPr id="116" name="Shape 94">
          <a:extLst>
            <a:ext uri="{FF2B5EF4-FFF2-40B4-BE49-F238E27FC236}">
              <a16:creationId xmlns:a16="http://schemas.microsoft.com/office/drawing/2014/main" id="{00000000-0008-0000-0800-000074000000}"/>
            </a:ext>
          </a:extLst>
        </xdr:cNvPr>
        <xdr:cNvSpPr/>
      </xdr:nvSpPr>
      <xdr:spPr>
        <a:xfrm>
          <a:off x="10532160" y="970678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19</xdr:row>
      <xdr:rowOff>0</xdr:rowOff>
    </xdr:from>
    <xdr:to>
      <xdr:col>20</xdr:col>
      <xdr:colOff>323640</xdr:colOff>
      <xdr:row>19</xdr:row>
      <xdr:rowOff>323640</xdr:rowOff>
    </xdr:to>
    <xdr:sp macro="" textlink="">
      <xdr:nvSpPr>
        <xdr:cNvPr id="117" name="Shape 95">
          <a:extLst>
            <a:ext uri="{FF2B5EF4-FFF2-40B4-BE49-F238E27FC236}">
              <a16:creationId xmlns:a16="http://schemas.microsoft.com/office/drawing/2014/main" id="{00000000-0008-0000-0800-000075000000}"/>
            </a:ext>
          </a:extLst>
        </xdr:cNvPr>
        <xdr:cNvSpPr/>
      </xdr:nvSpPr>
      <xdr:spPr>
        <a:xfrm>
          <a:off x="21647880" y="298659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18</xdr:row>
      <xdr:rowOff>0</xdr:rowOff>
    </xdr:from>
    <xdr:to>
      <xdr:col>20</xdr:col>
      <xdr:colOff>323640</xdr:colOff>
      <xdr:row>18</xdr:row>
      <xdr:rowOff>323640</xdr:rowOff>
    </xdr:to>
    <xdr:sp macro="" textlink="">
      <xdr:nvSpPr>
        <xdr:cNvPr id="118" name="Shape 96">
          <a:extLst>
            <a:ext uri="{FF2B5EF4-FFF2-40B4-BE49-F238E27FC236}">
              <a16:creationId xmlns:a16="http://schemas.microsoft.com/office/drawing/2014/main" id="{00000000-0008-0000-0800-000076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18</xdr:row>
      <xdr:rowOff>0</xdr:rowOff>
    </xdr:from>
    <xdr:to>
      <xdr:col>20</xdr:col>
      <xdr:colOff>323640</xdr:colOff>
      <xdr:row>18</xdr:row>
      <xdr:rowOff>323640</xdr:rowOff>
    </xdr:to>
    <xdr:sp macro="" textlink="">
      <xdr:nvSpPr>
        <xdr:cNvPr id="119" name="Shape 97">
          <a:extLst>
            <a:ext uri="{FF2B5EF4-FFF2-40B4-BE49-F238E27FC236}">
              <a16:creationId xmlns:a16="http://schemas.microsoft.com/office/drawing/2014/main" id="{00000000-0008-0000-0800-000077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18</xdr:row>
      <xdr:rowOff>0</xdr:rowOff>
    </xdr:from>
    <xdr:to>
      <xdr:col>20</xdr:col>
      <xdr:colOff>323640</xdr:colOff>
      <xdr:row>18</xdr:row>
      <xdr:rowOff>323640</xdr:rowOff>
    </xdr:to>
    <xdr:sp macro="" textlink="">
      <xdr:nvSpPr>
        <xdr:cNvPr id="120" name="Shape 98">
          <a:extLst>
            <a:ext uri="{FF2B5EF4-FFF2-40B4-BE49-F238E27FC236}">
              <a16:creationId xmlns:a16="http://schemas.microsoft.com/office/drawing/2014/main" id="{00000000-0008-0000-0800-000078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22</xdr:row>
      <xdr:rowOff>0</xdr:rowOff>
    </xdr:from>
    <xdr:to>
      <xdr:col>20</xdr:col>
      <xdr:colOff>323640</xdr:colOff>
      <xdr:row>22</xdr:row>
      <xdr:rowOff>323640</xdr:rowOff>
    </xdr:to>
    <xdr:sp macro="" textlink="">
      <xdr:nvSpPr>
        <xdr:cNvPr id="121" name="Shape 99">
          <a:extLst>
            <a:ext uri="{FF2B5EF4-FFF2-40B4-BE49-F238E27FC236}">
              <a16:creationId xmlns:a16="http://schemas.microsoft.com/office/drawing/2014/main" id="{00000000-0008-0000-0800-000079000000}"/>
            </a:ext>
          </a:extLst>
        </xdr:cNvPr>
        <xdr:cNvSpPr/>
      </xdr:nvSpPr>
      <xdr:spPr>
        <a:xfrm>
          <a:off x="21647880" y="50026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25</xdr:row>
      <xdr:rowOff>0</xdr:rowOff>
    </xdr:from>
    <xdr:to>
      <xdr:col>20</xdr:col>
      <xdr:colOff>323640</xdr:colOff>
      <xdr:row>25</xdr:row>
      <xdr:rowOff>323640</xdr:rowOff>
    </xdr:to>
    <xdr:sp macro="" textlink="">
      <xdr:nvSpPr>
        <xdr:cNvPr id="122" name="Shape 100">
          <a:extLst>
            <a:ext uri="{FF2B5EF4-FFF2-40B4-BE49-F238E27FC236}">
              <a16:creationId xmlns:a16="http://schemas.microsoft.com/office/drawing/2014/main" id="{00000000-0008-0000-0800-00007A000000}"/>
            </a:ext>
          </a:extLst>
        </xdr:cNvPr>
        <xdr:cNvSpPr/>
      </xdr:nvSpPr>
      <xdr:spPr>
        <a:xfrm>
          <a:off x="21647880" y="701870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20</xdr:col>
      <xdr:colOff>323640</xdr:colOff>
      <xdr:row>16</xdr:row>
      <xdr:rowOff>323640</xdr:rowOff>
    </xdr:to>
    <xdr:sp macro="" textlink="">
      <xdr:nvSpPr>
        <xdr:cNvPr id="123" name="Shape 101">
          <a:extLst>
            <a:ext uri="{FF2B5EF4-FFF2-40B4-BE49-F238E27FC236}">
              <a16:creationId xmlns:a16="http://schemas.microsoft.com/office/drawing/2014/main" id="{00000000-0008-0000-0800-00007B000000}"/>
            </a:ext>
          </a:extLst>
        </xdr:cNvPr>
        <xdr:cNvSpPr/>
      </xdr:nvSpPr>
      <xdr:spPr>
        <a:xfrm>
          <a:off x="21647880" y="9705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38</xdr:row>
      <xdr:rowOff>0</xdr:rowOff>
    </xdr:from>
    <xdr:to>
      <xdr:col>20</xdr:col>
      <xdr:colOff>323640</xdr:colOff>
      <xdr:row>38</xdr:row>
      <xdr:rowOff>323640</xdr:rowOff>
    </xdr:to>
    <xdr:sp macro="" textlink="">
      <xdr:nvSpPr>
        <xdr:cNvPr id="124" name="Shape 102">
          <a:extLst>
            <a:ext uri="{FF2B5EF4-FFF2-40B4-BE49-F238E27FC236}">
              <a16:creationId xmlns:a16="http://schemas.microsoft.com/office/drawing/2014/main" id="{00000000-0008-0000-0800-00007C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38</xdr:row>
      <xdr:rowOff>0</xdr:rowOff>
    </xdr:from>
    <xdr:to>
      <xdr:col>20</xdr:col>
      <xdr:colOff>323640</xdr:colOff>
      <xdr:row>38</xdr:row>
      <xdr:rowOff>323640</xdr:rowOff>
    </xdr:to>
    <xdr:sp macro="" textlink="">
      <xdr:nvSpPr>
        <xdr:cNvPr id="125" name="Shape 103">
          <a:extLst>
            <a:ext uri="{FF2B5EF4-FFF2-40B4-BE49-F238E27FC236}">
              <a16:creationId xmlns:a16="http://schemas.microsoft.com/office/drawing/2014/main" id="{00000000-0008-0000-0800-00007D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38</xdr:row>
      <xdr:rowOff>0</xdr:rowOff>
    </xdr:from>
    <xdr:to>
      <xdr:col>20</xdr:col>
      <xdr:colOff>323640</xdr:colOff>
      <xdr:row>38</xdr:row>
      <xdr:rowOff>323640</xdr:rowOff>
    </xdr:to>
    <xdr:sp macro="" textlink="">
      <xdr:nvSpPr>
        <xdr:cNvPr id="126" name="Shape 104">
          <a:extLst>
            <a:ext uri="{FF2B5EF4-FFF2-40B4-BE49-F238E27FC236}">
              <a16:creationId xmlns:a16="http://schemas.microsoft.com/office/drawing/2014/main" id="{00000000-0008-0000-0800-00007E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43</xdr:row>
      <xdr:rowOff>0</xdr:rowOff>
    </xdr:from>
    <xdr:to>
      <xdr:col>20</xdr:col>
      <xdr:colOff>323640</xdr:colOff>
      <xdr:row>43</xdr:row>
      <xdr:rowOff>323640</xdr:rowOff>
    </xdr:to>
    <xdr:sp macro="" textlink="">
      <xdr:nvSpPr>
        <xdr:cNvPr id="127" name="Shape 105">
          <a:extLst>
            <a:ext uri="{FF2B5EF4-FFF2-40B4-BE49-F238E27FC236}">
              <a16:creationId xmlns:a16="http://schemas.microsoft.com/office/drawing/2014/main" id="{00000000-0008-0000-0800-00007F000000}"/>
            </a:ext>
          </a:extLst>
        </xdr:cNvPr>
        <xdr:cNvSpPr/>
      </xdr:nvSpPr>
      <xdr:spPr>
        <a:xfrm>
          <a:off x="21647880" y="191151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45</xdr:row>
      <xdr:rowOff>0</xdr:rowOff>
    </xdr:from>
    <xdr:to>
      <xdr:col>20</xdr:col>
      <xdr:colOff>323640</xdr:colOff>
      <xdr:row>45</xdr:row>
      <xdr:rowOff>323640</xdr:rowOff>
    </xdr:to>
    <xdr:sp macro="" textlink="">
      <xdr:nvSpPr>
        <xdr:cNvPr id="128" name="Shape 106">
          <a:extLst>
            <a:ext uri="{FF2B5EF4-FFF2-40B4-BE49-F238E27FC236}">
              <a16:creationId xmlns:a16="http://schemas.microsoft.com/office/drawing/2014/main" id="{00000000-0008-0000-0800-000080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45</xdr:row>
      <xdr:rowOff>0</xdr:rowOff>
    </xdr:from>
    <xdr:to>
      <xdr:col>20</xdr:col>
      <xdr:colOff>323640</xdr:colOff>
      <xdr:row>45</xdr:row>
      <xdr:rowOff>323640</xdr:rowOff>
    </xdr:to>
    <xdr:sp macro="" textlink="">
      <xdr:nvSpPr>
        <xdr:cNvPr id="129" name="Shape 107">
          <a:extLst>
            <a:ext uri="{FF2B5EF4-FFF2-40B4-BE49-F238E27FC236}">
              <a16:creationId xmlns:a16="http://schemas.microsoft.com/office/drawing/2014/main" id="{00000000-0008-0000-0800-000081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29</xdr:row>
      <xdr:rowOff>0</xdr:rowOff>
    </xdr:from>
    <xdr:to>
      <xdr:col>8</xdr:col>
      <xdr:colOff>313920</xdr:colOff>
      <xdr:row>29</xdr:row>
      <xdr:rowOff>313920</xdr:rowOff>
    </xdr:to>
    <xdr:sp macro="" textlink="">
      <xdr:nvSpPr>
        <xdr:cNvPr id="130" name="Shape 108">
          <a:extLst>
            <a:ext uri="{FF2B5EF4-FFF2-40B4-BE49-F238E27FC236}">
              <a16:creationId xmlns:a16="http://schemas.microsoft.com/office/drawing/2014/main" id="{00000000-0008-0000-0800-000082000000}"/>
            </a:ext>
          </a:extLst>
        </xdr:cNvPr>
        <xdr:cNvSpPr/>
      </xdr:nvSpPr>
      <xdr:spPr>
        <a:xfrm>
          <a:off x="10532160" y="970678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394920</xdr:colOff>
      <xdr:row>38</xdr:row>
      <xdr:rowOff>286200</xdr:rowOff>
    </xdr:from>
    <xdr:to>
      <xdr:col>8</xdr:col>
      <xdr:colOff>1438416</xdr:colOff>
      <xdr:row>41</xdr:row>
      <xdr:rowOff>240442</xdr:rowOff>
    </xdr:to>
    <xdr:pic>
      <xdr:nvPicPr>
        <xdr:cNvPr id="131" name="image25.png">
          <a:extLst>
            <a:ext uri="{FF2B5EF4-FFF2-40B4-BE49-F238E27FC236}">
              <a16:creationId xmlns:a16="http://schemas.microsoft.com/office/drawing/2014/main" id="{00000000-0008-0000-0800-00008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27080" y="157835880"/>
          <a:ext cx="104724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388440</xdr:colOff>
      <xdr:row>39</xdr:row>
      <xdr:rowOff>63720</xdr:rowOff>
    </xdr:from>
    <xdr:to>
      <xdr:col>8</xdr:col>
      <xdr:colOff>1463746</xdr:colOff>
      <xdr:row>42</xdr:row>
      <xdr:rowOff>27488</xdr:rowOff>
    </xdr:to>
    <xdr:pic>
      <xdr:nvPicPr>
        <xdr:cNvPr id="132" name="image29.png">
          <a:extLst>
            <a:ext uri="{FF2B5EF4-FFF2-40B4-BE49-F238E27FC236}">
              <a16:creationId xmlns:a16="http://schemas.microsoft.com/office/drawing/2014/main" id="{00000000-0008-0000-0800-000084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0920600" y="164333880"/>
          <a:ext cx="108540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414360</xdr:colOff>
      <xdr:row>40</xdr:row>
      <xdr:rowOff>445320</xdr:rowOff>
    </xdr:from>
    <xdr:to>
      <xdr:col>8</xdr:col>
      <xdr:colOff>1362816</xdr:colOff>
      <xdr:row>43</xdr:row>
      <xdr:rowOff>345588</xdr:rowOff>
    </xdr:to>
    <xdr:pic>
      <xdr:nvPicPr>
        <xdr:cNvPr id="133" name="image30.png">
          <a:extLst>
            <a:ext uri="{FF2B5EF4-FFF2-40B4-BE49-F238E27FC236}">
              <a16:creationId xmlns:a16="http://schemas.microsoft.com/office/drawing/2014/main" id="{00000000-0008-0000-0800-000085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0946520" y="171435600"/>
          <a:ext cx="95220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414360</xdr:colOff>
      <xdr:row>41</xdr:row>
      <xdr:rowOff>1019520</xdr:rowOff>
    </xdr:from>
    <xdr:to>
      <xdr:col>8</xdr:col>
      <xdr:colOff>1362816</xdr:colOff>
      <xdr:row>44</xdr:row>
      <xdr:rowOff>436213</xdr:rowOff>
    </xdr:to>
    <xdr:pic>
      <xdr:nvPicPr>
        <xdr:cNvPr id="134" name="image30.png 1">
          <a:extLst>
            <a:ext uri="{FF2B5EF4-FFF2-40B4-BE49-F238E27FC236}">
              <a16:creationId xmlns:a16="http://schemas.microsoft.com/office/drawing/2014/main" id="{00000000-0008-0000-0800-000086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0946520" y="178729920"/>
          <a:ext cx="95220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414360</xdr:colOff>
      <xdr:row>42</xdr:row>
      <xdr:rowOff>636840</xdr:rowOff>
    </xdr:from>
    <xdr:to>
      <xdr:col>8</xdr:col>
      <xdr:colOff>1362816</xdr:colOff>
      <xdr:row>45</xdr:row>
      <xdr:rowOff>435508</xdr:rowOff>
    </xdr:to>
    <xdr:pic>
      <xdr:nvPicPr>
        <xdr:cNvPr id="135" name="image30.png 2">
          <a:extLst>
            <a:ext uri="{FF2B5EF4-FFF2-40B4-BE49-F238E27FC236}">
              <a16:creationId xmlns:a16="http://schemas.microsoft.com/office/drawing/2014/main" id="{00000000-0008-0000-0800-000087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0946520" y="185067360"/>
          <a:ext cx="95220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424080</xdr:colOff>
      <xdr:row>45</xdr:row>
      <xdr:rowOff>732960</xdr:rowOff>
    </xdr:from>
    <xdr:to>
      <xdr:col>8</xdr:col>
      <xdr:colOff>1153296</xdr:colOff>
      <xdr:row>47</xdr:row>
      <xdr:rowOff>430027</xdr:rowOff>
    </xdr:to>
    <xdr:pic>
      <xdr:nvPicPr>
        <xdr:cNvPr id="136" name="image26.png">
          <a:extLst>
            <a:ext uri="{FF2B5EF4-FFF2-40B4-BE49-F238E27FC236}">
              <a16:creationId xmlns:a16="http://schemas.microsoft.com/office/drawing/2014/main" id="{00000000-0008-0000-0800-000088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0956240" y="205324200"/>
          <a:ext cx="73296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407880</xdr:colOff>
      <xdr:row>45</xdr:row>
      <xdr:rowOff>0</xdr:rowOff>
    </xdr:from>
    <xdr:to>
      <xdr:col>8</xdr:col>
      <xdr:colOff>1191161</xdr:colOff>
      <xdr:row>47</xdr:row>
      <xdr:rowOff>163792</xdr:rowOff>
    </xdr:to>
    <xdr:pic>
      <xdr:nvPicPr>
        <xdr:cNvPr id="137" name="image23.png">
          <a:extLst>
            <a:ext uri="{FF2B5EF4-FFF2-40B4-BE49-F238E27FC236}">
              <a16:creationId xmlns:a16="http://schemas.microsoft.com/office/drawing/2014/main" id="{00000000-0008-0000-0800-000089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10940040" y="204591240"/>
          <a:ext cx="790200" cy="1847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465480</xdr:colOff>
      <xdr:row>47</xdr:row>
      <xdr:rowOff>669240</xdr:rowOff>
    </xdr:from>
    <xdr:to>
      <xdr:col>8</xdr:col>
      <xdr:colOff>950386</xdr:colOff>
      <xdr:row>49</xdr:row>
      <xdr:rowOff>902884</xdr:rowOff>
    </xdr:to>
    <xdr:pic>
      <xdr:nvPicPr>
        <xdr:cNvPr id="138" name="image27.png">
          <a:extLst>
            <a:ext uri="{FF2B5EF4-FFF2-40B4-BE49-F238E27FC236}">
              <a16:creationId xmlns:a16="http://schemas.microsoft.com/office/drawing/2014/main" id="{00000000-0008-0000-0800-00008A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10997640" y="218701080"/>
          <a:ext cx="49500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189360</xdr:colOff>
      <xdr:row>45</xdr:row>
      <xdr:rowOff>732960</xdr:rowOff>
    </xdr:from>
    <xdr:to>
      <xdr:col>9</xdr:col>
      <xdr:colOff>673416</xdr:colOff>
      <xdr:row>47</xdr:row>
      <xdr:rowOff>430027</xdr:rowOff>
    </xdr:to>
    <xdr:pic>
      <xdr:nvPicPr>
        <xdr:cNvPr id="139" name="image28.png">
          <a:extLst>
            <a:ext uri="{FF2B5EF4-FFF2-40B4-BE49-F238E27FC236}">
              <a16:creationId xmlns:a16="http://schemas.microsoft.com/office/drawing/2014/main" id="{00000000-0008-0000-0800-00008B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10721520" y="205324200"/>
          <a:ext cx="215244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112320</xdr:colOff>
      <xdr:row>46</xdr:row>
      <xdr:rowOff>636480</xdr:rowOff>
    </xdr:from>
    <xdr:to>
      <xdr:col>9</xdr:col>
      <xdr:colOff>659606</xdr:colOff>
      <xdr:row>49</xdr:row>
      <xdr:rowOff>278</xdr:rowOff>
    </xdr:to>
    <xdr:pic>
      <xdr:nvPicPr>
        <xdr:cNvPr id="140" name="image31.png">
          <a:extLst>
            <a:ext uri="{FF2B5EF4-FFF2-40B4-BE49-F238E27FC236}">
              <a16:creationId xmlns:a16="http://schemas.microsoft.com/office/drawing/2014/main" id="{00000000-0008-0000-0800-00008C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10644480" y="211947840"/>
          <a:ext cx="2209320" cy="1571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394920</xdr:colOff>
      <xdr:row>38</xdr:row>
      <xdr:rowOff>286200</xdr:rowOff>
    </xdr:from>
    <xdr:to>
      <xdr:col>8</xdr:col>
      <xdr:colOff>1438416</xdr:colOff>
      <xdr:row>41</xdr:row>
      <xdr:rowOff>240442</xdr:rowOff>
    </xdr:to>
    <xdr:pic>
      <xdr:nvPicPr>
        <xdr:cNvPr id="141" name="image25.png 1">
          <a:extLst>
            <a:ext uri="{FF2B5EF4-FFF2-40B4-BE49-F238E27FC236}">
              <a16:creationId xmlns:a16="http://schemas.microsoft.com/office/drawing/2014/main" id="{00000000-0008-0000-0800-00008D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27080" y="157835880"/>
          <a:ext cx="104724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388440</xdr:colOff>
      <xdr:row>39</xdr:row>
      <xdr:rowOff>63720</xdr:rowOff>
    </xdr:from>
    <xdr:to>
      <xdr:col>8</xdr:col>
      <xdr:colOff>1463746</xdr:colOff>
      <xdr:row>42</xdr:row>
      <xdr:rowOff>27488</xdr:rowOff>
    </xdr:to>
    <xdr:pic>
      <xdr:nvPicPr>
        <xdr:cNvPr id="142" name="image29.png 1">
          <a:extLst>
            <a:ext uri="{FF2B5EF4-FFF2-40B4-BE49-F238E27FC236}">
              <a16:creationId xmlns:a16="http://schemas.microsoft.com/office/drawing/2014/main" id="{00000000-0008-0000-0800-00008E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0920600" y="164333880"/>
          <a:ext cx="108540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414360</xdr:colOff>
      <xdr:row>40</xdr:row>
      <xdr:rowOff>445320</xdr:rowOff>
    </xdr:from>
    <xdr:to>
      <xdr:col>8</xdr:col>
      <xdr:colOff>1362816</xdr:colOff>
      <xdr:row>43</xdr:row>
      <xdr:rowOff>345588</xdr:rowOff>
    </xdr:to>
    <xdr:pic>
      <xdr:nvPicPr>
        <xdr:cNvPr id="143" name="image30.png 3">
          <a:extLst>
            <a:ext uri="{FF2B5EF4-FFF2-40B4-BE49-F238E27FC236}">
              <a16:creationId xmlns:a16="http://schemas.microsoft.com/office/drawing/2014/main" id="{00000000-0008-0000-0800-00008F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0946520" y="171435600"/>
          <a:ext cx="95220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414360</xdr:colOff>
      <xdr:row>41</xdr:row>
      <xdr:rowOff>1019520</xdr:rowOff>
    </xdr:from>
    <xdr:to>
      <xdr:col>8</xdr:col>
      <xdr:colOff>1362816</xdr:colOff>
      <xdr:row>44</xdr:row>
      <xdr:rowOff>436213</xdr:rowOff>
    </xdr:to>
    <xdr:pic>
      <xdr:nvPicPr>
        <xdr:cNvPr id="144" name="image30.png 4">
          <a:extLst>
            <a:ext uri="{FF2B5EF4-FFF2-40B4-BE49-F238E27FC236}">
              <a16:creationId xmlns:a16="http://schemas.microsoft.com/office/drawing/2014/main" id="{00000000-0008-0000-0800-000090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0946520" y="178729920"/>
          <a:ext cx="95220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414360</xdr:colOff>
      <xdr:row>42</xdr:row>
      <xdr:rowOff>636840</xdr:rowOff>
    </xdr:from>
    <xdr:to>
      <xdr:col>8</xdr:col>
      <xdr:colOff>1362816</xdr:colOff>
      <xdr:row>45</xdr:row>
      <xdr:rowOff>435508</xdr:rowOff>
    </xdr:to>
    <xdr:pic>
      <xdr:nvPicPr>
        <xdr:cNvPr id="145" name="image30.png 5">
          <a:extLst>
            <a:ext uri="{FF2B5EF4-FFF2-40B4-BE49-F238E27FC236}">
              <a16:creationId xmlns:a16="http://schemas.microsoft.com/office/drawing/2014/main" id="{00000000-0008-0000-0800-000091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0946520" y="185067360"/>
          <a:ext cx="95220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424080</xdr:colOff>
      <xdr:row>45</xdr:row>
      <xdr:rowOff>732960</xdr:rowOff>
    </xdr:from>
    <xdr:to>
      <xdr:col>8</xdr:col>
      <xdr:colOff>1153296</xdr:colOff>
      <xdr:row>47</xdr:row>
      <xdr:rowOff>430027</xdr:rowOff>
    </xdr:to>
    <xdr:pic>
      <xdr:nvPicPr>
        <xdr:cNvPr id="146" name="image26.png 1">
          <a:extLst>
            <a:ext uri="{FF2B5EF4-FFF2-40B4-BE49-F238E27FC236}">
              <a16:creationId xmlns:a16="http://schemas.microsoft.com/office/drawing/2014/main" id="{00000000-0008-0000-0800-000092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0956240" y="205324200"/>
          <a:ext cx="73296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407880</xdr:colOff>
      <xdr:row>45</xdr:row>
      <xdr:rowOff>0</xdr:rowOff>
    </xdr:from>
    <xdr:to>
      <xdr:col>8</xdr:col>
      <xdr:colOff>1191161</xdr:colOff>
      <xdr:row>47</xdr:row>
      <xdr:rowOff>163792</xdr:rowOff>
    </xdr:to>
    <xdr:pic>
      <xdr:nvPicPr>
        <xdr:cNvPr id="147" name="image23.png 1">
          <a:extLst>
            <a:ext uri="{FF2B5EF4-FFF2-40B4-BE49-F238E27FC236}">
              <a16:creationId xmlns:a16="http://schemas.microsoft.com/office/drawing/2014/main" id="{00000000-0008-0000-0800-000093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10940040" y="204591240"/>
          <a:ext cx="790200" cy="1847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465480</xdr:colOff>
      <xdr:row>47</xdr:row>
      <xdr:rowOff>669240</xdr:rowOff>
    </xdr:from>
    <xdr:to>
      <xdr:col>8</xdr:col>
      <xdr:colOff>950386</xdr:colOff>
      <xdr:row>49</xdr:row>
      <xdr:rowOff>902884</xdr:rowOff>
    </xdr:to>
    <xdr:pic>
      <xdr:nvPicPr>
        <xdr:cNvPr id="148" name="image27.png 1">
          <a:extLst>
            <a:ext uri="{FF2B5EF4-FFF2-40B4-BE49-F238E27FC236}">
              <a16:creationId xmlns:a16="http://schemas.microsoft.com/office/drawing/2014/main" id="{00000000-0008-0000-0800-000094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10997640" y="218701080"/>
          <a:ext cx="49500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189360</xdr:colOff>
      <xdr:row>45</xdr:row>
      <xdr:rowOff>732960</xdr:rowOff>
    </xdr:from>
    <xdr:to>
      <xdr:col>9</xdr:col>
      <xdr:colOff>673416</xdr:colOff>
      <xdr:row>47</xdr:row>
      <xdr:rowOff>430027</xdr:rowOff>
    </xdr:to>
    <xdr:pic>
      <xdr:nvPicPr>
        <xdr:cNvPr id="149" name="image28.png 1">
          <a:extLst>
            <a:ext uri="{FF2B5EF4-FFF2-40B4-BE49-F238E27FC236}">
              <a16:creationId xmlns:a16="http://schemas.microsoft.com/office/drawing/2014/main" id="{00000000-0008-0000-0800-000095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10721520" y="205324200"/>
          <a:ext cx="215244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112320</xdr:colOff>
      <xdr:row>46</xdr:row>
      <xdr:rowOff>636480</xdr:rowOff>
    </xdr:from>
    <xdr:to>
      <xdr:col>9</xdr:col>
      <xdr:colOff>659606</xdr:colOff>
      <xdr:row>49</xdr:row>
      <xdr:rowOff>278</xdr:rowOff>
    </xdr:to>
    <xdr:pic>
      <xdr:nvPicPr>
        <xdr:cNvPr id="150" name="image31.png 1">
          <a:extLst>
            <a:ext uri="{FF2B5EF4-FFF2-40B4-BE49-F238E27FC236}">
              <a16:creationId xmlns:a16="http://schemas.microsoft.com/office/drawing/2014/main" id="{00000000-0008-0000-0800-000096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10644480" y="211947840"/>
          <a:ext cx="2209320" cy="1571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40</xdr:row>
      <xdr:rowOff>0</xdr:rowOff>
    </xdr:from>
    <xdr:to>
      <xdr:col>12</xdr:col>
      <xdr:colOff>313920</xdr:colOff>
      <xdr:row>40</xdr:row>
      <xdr:rowOff>306704</xdr:rowOff>
    </xdr:to>
    <xdr:sp macro="" textlink="">
      <xdr:nvSpPr>
        <xdr:cNvPr id="151" name="Shape 109">
          <a:extLst>
            <a:ext uri="{FF2B5EF4-FFF2-40B4-BE49-F238E27FC236}">
              <a16:creationId xmlns:a16="http://schemas.microsoft.com/office/drawing/2014/main" id="{00000000-0008-0000-0B00-000097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12</xdr:col>
      <xdr:colOff>313920</xdr:colOff>
      <xdr:row>40</xdr:row>
      <xdr:rowOff>306704</xdr:rowOff>
    </xdr:to>
    <xdr:sp macro="" textlink="">
      <xdr:nvSpPr>
        <xdr:cNvPr id="152" name="Shape 110">
          <a:extLst>
            <a:ext uri="{FF2B5EF4-FFF2-40B4-BE49-F238E27FC236}">
              <a16:creationId xmlns:a16="http://schemas.microsoft.com/office/drawing/2014/main" id="{00000000-0008-0000-0B00-000098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12</xdr:col>
      <xdr:colOff>313920</xdr:colOff>
      <xdr:row>40</xdr:row>
      <xdr:rowOff>306704</xdr:rowOff>
    </xdr:to>
    <xdr:sp macro="" textlink="">
      <xdr:nvSpPr>
        <xdr:cNvPr id="153" name="Shape 111">
          <a:extLst>
            <a:ext uri="{FF2B5EF4-FFF2-40B4-BE49-F238E27FC236}">
              <a16:creationId xmlns:a16="http://schemas.microsoft.com/office/drawing/2014/main" id="{00000000-0008-0000-0B00-000099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12</xdr:col>
      <xdr:colOff>323640</xdr:colOff>
      <xdr:row>41</xdr:row>
      <xdr:rowOff>323640</xdr:rowOff>
    </xdr:to>
    <xdr:sp macro="" textlink="">
      <xdr:nvSpPr>
        <xdr:cNvPr id="154" name="Shape 112">
          <a:extLst>
            <a:ext uri="{FF2B5EF4-FFF2-40B4-BE49-F238E27FC236}">
              <a16:creationId xmlns:a16="http://schemas.microsoft.com/office/drawing/2014/main" id="{00000000-0008-0000-0B00-00009A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12</xdr:col>
      <xdr:colOff>323640</xdr:colOff>
      <xdr:row>41</xdr:row>
      <xdr:rowOff>323640</xdr:rowOff>
    </xdr:to>
    <xdr:sp macro="" textlink="">
      <xdr:nvSpPr>
        <xdr:cNvPr id="155" name="Shape 113">
          <a:extLst>
            <a:ext uri="{FF2B5EF4-FFF2-40B4-BE49-F238E27FC236}">
              <a16:creationId xmlns:a16="http://schemas.microsoft.com/office/drawing/2014/main" id="{00000000-0008-0000-0B00-00009B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12</xdr:col>
      <xdr:colOff>323640</xdr:colOff>
      <xdr:row>41</xdr:row>
      <xdr:rowOff>323640</xdr:rowOff>
    </xdr:to>
    <xdr:sp macro="" textlink="">
      <xdr:nvSpPr>
        <xdr:cNvPr id="156" name="Shape 114">
          <a:extLst>
            <a:ext uri="{FF2B5EF4-FFF2-40B4-BE49-F238E27FC236}">
              <a16:creationId xmlns:a16="http://schemas.microsoft.com/office/drawing/2014/main" id="{00000000-0008-0000-0B00-00009C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12</xdr:col>
      <xdr:colOff>323640</xdr:colOff>
      <xdr:row>42</xdr:row>
      <xdr:rowOff>323640</xdr:rowOff>
    </xdr:to>
    <xdr:sp macro="" textlink="">
      <xdr:nvSpPr>
        <xdr:cNvPr id="157" name="Shape 115">
          <a:extLst>
            <a:ext uri="{FF2B5EF4-FFF2-40B4-BE49-F238E27FC236}">
              <a16:creationId xmlns:a16="http://schemas.microsoft.com/office/drawing/2014/main" id="{00000000-0008-0000-0B00-00009D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12</xdr:col>
      <xdr:colOff>323640</xdr:colOff>
      <xdr:row>42</xdr:row>
      <xdr:rowOff>323640</xdr:rowOff>
    </xdr:to>
    <xdr:sp macro="" textlink="">
      <xdr:nvSpPr>
        <xdr:cNvPr id="158" name="Shape 116">
          <a:extLst>
            <a:ext uri="{FF2B5EF4-FFF2-40B4-BE49-F238E27FC236}">
              <a16:creationId xmlns:a16="http://schemas.microsoft.com/office/drawing/2014/main" id="{00000000-0008-0000-0B00-00009E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12</xdr:col>
      <xdr:colOff>323640</xdr:colOff>
      <xdr:row>42</xdr:row>
      <xdr:rowOff>323640</xdr:rowOff>
    </xdr:to>
    <xdr:sp macro="" textlink="">
      <xdr:nvSpPr>
        <xdr:cNvPr id="159" name="Shape 117">
          <a:extLst>
            <a:ext uri="{FF2B5EF4-FFF2-40B4-BE49-F238E27FC236}">
              <a16:creationId xmlns:a16="http://schemas.microsoft.com/office/drawing/2014/main" id="{00000000-0008-0000-0B00-00009F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12</xdr:col>
      <xdr:colOff>323640</xdr:colOff>
      <xdr:row>43</xdr:row>
      <xdr:rowOff>323640</xdr:rowOff>
    </xdr:to>
    <xdr:sp macro="" textlink="">
      <xdr:nvSpPr>
        <xdr:cNvPr id="160" name="Shape 118">
          <a:extLst>
            <a:ext uri="{FF2B5EF4-FFF2-40B4-BE49-F238E27FC236}">
              <a16:creationId xmlns:a16="http://schemas.microsoft.com/office/drawing/2014/main" id="{00000000-0008-0000-0B00-0000A0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12</xdr:col>
      <xdr:colOff>323640</xdr:colOff>
      <xdr:row>43</xdr:row>
      <xdr:rowOff>323640</xdr:rowOff>
    </xdr:to>
    <xdr:sp macro="" textlink="">
      <xdr:nvSpPr>
        <xdr:cNvPr id="161" name="Shape 119">
          <a:extLst>
            <a:ext uri="{FF2B5EF4-FFF2-40B4-BE49-F238E27FC236}">
              <a16:creationId xmlns:a16="http://schemas.microsoft.com/office/drawing/2014/main" id="{00000000-0008-0000-0B00-0000A1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12</xdr:col>
      <xdr:colOff>323640</xdr:colOff>
      <xdr:row>43</xdr:row>
      <xdr:rowOff>323640</xdr:rowOff>
    </xdr:to>
    <xdr:sp macro="" textlink="">
      <xdr:nvSpPr>
        <xdr:cNvPr id="162" name="Shape 120">
          <a:extLst>
            <a:ext uri="{FF2B5EF4-FFF2-40B4-BE49-F238E27FC236}">
              <a16:creationId xmlns:a16="http://schemas.microsoft.com/office/drawing/2014/main" id="{00000000-0008-0000-0B00-0000A2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12</xdr:col>
      <xdr:colOff>323640</xdr:colOff>
      <xdr:row>43</xdr:row>
      <xdr:rowOff>323640</xdr:rowOff>
    </xdr:to>
    <xdr:sp macro="" textlink="">
      <xdr:nvSpPr>
        <xdr:cNvPr id="163" name="Shape 121">
          <a:extLst>
            <a:ext uri="{FF2B5EF4-FFF2-40B4-BE49-F238E27FC236}">
              <a16:creationId xmlns:a16="http://schemas.microsoft.com/office/drawing/2014/main" id="{00000000-0008-0000-0B00-0000A3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12</xdr:col>
      <xdr:colOff>323640</xdr:colOff>
      <xdr:row>43</xdr:row>
      <xdr:rowOff>323640</xdr:rowOff>
    </xdr:to>
    <xdr:sp macro="" textlink="">
      <xdr:nvSpPr>
        <xdr:cNvPr id="164" name="Shape 122">
          <a:extLst>
            <a:ext uri="{FF2B5EF4-FFF2-40B4-BE49-F238E27FC236}">
              <a16:creationId xmlns:a16="http://schemas.microsoft.com/office/drawing/2014/main" id="{00000000-0008-0000-0B00-0000A4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12</xdr:col>
      <xdr:colOff>323640</xdr:colOff>
      <xdr:row>44</xdr:row>
      <xdr:rowOff>323640</xdr:rowOff>
    </xdr:to>
    <xdr:sp macro="" textlink="">
      <xdr:nvSpPr>
        <xdr:cNvPr id="165" name="Shape 123">
          <a:extLst>
            <a:ext uri="{FF2B5EF4-FFF2-40B4-BE49-F238E27FC236}">
              <a16:creationId xmlns:a16="http://schemas.microsoft.com/office/drawing/2014/main" id="{00000000-0008-0000-0B00-0000A5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12</xdr:col>
      <xdr:colOff>323640</xdr:colOff>
      <xdr:row>44</xdr:row>
      <xdr:rowOff>323640</xdr:rowOff>
    </xdr:to>
    <xdr:sp macro="" textlink="">
      <xdr:nvSpPr>
        <xdr:cNvPr id="166" name="Shape 124">
          <a:extLst>
            <a:ext uri="{FF2B5EF4-FFF2-40B4-BE49-F238E27FC236}">
              <a16:creationId xmlns:a16="http://schemas.microsoft.com/office/drawing/2014/main" id="{00000000-0008-0000-0B00-0000A6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12</xdr:col>
      <xdr:colOff>323640</xdr:colOff>
      <xdr:row>44</xdr:row>
      <xdr:rowOff>323640</xdr:rowOff>
    </xdr:to>
    <xdr:sp macro="" textlink="">
      <xdr:nvSpPr>
        <xdr:cNvPr id="167" name="Shape 125">
          <a:extLst>
            <a:ext uri="{FF2B5EF4-FFF2-40B4-BE49-F238E27FC236}">
              <a16:creationId xmlns:a16="http://schemas.microsoft.com/office/drawing/2014/main" id="{00000000-0008-0000-0B00-0000A7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12</xdr:col>
      <xdr:colOff>323640</xdr:colOff>
      <xdr:row>44</xdr:row>
      <xdr:rowOff>323640</xdr:rowOff>
    </xdr:to>
    <xdr:sp macro="" textlink="">
      <xdr:nvSpPr>
        <xdr:cNvPr id="168" name="Shape 126">
          <a:extLst>
            <a:ext uri="{FF2B5EF4-FFF2-40B4-BE49-F238E27FC236}">
              <a16:creationId xmlns:a16="http://schemas.microsoft.com/office/drawing/2014/main" id="{00000000-0008-0000-0B00-0000A8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12</xdr:col>
      <xdr:colOff>323640</xdr:colOff>
      <xdr:row>44</xdr:row>
      <xdr:rowOff>323640</xdr:rowOff>
    </xdr:to>
    <xdr:sp macro="" textlink="">
      <xdr:nvSpPr>
        <xdr:cNvPr id="169" name="Shape 127">
          <a:extLst>
            <a:ext uri="{FF2B5EF4-FFF2-40B4-BE49-F238E27FC236}">
              <a16:creationId xmlns:a16="http://schemas.microsoft.com/office/drawing/2014/main" id="{00000000-0008-0000-0B00-0000A9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12</xdr:col>
      <xdr:colOff>323640</xdr:colOff>
      <xdr:row>44</xdr:row>
      <xdr:rowOff>323640</xdr:rowOff>
    </xdr:to>
    <xdr:sp macro="" textlink="">
      <xdr:nvSpPr>
        <xdr:cNvPr id="170" name="Shape 128">
          <a:extLst>
            <a:ext uri="{FF2B5EF4-FFF2-40B4-BE49-F238E27FC236}">
              <a16:creationId xmlns:a16="http://schemas.microsoft.com/office/drawing/2014/main" id="{00000000-0008-0000-0B00-0000AA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12</xdr:col>
      <xdr:colOff>323640</xdr:colOff>
      <xdr:row>45</xdr:row>
      <xdr:rowOff>323640</xdr:rowOff>
    </xdr:to>
    <xdr:sp macro="" textlink="">
      <xdr:nvSpPr>
        <xdr:cNvPr id="171" name="Shape 129">
          <a:extLst>
            <a:ext uri="{FF2B5EF4-FFF2-40B4-BE49-F238E27FC236}">
              <a16:creationId xmlns:a16="http://schemas.microsoft.com/office/drawing/2014/main" id="{00000000-0008-0000-0B00-0000AB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12</xdr:col>
      <xdr:colOff>323640</xdr:colOff>
      <xdr:row>45</xdr:row>
      <xdr:rowOff>323640</xdr:rowOff>
    </xdr:to>
    <xdr:sp macro="" textlink="">
      <xdr:nvSpPr>
        <xdr:cNvPr id="172" name="Shape 130">
          <a:extLst>
            <a:ext uri="{FF2B5EF4-FFF2-40B4-BE49-F238E27FC236}">
              <a16:creationId xmlns:a16="http://schemas.microsoft.com/office/drawing/2014/main" id="{00000000-0008-0000-0B00-0000AC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12</xdr:col>
      <xdr:colOff>323640</xdr:colOff>
      <xdr:row>45</xdr:row>
      <xdr:rowOff>323640</xdr:rowOff>
    </xdr:to>
    <xdr:sp macro="" textlink="">
      <xdr:nvSpPr>
        <xdr:cNvPr id="173" name="Shape 131">
          <a:extLst>
            <a:ext uri="{FF2B5EF4-FFF2-40B4-BE49-F238E27FC236}">
              <a16:creationId xmlns:a16="http://schemas.microsoft.com/office/drawing/2014/main" id="{00000000-0008-0000-0B00-0000AD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12</xdr:col>
      <xdr:colOff>323640</xdr:colOff>
      <xdr:row>46</xdr:row>
      <xdr:rowOff>316424</xdr:rowOff>
    </xdr:to>
    <xdr:sp macro="" textlink="">
      <xdr:nvSpPr>
        <xdr:cNvPr id="174" name="Shape 132">
          <a:extLst>
            <a:ext uri="{FF2B5EF4-FFF2-40B4-BE49-F238E27FC236}">
              <a16:creationId xmlns:a16="http://schemas.microsoft.com/office/drawing/2014/main" id="{00000000-0008-0000-0B00-0000AE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12</xdr:col>
      <xdr:colOff>323640</xdr:colOff>
      <xdr:row>46</xdr:row>
      <xdr:rowOff>316424</xdr:rowOff>
    </xdr:to>
    <xdr:sp macro="" textlink="">
      <xdr:nvSpPr>
        <xdr:cNvPr id="175" name="Shape 133">
          <a:extLst>
            <a:ext uri="{FF2B5EF4-FFF2-40B4-BE49-F238E27FC236}">
              <a16:creationId xmlns:a16="http://schemas.microsoft.com/office/drawing/2014/main" id="{00000000-0008-0000-0B00-0000AF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12</xdr:col>
      <xdr:colOff>323640</xdr:colOff>
      <xdr:row>46</xdr:row>
      <xdr:rowOff>316424</xdr:rowOff>
    </xdr:to>
    <xdr:sp macro="" textlink="">
      <xdr:nvSpPr>
        <xdr:cNvPr id="176" name="Shape 134">
          <a:extLst>
            <a:ext uri="{FF2B5EF4-FFF2-40B4-BE49-F238E27FC236}">
              <a16:creationId xmlns:a16="http://schemas.microsoft.com/office/drawing/2014/main" id="{00000000-0008-0000-0B00-0000B0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17</xdr:row>
      <xdr:rowOff>1609560</xdr:rowOff>
    </xdr:from>
    <xdr:to>
      <xdr:col>12</xdr:col>
      <xdr:colOff>313920</xdr:colOff>
      <xdr:row>18</xdr:row>
      <xdr:rowOff>313085</xdr:rowOff>
    </xdr:to>
    <xdr:sp macro="" textlink="">
      <xdr:nvSpPr>
        <xdr:cNvPr id="177" name="Shape 135">
          <a:extLst>
            <a:ext uri="{FF2B5EF4-FFF2-40B4-BE49-F238E27FC236}">
              <a16:creationId xmlns:a16="http://schemas.microsoft.com/office/drawing/2014/main" id="{00000000-0008-0000-0B00-0000B1000000}"/>
            </a:ext>
          </a:extLst>
        </xdr:cNvPr>
        <xdr:cNvSpPr/>
      </xdr:nvSpPr>
      <xdr:spPr>
        <a:xfrm>
          <a:off x="17614800" y="16243200"/>
          <a:ext cx="31392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20</xdr:row>
      <xdr:rowOff>0</xdr:rowOff>
    </xdr:from>
    <xdr:to>
      <xdr:col>12</xdr:col>
      <xdr:colOff>313920</xdr:colOff>
      <xdr:row>20</xdr:row>
      <xdr:rowOff>306704</xdr:rowOff>
    </xdr:to>
    <xdr:sp macro="" textlink="">
      <xdr:nvSpPr>
        <xdr:cNvPr id="178" name="Shape 136">
          <a:extLst>
            <a:ext uri="{FF2B5EF4-FFF2-40B4-BE49-F238E27FC236}">
              <a16:creationId xmlns:a16="http://schemas.microsoft.com/office/drawing/2014/main" id="{00000000-0008-0000-0B00-0000B2000000}"/>
            </a:ext>
          </a:extLst>
        </xdr:cNvPr>
        <xdr:cNvSpPr/>
      </xdr:nvSpPr>
      <xdr:spPr>
        <a:xfrm>
          <a:off x="1761480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18</xdr:col>
      <xdr:colOff>313920</xdr:colOff>
      <xdr:row>20</xdr:row>
      <xdr:rowOff>306704</xdr:rowOff>
    </xdr:to>
    <xdr:sp macro="" textlink="">
      <xdr:nvSpPr>
        <xdr:cNvPr id="179" name="Shape 137">
          <a:extLst>
            <a:ext uri="{FF2B5EF4-FFF2-40B4-BE49-F238E27FC236}">
              <a16:creationId xmlns:a16="http://schemas.microsoft.com/office/drawing/2014/main" id="{00000000-0008-0000-0B00-0000B3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18</xdr:col>
      <xdr:colOff>313920</xdr:colOff>
      <xdr:row>20</xdr:row>
      <xdr:rowOff>306704</xdr:rowOff>
    </xdr:to>
    <xdr:sp macro="" textlink="">
      <xdr:nvSpPr>
        <xdr:cNvPr id="180" name="Shape 138">
          <a:extLst>
            <a:ext uri="{FF2B5EF4-FFF2-40B4-BE49-F238E27FC236}">
              <a16:creationId xmlns:a16="http://schemas.microsoft.com/office/drawing/2014/main" id="{00000000-0008-0000-0B00-0000B4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12</xdr:col>
      <xdr:colOff>313920</xdr:colOff>
      <xdr:row>39</xdr:row>
      <xdr:rowOff>306704</xdr:rowOff>
    </xdr:to>
    <xdr:sp macro="" textlink="">
      <xdr:nvSpPr>
        <xdr:cNvPr id="181" name="Shape 139">
          <a:extLst>
            <a:ext uri="{FF2B5EF4-FFF2-40B4-BE49-F238E27FC236}">
              <a16:creationId xmlns:a16="http://schemas.microsoft.com/office/drawing/2014/main" id="{00000000-0008-0000-0B00-0000B5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12</xdr:col>
      <xdr:colOff>313920</xdr:colOff>
      <xdr:row>39</xdr:row>
      <xdr:rowOff>306704</xdr:rowOff>
    </xdr:to>
    <xdr:sp macro="" textlink="">
      <xdr:nvSpPr>
        <xdr:cNvPr id="182" name="Shape 140">
          <a:extLst>
            <a:ext uri="{FF2B5EF4-FFF2-40B4-BE49-F238E27FC236}">
              <a16:creationId xmlns:a16="http://schemas.microsoft.com/office/drawing/2014/main" id="{00000000-0008-0000-0B00-0000B6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12</xdr:col>
      <xdr:colOff>313920</xdr:colOff>
      <xdr:row>39</xdr:row>
      <xdr:rowOff>306704</xdr:rowOff>
    </xdr:to>
    <xdr:sp macro="" textlink="">
      <xdr:nvSpPr>
        <xdr:cNvPr id="183" name="Shape 141">
          <a:extLst>
            <a:ext uri="{FF2B5EF4-FFF2-40B4-BE49-F238E27FC236}">
              <a16:creationId xmlns:a16="http://schemas.microsoft.com/office/drawing/2014/main" id="{00000000-0008-0000-0B00-0000B7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74</xdr:row>
      <xdr:rowOff>0</xdr:rowOff>
    </xdr:from>
    <xdr:to>
      <xdr:col>12</xdr:col>
      <xdr:colOff>313920</xdr:colOff>
      <xdr:row>74</xdr:row>
      <xdr:rowOff>306704</xdr:rowOff>
    </xdr:to>
    <xdr:sp macro="" textlink="">
      <xdr:nvSpPr>
        <xdr:cNvPr id="184" name="Shape 142">
          <a:extLst>
            <a:ext uri="{FF2B5EF4-FFF2-40B4-BE49-F238E27FC236}">
              <a16:creationId xmlns:a16="http://schemas.microsoft.com/office/drawing/2014/main" id="{00000000-0008-0000-0B00-0000B8000000}"/>
            </a:ext>
          </a:extLst>
        </xdr:cNvPr>
        <xdr:cNvSpPr/>
      </xdr:nvSpPr>
      <xdr:spPr>
        <a:xfrm>
          <a:off x="17614800" y="4169005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76</xdr:row>
      <xdr:rowOff>0</xdr:rowOff>
    </xdr:from>
    <xdr:to>
      <xdr:col>12</xdr:col>
      <xdr:colOff>313920</xdr:colOff>
      <xdr:row>76</xdr:row>
      <xdr:rowOff>306704</xdr:rowOff>
    </xdr:to>
    <xdr:sp macro="" textlink="">
      <xdr:nvSpPr>
        <xdr:cNvPr id="185" name="Shape 143">
          <a:extLst>
            <a:ext uri="{FF2B5EF4-FFF2-40B4-BE49-F238E27FC236}">
              <a16:creationId xmlns:a16="http://schemas.microsoft.com/office/drawing/2014/main" id="{00000000-0008-0000-0B00-0000B9000000}"/>
            </a:ext>
          </a:extLst>
        </xdr:cNvPr>
        <xdr:cNvSpPr/>
      </xdr:nvSpPr>
      <xdr:spPr>
        <a:xfrm>
          <a:off x="17614800" y="430340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151200</xdr:colOff>
      <xdr:row>65</xdr:row>
      <xdr:rowOff>0</xdr:rowOff>
    </xdr:from>
    <xdr:to>
      <xdr:col>7</xdr:col>
      <xdr:colOff>426960</xdr:colOff>
      <xdr:row>65</xdr:row>
      <xdr:rowOff>697882</xdr:rowOff>
    </xdr:to>
    <xdr:pic>
      <xdr:nvPicPr>
        <xdr:cNvPr id="186" name="image48.png">
          <a:extLst>
            <a:ext uri="{FF2B5EF4-FFF2-40B4-BE49-F238E27FC236}">
              <a16:creationId xmlns:a16="http://schemas.microsoft.com/office/drawing/2014/main" id="{00000000-0008-0000-0B00-0000B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876120" y="331828200"/>
          <a:ext cx="27576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62</xdr:row>
      <xdr:rowOff>235800</xdr:rowOff>
    </xdr:from>
    <xdr:to>
      <xdr:col>7</xdr:col>
      <xdr:colOff>486000</xdr:colOff>
      <xdr:row>63</xdr:row>
      <xdr:rowOff>28364</xdr:rowOff>
    </xdr:to>
    <xdr:pic>
      <xdr:nvPicPr>
        <xdr:cNvPr id="187" name="image41.png">
          <a:extLst>
            <a:ext uri="{FF2B5EF4-FFF2-40B4-BE49-F238E27FC236}">
              <a16:creationId xmlns:a16="http://schemas.microsoft.com/office/drawing/2014/main" id="{00000000-0008-0000-0B00-0000B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858840" y="31100724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41040</xdr:colOff>
      <xdr:row>64</xdr:row>
      <xdr:rowOff>588960</xdr:rowOff>
    </xdr:from>
    <xdr:to>
      <xdr:col>7</xdr:col>
      <xdr:colOff>970777</xdr:colOff>
      <xdr:row>65</xdr:row>
      <xdr:rowOff>228882</xdr:rowOff>
    </xdr:to>
    <xdr:pic>
      <xdr:nvPicPr>
        <xdr:cNvPr id="188" name="image35.png">
          <a:extLst>
            <a:ext uri="{FF2B5EF4-FFF2-40B4-BE49-F238E27FC236}">
              <a16:creationId xmlns:a16="http://schemas.microsoft.com/office/drawing/2014/main" id="{00000000-0008-0000-0B00-0000BC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765960" y="325697040"/>
          <a:ext cx="93312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56</xdr:row>
      <xdr:rowOff>75600</xdr:rowOff>
    </xdr:from>
    <xdr:to>
      <xdr:col>7</xdr:col>
      <xdr:colOff>429840</xdr:colOff>
      <xdr:row>56</xdr:row>
      <xdr:rowOff>740258</xdr:rowOff>
    </xdr:to>
    <xdr:pic>
      <xdr:nvPicPr>
        <xdr:cNvPr id="189" name="image51.jpg">
          <a:extLst>
            <a:ext uri="{FF2B5EF4-FFF2-40B4-BE49-F238E27FC236}">
              <a16:creationId xmlns:a16="http://schemas.microsoft.com/office/drawing/2014/main" id="{00000000-0008-0000-0B00-0000BD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69280" y="28172592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57</xdr:row>
      <xdr:rowOff>50760</xdr:rowOff>
    </xdr:from>
    <xdr:to>
      <xdr:col>7</xdr:col>
      <xdr:colOff>440280</xdr:colOff>
      <xdr:row>57</xdr:row>
      <xdr:rowOff>715418</xdr:rowOff>
    </xdr:to>
    <xdr:pic>
      <xdr:nvPicPr>
        <xdr:cNvPr id="190" name="image51.jpg 1">
          <a:extLst>
            <a:ext uri="{FF2B5EF4-FFF2-40B4-BE49-F238E27FC236}">
              <a16:creationId xmlns:a16="http://schemas.microsoft.com/office/drawing/2014/main" id="{00000000-0008-0000-0B00-0000B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866294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58</xdr:row>
      <xdr:rowOff>101520</xdr:rowOff>
    </xdr:from>
    <xdr:to>
      <xdr:col>7</xdr:col>
      <xdr:colOff>440280</xdr:colOff>
      <xdr:row>58</xdr:row>
      <xdr:rowOff>772528</xdr:rowOff>
    </xdr:to>
    <xdr:pic>
      <xdr:nvPicPr>
        <xdr:cNvPr id="191" name="image51.jpg 2">
          <a:extLst>
            <a:ext uri="{FF2B5EF4-FFF2-40B4-BE49-F238E27FC236}">
              <a16:creationId xmlns:a16="http://schemas.microsoft.com/office/drawing/2014/main" id="{00000000-0008-0000-0B00-0000BF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916082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59</xdr:row>
      <xdr:rowOff>115200</xdr:rowOff>
    </xdr:from>
    <xdr:to>
      <xdr:col>7</xdr:col>
      <xdr:colOff>436680</xdr:colOff>
      <xdr:row>59</xdr:row>
      <xdr:rowOff>779858</xdr:rowOff>
    </xdr:to>
    <xdr:pic>
      <xdr:nvPicPr>
        <xdr:cNvPr id="192" name="image51.jpg 3">
          <a:extLst>
            <a:ext uri="{FF2B5EF4-FFF2-40B4-BE49-F238E27FC236}">
              <a16:creationId xmlns:a16="http://schemas.microsoft.com/office/drawing/2014/main" id="{00000000-0008-0000-0B00-0000C0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6120" y="29655036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20</xdr:row>
      <xdr:rowOff>323640</xdr:rowOff>
    </xdr:from>
    <xdr:to>
      <xdr:col>7</xdr:col>
      <xdr:colOff>716630</xdr:colOff>
      <xdr:row>21</xdr:row>
      <xdr:rowOff>1341</xdr:rowOff>
    </xdr:to>
    <xdr:pic>
      <xdr:nvPicPr>
        <xdr:cNvPr id="193" name="image36.png">
          <a:extLst>
            <a:ext uri="{FF2B5EF4-FFF2-40B4-BE49-F238E27FC236}">
              <a16:creationId xmlns:a16="http://schemas.microsoft.com/office/drawing/2014/main" id="{00000000-0008-0000-0B00-0000C1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12845160" y="36909720"/>
          <a:ext cx="590040" cy="571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21</xdr:row>
      <xdr:rowOff>172800</xdr:rowOff>
    </xdr:from>
    <xdr:to>
      <xdr:col>7</xdr:col>
      <xdr:colOff>694570</xdr:colOff>
      <xdr:row>21</xdr:row>
      <xdr:rowOff>750016</xdr:rowOff>
    </xdr:to>
    <xdr:pic>
      <xdr:nvPicPr>
        <xdr:cNvPr id="194" name="image40.png">
          <a:extLst>
            <a:ext uri="{FF2B5EF4-FFF2-40B4-BE49-F238E27FC236}">
              <a16:creationId xmlns:a16="http://schemas.microsoft.com/office/drawing/2014/main" id="{00000000-0008-0000-0B00-0000C2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12845160" y="43030800"/>
          <a:ext cx="580680" cy="580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22</xdr:row>
      <xdr:rowOff>240480</xdr:rowOff>
    </xdr:from>
    <xdr:to>
      <xdr:col>7</xdr:col>
      <xdr:colOff>732730</xdr:colOff>
      <xdr:row>22</xdr:row>
      <xdr:rowOff>826674</xdr:rowOff>
    </xdr:to>
    <xdr:pic>
      <xdr:nvPicPr>
        <xdr:cNvPr id="195" name="image50.png">
          <a:extLst>
            <a:ext uri="{FF2B5EF4-FFF2-40B4-BE49-F238E27FC236}">
              <a16:creationId xmlns:a16="http://schemas.microsoft.com/office/drawing/2014/main" id="{00000000-0008-0000-0B00-0000C3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12845160" y="49818600"/>
          <a:ext cx="61884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25</xdr:row>
      <xdr:rowOff>323640</xdr:rowOff>
    </xdr:from>
    <xdr:to>
      <xdr:col>7</xdr:col>
      <xdr:colOff>545040</xdr:colOff>
      <xdr:row>26</xdr:row>
      <xdr:rowOff>20063</xdr:rowOff>
    </xdr:to>
    <xdr:pic>
      <xdr:nvPicPr>
        <xdr:cNvPr id="196" name="image39.png">
          <a:extLst>
            <a:ext uri="{FF2B5EF4-FFF2-40B4-BE49-F238E27FC236}">
              <a16:creationId xmlns:a16="http://schemas.microsoft.com/office/drawing/2014/main" id="{00000000-0008-0000-0B00-0000C4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12879720" y="68270040"/>
          <a:ext cx="3902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130680</xdr:colOff>
      <xdr:row>24</xdr:row>
      <xdr:rowOff>0</xdr:rowOff>
    </xdr:from>
    <xdr:to>
      <xdr:col>7</xdr:col>
      <xdr:colOff>520920</xdr:colOff>
      <xdr:row>24</xdr:row>
      <xdr:rowOff>607418</xdr:rowOff>
    </xdr:to>
    <xdr:pic>
      <xdr:nvPicPr>
        <xdr:cNvPr id="197" name="image34.png">
          <a:extLst>
            <a:ext uri="{FF2B5EF4-FFF2-40B4-BE49-F238E27FC236}">
              <a16:creationId xmlns:a16="http://schemas.microsoft.com/office/drawing/2014/main" id="{00000000-0008-0000-0B00-0000C5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12855600" y="61674480"/>
          <a:ext cx="3902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23</xdr:row>
      <xdr:rowOff>129240</xdr:rowOff>
    </xdr:from>
    <xdr:to>
      <xdr:col>7</xdr:col>
      <xdr:colOff>571680</xdr:colOff>
      <xdr:row>23</xdr:row>
      <xdr:rowOff>792137</xdr:rowOff>
    </xdr:to>
    <xdr:pic>
      <xdr:nvPicPr>
        <xdr:cNvPr id="198" name="image44.png">
          <a:extLst>
            <a:ext uri="{FF2B5EF4-FFF2-40B4-BE49-F238E27FC236}">
              <a16:creationId xmlns:a16="http://schemas.microsoft.com/office/drawing/2014/main" id="{00000000-0008-0000-0B00-0000C6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12858840" y="55531800"/>
          <a:ext cx="4377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25</xdr:row>
      <xdr:rowOff>0</xdr:rowOff>
    </xdr:from>
    <xdr:to>
      <xdr:col>7</xdr:col>
      <xdr:colOff>559440</xdr:colOff>
      <xdr:row>25</xdr:row>
      <xdr:rowOff>649784</xdr:rowOff>
    </xdr:to>
    <xdr:pic>
      <xdr:nvPicPr>
        <xdr:cNvPr id="199" name="image42.png">
          <a:extLst>
            <a:ext uri="{FF2B5EF4-FFF2-40B4-BE49-F238E27FC236}">
              <a16:creationId xmlns:a16="http://schemas.microsoft.com/office/drawing/2014/main" id="{00000000-0008-0000-0B00-0000C7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12865680" y="67946400"/>
          <a:ext cx="4186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24</xdr:row>
      <xdr:rowOff>290520</xdr:rowOff>
    </xdr:from>
    <xdr:to>
      <xdr:col>7</xdr:col>
      <xdr:colOff>533520</xdr:colOff>
      <xdr:row>25</xdr:row>
      <xdr:rowOff>2175</xdr:rowOff>
    </xdr:to>
    <xdr:pic>
      <xdr:nvPicPr>
        <xdr:cNvPr id="200" name="image43.png">
          <a:extLst>
            <a:ext uri="{FF2B5EF4-FFF2-40B4-BE49-F238E27FC236}">
              <a16:creationId xmlns:a16="http://schemas.microsoft.com/office/drawing/2014/main" id="{00000000-0008-0000-0B00-0000C8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12858840" y="61965000"/>
          <a:ext cx="39960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41</xdr:row>
      <xdr:rowOff>277200</xdr:rowOff>
    </xdr:from>
    <xdr:to>
      <xdr:col>7</xdr:col>
      <xdr:colOff>487310</xdr:colOff>
      <xdr:row>42</xdr:row>
      <xdr:rowOff>12361</xdr:rowOff>
    </xdr:to>
    <xdr:pic>
      <xdr:nvPicPr>
        <xdr:cNvPr id="201" name="image46.png">
          <a:extLst>
            <a:ext uri="{FF2B5EF4-FFF2-40B4-BE49-F238E27FC236}">
              <a16:creationId xmlns:a16="http://schemas.microsoft.com/office/drawing/2014/main" id="{00000000-0008-0000-0B00-0000C9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12872880" y="177091560"/>
          <a:ext cx="33300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42</xdr:row>
      <xdr:rowOff>221760</xdr:rowOff>
    </xdr:from>
    <xdr:to>
      <xdr:col>7</xdr:col>
      <xdr:colOff>487800</xdr:colOff>
      <xdr:row>42</xdr:row>
      <xdr:rowOff>875296</xdr:rowOff>
    </xdr:to>
    <xdr:pic>
      <xdr:nvPicPr>
        <xdr:cNvPr id="202" name="image37.png">
          <a:extLst>
            <a:ext uri="{FF2B5EF4-FFF2-40B4-BE49-F238E27FC236}">
              <a16:creationId xmlns:a16="http://schemas.microsoft.com/office/drawing/2014/main" id="{00000000-0008-0000-0B00-0000CA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12879720" y="183756600"/>
          <a:ext cx="3330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44</xdr:row>
      <xdr:rowOff>258120</xdr:rowOff>
    </xdr:from>
    <xdr:to>
      <xdr:col>7</xdr:col>
      <xdr:colOff>502330</xdr:colOff>
      <xdr:row>46</xdr:row>
      <xdr:rowOff>263957</xdr:rowOff>
    </xdr:to>
    <xdr:pic>
      <xdr:nvPicPr>
        <xdr:cNvPr id="203" name="image32.png">
          <a:extLst>
            <a:ext uri="{FF2B5EF4-FFF2-40B4-BE49-F238E27FC236}">
              <a16:creationId xmlns:a16="http://schemas.microsoft.com/office/drawing/2014/main" id="{00000000-0008-0000-0B00-0000CB000000}"/>
            </a:ext>
          </a:extLst>
        </xdr:cNvPr>
        <xdr:cNvPicPr/>
      </xdr:nvPicPr>
      <xdr:blipFill>
        <a:blip xmlns:r="http://schemas.openxmlformats.org/officeDocument/2006/relationships" r:embed="rId15"/>
        <a:stretch/>
      </xdr:blipFill>
      <xdr:spPr>
        <a:xfrm>
          <a:off x="12862440" y="198129960"/>
          <a:ext cx="37116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45</xdr:row>
      <xdr:rowOff>208080</xdr:rowOff>
    </xdr:from>
    <xdr:to>
      <xdr:col>7</xdr:col>
      <xdr:colOff>506880</xdr:colOff>
      <xdr:row>47</xdr:row>
      <xdr:rowOff>210163</xdr:rowOff>
    </xdr:to>
    <xdr:pic>
      <xdr:nvPicPr>
        <xdr:cNvPr id="204" name="image45.png">
          <a:extLst>
            <a:ext uri="{FF2B5EF4-FFF2-40B4-BE49-F238E27FC236}">
              <a16:creationId xmlns:a16="http://schemas.microsoft.com/office/drawing/2014/main" id="{00000000-0008-0000-0B00-0000CC000000}"/>
            </a:ext>
          </a:extLst>
        </xdr:cNvPr>
        <xdr:cNvPicPr/>
      </xdr:nvPicPr>
      <xdr:blipFill>
        <a:blip xmlns:r="http://schemas.openxmlformats.org/officeDocument/2006/relationships" r:embed="rId16"/>
        <a:stretch/>
      </xdr:blipFill>
      <xdr:spPr>
        <a:xfrm>
          <a:off x="12879720" y="205248240"/>
          <a:ext cx="35208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43</xdr:row>
      <xdr:rowOff>258120</xdr:rowOff>
    </xdr:from>
    <xdr:to>
      <xdr:col>7</xdr:col>
      <xdr:colOff>427450</xdr:colOff>
      <xdr:row>43</xdr:row>
      <xdr:rowOff>873496</xdr:rowOff>
    </xdr:to>
    <xdr:pic>
      <xdr:nvPicPr>
        <xdr:cNvPr id="205" name="image49.png">
          <a:extLst>
            <a:ext uri="{FF2B5EF4-FFF2-40B4-BE49-F238E27FC236}">
              <a16:creationId xmlns:a16="http://schemas.microsoft.com/office/drawing/2014/main" id="{00000000-0008-0000-0B00-0000CD000000}"/>
            </a:ext>
          </a:extLst>
        </xdr:cNvPr>
        <xdr:cNvPicPr/>
      </xdr:nvPicPr>
      <xdr:blipFill>
        <a:blip xmlns:r="http://schemas.openxmlformats.org/officeDocument/2006/relationships" r:embed="rId17"/>
        <a:stretch/>
      </xdr:blipFill>
      <xdr:spPr>
        <a:xfrm>
          <a:off x="12882960" y="190961280"/>
          <a:ext cx="2757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46</xdr:row>
      <xdr:rowOff>110880</xdr:rowOff>
    </xdr:from>
    <xdr:to>
      <xdr:col>7</xdr:col>
      <xdr:colOff>330610</xdr:colOff>
      <xdr:row>46</xdr:row>
      <xdr:rowOff>769188</xdr:rowOff>
    </xdr:to>
    <xdr:pic>
      <xdr:nvPicPr>
        <xdr:cNvPr id="206" name="image47.png">
          <a:extLst>
            <a:ext uri="{FF2B5EF4-FFF2-40B4-BE49-F238E27FC236}">
              <a16:creationId xmlns:a16="http://schemas.microsoft.com/office/drawing/2014/main" id="{00000000-0008-0000-0B00-0000CE000000}"/>
            </a:ext>
          </a:extLst>
        </xdr:cNvPr>
        <xdr:cNvPicPr/>
      </xdr:nvPicPr>
      <xdr:blipFill>
        <a:blip xmlns:r="http://schemas.openxmlformats.org/officeDocument/2006/relationships" r:embed="rId18"/>
        <a:stretch/>
      </xdr:blipFill>
      <xdr:spPr>
        <a:xfrm>
          <a:off x="12900240" y="211871160"/>
          <a:ext cx="16164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48</xdr:row>
      <xdr:rowOff>82440</xdr:rowOff>
    </xdr:from>
    <xdr:to>
      <xdr:col>7</xdr:col>
      <xdr:colOff>333360</xdr:colOff>
      <xdr:row>48</xdr:row>
      <xdr:rowOff>763674</xdr:rowOff>
    </xdr:to>
    <xdr:pic>
      <xdr:nvPicPr>
        <xdr:cNvPr id="207" name="image33.png">
          <a:extLst>
            <a:ext uri="{FF2B5EF4-FFF2-40B4-BE49-F238E27FC236}">
              <a16:creationId xmlns:a16="http://schemas.microsoft.com/office/drawing/2014/main" id="{00000000-0008-0000-0B00-0000CF000000}"/>
            </a:ext>
          </a:extLst>
        </xdr:cNvPr>
        <xdr:cNvPicPr/>
      </xdr:nvPicPr>
      <xdr:blipFill>
        <a:blip xmlns:r="http://schemas.openxmlformats.org/officeDocument/2006/relationships" r:embed="rId19"/>
        <a:stretch/>
      </xdr:blipFill>
      <xdr:spPr>
        <a:xfrm>
          <a:off x="12896640" y="223043040"/>
          <a:ext cx="16164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6840</xdr:colOff>
      <xdr:row>51</xdr:row>
      <xdr:rowOff>1431360</xdr:rowOff>
    </xdr:from>
    <xdr:to>
      <xdr:col>7</xdr:col>
      <xdr:colOff>1304922</xdr:colOff>
      <xdr:row>52</xdr:row>
      <xdr:rowOff>169766</xdr:rowOff>
    </xdr:to>
    <xdr:pic>
      <xdr:nvPicPr>
        <xdr:cNvPr id="208" name="image38.jpg">
          <a:extLst>
            <a:ext uri="{FF2B5EF4-FFF2-40B4-BE49-F238E27FC236}">
              <a16:creationId xmlns:a16="http://schemas.microsoft.com/office/drawing/2014/main" id="{00000000-0008-0000-0B00-0000D0000000}"/>
            </a:ext>
          </a:extLst>
        </xdr:cNvPr>
        <xdr:cNvPicPr/>
      </xdr:nvPicPr>
      <xdr:blipFill>
        <a:blip xmlns:r="http://schemas.openxmlformats.org/officeDocument/2006/relationships" r:embed="rId20"/>
        <a:stretch/>
      </xdr:blipFill>
      <xdr:spPr>
        <a:xfrm>
          <a:off x="12731760" y="247240440"/>
          <a:ext cx="1304640" cy="180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52</xdr:row>
      <xdr:rowOff>241920</xdr:rowOff>
    </xdr:from>
    <xdr:to>
      <xdr:col>7</xdr:col>
      <xdr:colOff>390600</xdr:colOff>
      <xdr:row>52</xdr:row>
      <xdr:rowOff>844566</xdr:rowOff>
    </xdr:to>
    <xdr:pic>
      <xdr:nvPicPr>
        <xdr:cNvPr id="209" name="image58.png">
          <a:extLst>
            <a:ext uri="{FF2B5EF4-FFF2-40B4-BE49-F238E27FC236}">
              <a16:creationId xmlns:a16="http://schemas.microsoft.com/office/drawing/2014/main" id="{00000000-0008-0000-0B00-0000D1000000}"/>
            </a:ext>
          </a:extLst>
        </xdr:cNvPr>
        <xdr:cNvPicPr/>
      </xdr:nvPicPr>
      <xdr:blipFill>
        <a:blip xmlns:r="http://schemas.openxmlformats.org/officeDocument/2006/relationships" r:embed="rId21"/>
        <a:stretch/>
      </xdr:blipFill>
      <xdr:spPr>
        <a:xfrm>
          <a:off x="12896640" y="255011400"/>
          <a:ext cx="21888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63</xdr:row>
      <xdr:rowOff>1351080</xdr:rowOff>
    </xdr:from>
    <xdr:to>
      <xdr:col>7</xdr:col>
      <xdr:colOff>1190017</xdr:colOff>
      <xdr:row>65</xdr:row>
      <xdr:rowOff>9302</xdr:rowOff>
    </xdr:to>
    <xdr:pic>
      <xdr:nvPicPr>
        <xdr:cNvPr id="210" name="image57.png">
          <a:extLst>
            <a:ext uri="{FF2B5EF4-FFF2-40B4-BE49-F238E27FC236}">
              <a16:creationId xmlns:a16="http://schemas.microsoft.com/office/drawing/2014/main" id="{00000000-0008-0000-0B00-0000D2000000}"/>
            </a:ext>
          </a:extLst>
        </xdr:cNvPr>
        <xdr:cNvPicPr/>
      </xdr:nvPicPr>
      <xdr:blipFill>
        <a:blip xmlns:r="http://schemas.openxmlformats.org/officeDocument/2006/relationships" r:embed="rId22"/>
        <a:stretch/>
      </xdr:blipFill>
      <xdr:spPr>
        <a:xfrm>
          <a:off x="12852000" y="319738680"/>
          <a:ext cx="106632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109800</xdr:colOff>
      <xdr:row>65</xdr:row>
      <xdr:rowOff>166320</xdr:rowOff>
    </xdr:from>
    <xdr:to>
      <xdr:col>7</xdr:col>
      <xdr:colOff>617530</xdr:colOff>
      <xdr:row>65</xdr:row>
      <xdr:rowOff>788047</xdr:rowOff>
    </xdr:to>
    <xdr:pic>
      <xdr:nvPicPr>
        <xdr:cNvPr id="211" name="image66.png">
          <a:extLst>
            <a:ext uri="{FF2B5EF4-FFF2-40B4-BE49-F238E27FC236}">
              <a16:creationId xmlns:a16="http://schemas.microsoft.com/office/drawing/2014/main" id="{00000000-0008-0000-0B00-0000D3000000}"/>
            </a:ext>
          </a:extLst>
        </xdr:cNvPr>
        <xdr:cNvPicPr/>
      </xdr:nvPicPr>
      <xdr:blipFill>
        <a:blip xmlns:r="http://schemas.openxmlformats.org/officeDocument/2006/relationships" r:embed="rId23"/>
        <a:stretch/>
      </xdr:blipFill>
      <xdr:spPr>
        <a:xfrm>
          <a:off x="12834720" y="331994520"/>
          <a:ext cx="51408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96120</xdr:colOff>
      <xdr:row>66</xdr:row>
      <xdr:rowOff>305280</xdr:rowOff>
    </xdr:from>
    <xdr:to>
      <xdr:col>7</xdr:col>
      <xdr:colOff>657720</xdr:colOff>
      <xdr:row>67</xdr:row>
      <xdr:rowOff>69238</xdr:rowOff>
    </xdr:to>
    <xdr:pic>
      <xdr:nvPicPr>
        <xdr:cNvPr id="212" name="image54.png">
          <a:extLst>
            <a:ext uri="{FF2B5EF4-FFF2-40B4-BE49-F238E27FC236}">
              <a16:creationId xmlns:a16="http://schemas.microsoft.com/office/drawing/2014/main" id="{00000000-0008-0000-0B00-0000D4000000}"/>
            </a:ext>
          </a:extLst>
        </xdr:cNvPr>
        <xdr:cNvPicPr/>
      </xdr:nvPicPr>
      <xdr:blipFill>
        <a:blip xmlns:r="http://schemas.openxmlformats.org/officeDocument/2006/relationships" r:embed="rId24"/>
        <a:stretch/>
      </xdr:blipFill>
      <xdr:spPr>
        <a:xfrm>
          <a:off x="12821040" y="3401978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74</xdr:row>
      <xdr:rowOff>129240</xdr:rowOff>
    </xdr:from>
    <xdr:to>
      <xdr:col>7</xdr:col>
      <xdr:colOff>693000</xdr:colOff>
      <xdr:row>74</xdr:row>
      <xdr:rowOff>782034</xdr:rowOff>
    </xdr:to>
    <xdr:pic>
      <xdr:nvPicPr>
        <xdr:cNvPr id="213" name="image53.png">
          <a:extLst>
            <a:ext uri="{FF2B5EF4-FFF2-40B4-BE49-F238E27FC236}">
              <a16:creationId xmlns:a16="http://schemas.microsoft.com/office/drawing/2014/main" id="{00000000-0008-0000-0B00-0000D5000000}"/>
            </a:ext>
          </a:extLst>
        </xdr:cNvPr>
        <xdr:cNvPicPr/>
      </xdr:nvPicPr>
      <xdr:blipFill>
        <a:blip xmlns:r="http://schemas.openxmlformats.org/officeDocument/2006/relationships" r:embed="rId25"/>
        <a:stretch/>
      </xdr:blipFill>
      <xdr:spPr>
        <a:xfrm>
          <a:off x="12865680" y="417029760"/>
          <a:ext cx="55224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68</xdr:row>
      <xdr:rowOff>249480</xdr:rowOff>
    </xdr:from>
    <xdr:to>
      <xdr:col>7</xdr:col>
      <xdr:colOff>650520</xdr:colOff>
      <xdr:row>68</xdr:row>
      <xdr:rowOff>874412</xdr:rowOff>
    </xdr:to>
    <xdr:pic>
      <xdr:nvPicPr>
        <xdr:cNvPr id="214" name="image63.png">
          <a:extLst>
            <a:ext uri="{FF2B5EF4-FFF2-40B4-BE49-F238E27FC236}">
              <a16:creationId xmlns:a16="http://schemas.microsoft.com/office/drawing/2014/main" id="{00000000-0008-0000-0B00-0000D6000000}"/>
            </a:ext>
          </a:extLst>
        </xdr:cNvPr>
        <xdr:cNvPicPr/>
      </xdr:nvPicPr>
      <xdr:blipFill>
        <a:blip xmlns:r="http://schemas.openxmlformats.org/officeDocument/2006/relationships" r:embed="rId26"/>
        <a:stretch/>
      </xdr:blipFill>
      <xdr:spPr>
        <a:xfrm>
          <a:off x="12852000" y="359803080"/>
          <a:ext cx="52344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69</xdr:row>
      <xdr:rowOff>339120</xdr:rowOff>
    </xdr:from>
    <xdr:to>
      <xdr:col>7</xdr:col>
      <xdr:colOff>660240</xdr:colOff>
      <xdr:row>70</xdr:row>
      <xdr:rowOff>96535</xdr:rowOff>
    </xdr:to>
    <xdr:pic>
      <xdr:nvPicPr>
        <xdr:cNvPr id="215" name="image59.png">
          <a:extLst>
            <a:ext uri="{FF2B5EF4-FFF2-40B4-BE49-F238E27FC236}">
              <a16:creationId xmlns:a16="http://schemas.microsoft.com/office/drawing/2014/main" id="{00000000-0008-0000-0B00-0000D7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2852000" y="367957080"/>
          <a:ext cx="5331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71</xdr:row>
      <xdr:rowOff>165240</xdr:rowOff>
    </xdr:from>
    <xdr:to>
      <xdr:col>7</xdr:col>
      <xdr:colOff>678830</xdr:colOff>
      <xdr:row>71</xdr:row>
      <xdr:rowOff>809056</xdr:rowOff>
    </xdr:to>
    <xdr:pic>
      <xdr:nvPicPr>
        <xdr:cNvPr id="216" name="image65.png">
          <a:extLst>
            <a:ext uri="{FF2B5EF4-FFF2-40B4-BE49-F238E27FC236}">
              <a16:creationId xmlns:a16="http://schemas.microsoft.com/office/drawing/2014/main" id="{00000000-0008-0000-0B00-0000D8000000}"/>
            </a:ext>
          </a:extLst>
        </xdr:cNvPr>
        <xdr:cNvPicPr/>
      </xdr:nvPicPr>
      <xdr:blipFill>
        <a:blip xmlns:r="http://schemas.openxmlformats.org/officeDocument/2006/relationships" r:embed="rId28"/>
        <a:stretch/>
      </xdr:blipFill>
      <xdr:spPr>
        <a:xfrm>
          <a:off x="12845160" y="386151840"/>
          <a:ext cx="55224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67</xdr:row>
      <xdr:rowOff>303480</xdr:rowOff>
    </xdr:from>
    <xdr:to>
      <xdr:col>7</xdr:col>
      <xdr:colOff>637330</xdr:colOff>
      <xdr:row>68</xdr:row>
      <xdr:rowOff>48165</xdr:rowOff>
    </xdr:to>
    <xdr:pic>
      <xdr:nvPicPr>
        <xdr:cNvPr id="217" name="image56.png">
          <a:extLst>
            <a:ext uri="{FF2B5EF4-FFF2-40B4-BE49-F238E27FC236}">
              <a16:creationId xmlns:a16="http://schemas.microsoft.com/office/drawing/2014/main" id="{00000000-0008-0000-0B00-0000D9000000}"/>
            </a:ext>
          </a:extLst>
        </xdr:cNvPr>
        <xdr:cNvPicPr/>
      </xdr:nvPicPr>
      <xdr:blipFill>
        <a:blip xmlns:r="http://schemas.openxmlformats.org/officeDocument/2006/relationships" r:embed="rId29"/>
        <a:stretch/>
      </xdr:blipFill>
      <xdr:spPr>
        <a:xfrm>
          <a:off x="12845160" y="350052480"/>
          <a:ext cx="5234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70</xdr:row>
      <xdr:rowOff>369720</xdr:rowOff>
    </xdr:from>
    <xdr:to>
      <xdr:col>7</xdr:col>
      <xdr:colOff>619200</xdr:colOff>
      <xdr:row>71</xdr:row>
      <xdr:rowOff>76244</xdr:rowOff>
    </xdr:to>
    <xdr:pic>
      <xdr:nvPicPr>
        <xdr:cNvPr id="218" name="image64.png">
          <a:extLst>
            <a:ext uri="{FF2B5EF4-FFF2-40B4-BE49-F238E27FC236}">
              <a16:creationId xmlns:a16="http://schemas.microsoft.com/office/drawing/2014/main" id="{00000000-0008-0000-0B00-0000DA000000}"/>
            </a:ext>
          </a:extLst>
        </xdr:cNvPr>
        <xdr:cNvPicPr/>
      </xdr:nvPicPr>
      <xdr:blipFill>
        <a:blip xmlns:r="http://schemas.openxmlformats.org/officeDocument/2006/relationships" r:embed="rId30"/>
        <a:stretch/>
      </xdr:blipFill>
      <xdr:spPr>
        <a:xfrm>
          <a:off x="12858840" y="377395920"/>
          <a:ext cx="48528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72</xdr:row>
      <xdr:rowOff>322920</xdr:rowOff>
    </xdr:from>
    <xdr:to>
      <xdr:col>7</xdr:col>
      <xdr:colOff>667080</xdr:colOff>
      <xdr:row>73</xdr:row>
      <xdr:rowOff>67603</xdr:rowOff>
    </xdr:to>
    <xdr:pic>
      <xdr:nvPicPr>
        <xdr:cNvPr id="219" name="image68.png">
          <a:extLst>
            <a:ext uri="{FF2B5EF4-FFF2-40B4-BE49-F238E27FC236}">
              <a16:creationId xmlns:a16="http://schemas.microsoft.com/office/drawing/2014/main" id="{00000000-0008-0000-0B00-0000DB000000}"/>
            </a:ext>
          </a:extLst>
        </xdr:cNvPr>
        <xdr:cNvPicPr/>
      </xdr:nvPicPr>
      <xdr:blipFill>
        <a:blip xmlns:r="http://schemas.openxmlformats.org/officeDocument/2006/relationships" r:embed="rId31"/>
        <a:stretch/>
      </xdr:blipFill>
      <xdr:spPr>
        <a:xfrm>
          <a:off x="12858840" y="397062000"/>
          <a:ext cx="53316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73</xdr:row>
      <xdr:rowOff>288000</xdr:rowOff>
    </xdr:from>
    <xdr:to>
      <xdr:col>7</xdr:col>
      <xdr:colOff>669600</xdr:colOff>
      <xdr:row>74</xdr:row>
      <xdr:rowOff>47920</xdr:rowOff>
    </xdr:to>
    <xdr:pic>
      <xdr:nvPicPr>
        <xdr:cNvPr id="220" name="image55.png">
          <a:extLst>
            <a:ext uri="{FF2B5EF4-FFF2-40B4-BE49-F238E27FC236}">
              <a16:creationId xmlns:a16="http://schemas.microsoft.com/office/drawing/2014/main" id="{00000000-0008-0000-0B00-0000DC000000}"/>
            </a:ext>
          </a:extLst>
        </xdr:cNvPr>
        <xdr:cNvPicPr/>
      </xdr:nvPicPr>
      <xdr:blipFill>
        <a:blip xmlns:r="http://schemas.openxmlformats.org/officeDocument/2006/relationships" r:embed="rId32"/>
        <a:stretch/>
      </xdr:blipFill>
      <xdr:spPr>
        <a:xfrm>
          <a:off x="12852000" y="405987480"/>
          <a:ext cx="5425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85680</xdr:colOff>
      <xdr:row>76</xdr:row>
      <xdr:rowOff>101520</xdr:rowOff>
    </xdr:from>
    <xdr:to>
      <xdr:col>7</xdr:col>
      <xdr:colOff>812082</xdr:colOff>
      <xdr:row>76</xdr:row>
      <xdr:rowOff>684344</xdr:rowOff>
    </xdr:to>
    <xdr:pic>
      <xdr:nvPicPr>
        <xdr:cNvPr id="221" name="image60.png">
          <a:extLst>
            <a:ext uri="{FF2B5EF4-FFF2-40B4-BE49-F238E27FC236}">
              <a16:creationId xmlns:a16="http://schemas.microsoft.com/office/drawing/2014/main" id="{00000000-0008-0000-0B00-0000DD000000}"/>
            </a:ext>
          </a:extLst>
        </xdr:cNvPr>
        <xdr:cNvPicPr/>
      </xdr:nvPicPr>
      <xdr:blipFill>
        <a:blip xmlns:r="http://schemas.openxmlformats.org/officeDocument/2006/relationships" r:embed="rId33"/>
        <a:stretch/>
      </xdr:blipFill>
      <xdr:spPr>
        <a:xfrm>
          <a:off x="12810600" y="430442280"/>
          <a:ext cx="73296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77</xdr:row>
      <xdr:rowOff>311400</xdr:rowOff>
    </xdr:from>
    <xdr:to>
      <xdr:col>7</xdr:col>
      <xdr:colOff>673690</xdr:colOff>
      <xdr:row>77</xdr:row>
      <xdr:rowOff>866527</xdr:rowOff>
    </xdr:to>
    <xdr:pic>
      <xdr:nvPicPr>
        <xdr:cNvPr id="222" name="image61.jpg">
          <a:extLst>
            <a:ext uri="{FF2B5EF4-FFF2-40B4-BE49-F238E27FC236}">
              <a16:creationId xmlns:a16="http://schemas.microsoft.com/office/drawing/2014/main" id="{00000000-0008-0000-0B00-0000DE000000}"/>
            </a:ext>
          </a:extLst>
        </xdr:cNvPr>
        <xdr:cNvPicPr/>
      </xdr:nvPicPr>
      <xdr:blipFill>
        <a:blip xmlns:r="http://schemas.openxmlformats.org/officeDocument/2006/relationships" r:embed="rId34"/>
        <a:stretch/>
      </xdr:blipFill>
      <xdr:spPr>
        <a:xfrm>
          <a:off x="12862440" y="435580560"/>
          <a:ext cx="542520" cy="552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78840</xdr:colOff>
      <xdr:row>74</xdr:row>
      <xdr:rowOff>0</xdr:rowOff>
    </xdr:from>
    <xdr:to>
      <xdr:col>7</xdr:col>
      <xdr:colOff>961057</xdr:colOff>
      <xdr:row>74</xdr:row>
      <xdr:rowOff>649784</xdr:rowOff>
    </xdr:to>
    <xdr:pic>
      <xdr:nvPicPr>
        <xdr:cNvPr id="223" name="image70.png">
          <a:extLst>
            <a:ext uri="{FF2B5EF4-FFF2-40B4-BE49-F238E27FC236}">
              <a16:creationId xmlns:a16="http://schemas.microsoft.com/office/drawing/2014/main" id="{00000000-0008-0000-0B00-0000DF000000}"/>
            </a:ext>
          </a:extLst>
        </xdr:cNvPr>
        <xdr:cNvPicPr/>
      </xdr:nvPicPr>
      <xdr:blipFill>
        <a:blip xmlns:r="http://schemas.openxmlformats.org/officeDocument/2006/relationships" r:embed="rId35"/>
        <a:stretch/>
      </xdr:blipFill>
      <xdr:spPr>
        <a:xfrm>
          <a:off x="12803760" y="416900520"/>
          <a:ext cx="885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75</xdr:row>
      <xdr:rowOff>184320</xdr:rowOff>
    </xdr:from>
    <xdr:to>
      <xdr:col>7</xdr:col>
      <xdr:colOff>565070</xdr:colOff>
      <xdr:row>77</xdr:row>
      <xdr:rowOff>197372</xdr:rowOff>
    </xdr:to>
    <xdr:pic>
      <xdr:nvPicPr>
        <xdr:cNvPr id="224" name="image62.jpg">
          <a:extLst>
            <a:ext uri="{FF2B5EF4-FFF2-40B4-BE49-F238E27FC236}">
              <a16:creationId xmlns:a16="http://schemas.microsoft.com/office/drawing/2014/main" id="{00000000-0008-0000-0B00-0000E0000000}"/>
            </a:ext>
          </a:extLst>
        </xdr:cNvPr>
        <xdr:cNvPicPr/>
      </xdr:nvPicPr>
      <xdr:blipFill>
        <a:blip xmlns:r="http://schemas.openxmlformats.org/officeDocument/2006/relationships" r:embed="rId36"/>
        <a:stretch/>
      </xdr:blipFill>
      <xdr:spPr>
        <a:xfrm>
          <a:off x="12893400" y="423356400"/>
          <a:ext cx="39024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83</xdr:row>
      <xdr:rowOff>184320</xdr:rowOff>
    </xdr:from>
    <xdr:to>
      <xdr:col>7</xdr:col>
      <xdr:colOff>521050</xdr:colOff>
      <xdr:row>84</xdr:row>
      <xdr:rowOff>258521</xdr:rowOff>
    </xdr:to>
    <xdr:pic>
      <xdr:nvPicPr>
        <xdr:cNvPr id="225" name="image67.png">
          <a:extLst>
            <a:ext uri="{FF2B5EF4-FFF2-40B4-BE49-F238E27FC236}">
              <a16:creationId xmlns:a16="http://schemas.microsoft.com/office/drawing/2014/main" id="{00000000-0008-0000-0B00-0000E1000000}"/>
            </a:ext>
          </a:extLst>
        </xdr:cNvPr>
        <xdr:cNvPicPr/>
      </xdr:nvPicPr>
      <xdr:blipFill>
        <a:blip xmlns:r="http://schemas.openxmlformats.org/officeDocument/2006/relationships" r:embed="rId37"/>
        <a:stretch/>
      </xdr:blipFill>
      <xdr:spPr>
        <a:xfrm>
          <a:off x="12900240" y="480702240"/>
          <a:ext cx="352080" cy="971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182160</xdr:colOff>
      <xdr:row>39</xdr:row>
      <xdr:rowOff>241920</xdr:rowOff>
    </xdr:from>
    <xdr:to>
      <xdr:col>7</xdr:col>
      <xdr:colOff>334080</xdr:colOff>
      <xdr:row>39</xdr:row>
      <xdr:rowOff>830258</xdr:rowOff>
    </xdr:to>
    <xdr:pic>
      <xdr:nvPicPr>
        <xdr:cNvPr id="226" name="image69.png">
          <a:extLst>
            <a:ext uri="{FF2B5EF4-FFF2-40B4-BE49-F238E27FC236}">
              <a16:creationId xmlns:a16="http://schemas.microsoft.com/office/drawing/2014/main" id="{00000000-0008-0000-0B00-0000E2000000}"/>
            </a:ext>
          </a:extLst>
        </xdr:cNvPr>
        <xdr:cNvPicPr/>
      </xdr:nvPicPr>
      <xdr:blipFill>
        <a:blip xmlns:r="http://schemas.openxmlformats.org/officeDocument/2006/relationships" r:embed="rId38"/>
        <a:stretch/>
      </xdr:blipFill>
      <xdr:spPr>
        <a:xfrm>
          <a:off x="12907080" y="163616040"/>
          <a:ext cx="1519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195840</xdr:colOff>
      <xdr:row>40</xdr:row>
      <xdr:rowOff>588960</xdr:rowOff>
    </xdr:from>
    <xdr:to>
      <xdr:col>7</xdr:col>
      <xdr:colOff>411350</xdr:colOff>
      <xdr:row>41</xdr:row>
      <xdr:rowOff>218781</xdr:rowOff>
    </xdr:to>
    <xdr:pic>
      <xdr:nvPicPr>
        <xdr:cNvPr id="227" name="image73.png">
          <a:extLst>
            <a:ext uri="{FF2B5EF4-FFF2-40B4-BE49-F238E27FC236}">
              <a16:creationId xmlns:a16="http://schemas.microsoft.com/office/drawing/2014/main" id="{00000000-0008-0000-0B00-0000E3000000}"/>
            </a:ext>
          </a:extLst>
        </xdr:cNvPr>
        <xdr:cNvPicPr/>
      </xdr:nvPicPr>
      <xdr:blipFill>
        <a:blip xmlns:r="http://schemas.openxmlformats.org/officeDocument/2006/relationships" r:embed="rId39"/>
        <a:stretch/>
      </xdr:blipFill>
      <xdr:spPr>
        <a:xfrm>
          <a:off x="12920760" y="170683200"/>
          <a:ext cx="2091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60</xdr:row>
      <xdr:rowOff>177480</xdr:rowOff>
    </xdr:from>
    <xdr:to>
      <xdr:col>7</xdr:col>
      <xdr:colOff>419040</xdr:colOff>
      <xdr:row>60</xdr:row>
      <xdr:rowOff>750108</xdr:rowOff>
    </xdr:to>
    <xdr:pic>
      <xdr:nvPicPr>
        <xdr:cNvPr id="228" name="image51.jpg 4">
          <a:extLst>
            <a:ext uri="{FF2B5EF4-FFF2-40B4-BE49-F238E27FC236}">
              <a16:creationId xmlns:a16="http://schemas.microsoft.com/office/drawing/2014/main" id="{00000000-0008-0000-0B00-0000E4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96640" y="301092480"/>
          <a:ext cx="24732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164880</xdr:colOff>
      <xdr:row>61</xdr:row>
      <xdr:rowOff>0</xdr:rowOff>
    </xdr:from>
    <xdr:to>
      <xdr:col>7</xdr:col>
      <xdr:colOff>450360</xdr:colOff>
      <xdr:row>61</xdr:row>
      <xdr:rowOff>687584</xdr:rowOff>
    </xdr:to>
    <xdr:pic>
      <xdr:nvPicPr>
        <xdr:cNvPr id="229" name="image51.jpg 5">
          <a:extLst>
            <a:ext uri="{FF2B5EF4-FFF2-40B4-BE49-F238E27FC236}">
              <a16:creationId xmlns:a16="http://schemas.microsoft.com/office/drawing/2014/main" id="{00000000-0008-0000-0B00-0000E5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89800" y="305843400"/>
          <a:ext cx="28548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16</xdr:row>
      <xdr:rowOff>203400</xdr:rowOff>
    </xdr:from>
    <xdr:to>
      <xdr:col>7</xdr:col>
      <xdr:colOff>673690</xdr:colOff>
      <xdr:row>16</xdr:row>
      <xdr:rowOff>779874</xdr:rowOff>
    </xdr:to>
    <xdr:pic>
      <xdr:nvPicPr>
        <xdr:cNvPr id="230" name="image72.png">
          <a:extLst>
            <a:ext uri="{FF2B5EF4-FFF2-40B4-BE49-F238E27FC236}">
              <a16:creationId xmlns:a16="http://schemas.microsoft.com/office/drawing/2014/main" id="{00000000-0008-0000-0B00-0000E6000000}"/>
            </a:ext>
          </a:extLst>
        </xdr:cNvPr>
        <xdr:cNvPicPr/>
      </xdr:nvPicPr>
      <xdr:blipFill>
        <a:blip xmlns:r="http://schemas.openxmlformats.org/officeDocument/2006/relationships" r:embed="rId40"/>
        <a:stretch/>
      </xdr:blipFill>
      <xdr:spPr>
        <a:xfrm>
          <a:off x="12862440" y="9908640"/>
          <a:ext cx="542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17</xdr:row>
      <xdr:rowOff>117000</xdr:rowOff>
    </xdr:from>
    <xdr:to>
      <xdr:col>7</xdr:col>
      <xdr:colOff>715680</xdr:colOff>
      <xdr:row>17</xdr:row>
      <xdr:rowOff>770536</xdr:rowOff>
    </xdr:to>
    <xdr:pic>
      <xdr:nvPicPr>
        <xdr:cNvPr id="231" name="image79.png">
          <a:extLst>
            <a:ext uri="{FF2B5EF4-FFF2-40B4-BE49-F238E27FC236}">
              <a16:creationId xmlns:a16="http://schemas.microsoft.com/office/drawing/2014/main" id="{00000000-0008-0000-0B00-0000E7000000}"/>
            </a:ext>
          </a:extLst>
        </xdr:cNvPr>
        <xdr:cNvPicPr/>
      </xdr:nvPicPr>
      <xdr:blipFill>
        <a:blip xmlns:r="http://schemas.openxmlformats.org/officeDocument/2006/relationships" r:embed="rId41"/>
        <a:stretch/>
      </xdr:blipFill>
      <xdr:spPr>
        <a:xfrm>
          <a:off x="12869280" y="14750640"/>
          <a:ext cx="5713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18</xdr:row>
      <xdr:rowOff>274320</xdr:rowOff>
    </xdr:from>
    <xdr:to>
      <xdr:col>7</xdr:col>
      <xdr:colOff>715680</xdr:colOff>
      <xdr:row>19</xdr:row>
      <xdr:rowOff>9643</xdr:rowOff>
    </xdr:to>
    <xdr:pic>
      <xdr:nvPicPr>
        <xdr:cNvPr id="232" name="image74.png">
          <a:extLst>
            <a:ext uri="{FF2B5EF4-FFF2-40B4-BE49-F238E27FC236}">
              <a16:creationId xmlns:a16="http://schemas.microsoft.com/office/drawing/2014/main" id="{00000000-0008-0000-0B00-0000E8000000}"/>
            </a:ext>
          </a:extLst>
        </xdr:cNvPr>
        <xdr:cNvPicPr/>
      </xdr:nvPicPr>
      <xdr:blipFill>
        <a:blip xmlns:r="http://schemas.openxmlformats.org/officeDocument/2006/relationships" r:embed="rId42"/>
        <a:stretch/>
      </xdr:blipFill>
      <xdr:spPr>
        <a:xfrm>
          <a:off x="12869280" y="22524120"/>
          <a:ext cx="57132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19</xdr:row>
      <xdr:rowOff>172800</xdr:rowOff>
    </xdr:from>
    <xdr:to>
      <xdr:col>7</xdr:col>
      <xdr:colOff>705240</xdr:colOff>
      <xdr:row>19</xdr:row>
      <xdr:rowOff>807257</xdr:rowOff>
    </xdr:to>
    <xdr:pic>
      <xdr:nvPicPr>
        <xdr:cNvPr id="233" name="image75.png">
          <a:extLst>
            <a:ext uri="{FF2B5EF4-FFF2-40B4-BE49-F238E27FC236}">
              <a16:creationId xmlns:a16="http://schemas.microsoft.com/office/drawing/2014/main" id="{00000000-0008-0000-0B00-0000E9000000}"/>
            </a:ext>
          </a:extLst>
        </xdr:cNvPr>
        <xdr:cNvPicPr/>
      </xdr:nvPicPr>
      <xdr:blipFill>
        <a:blip xmlns:r="http://schemas.openxmlformats.org/officeDocument/2006/relationships" r:embed="rId43"/>
        <a:stretch/>
      </xdr:blipFill>
      <xdr:spPr>
        <a:xfrm>
          <a:off x="12858840" y="30038760"/>
          <a:ext cx="57132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26</xdr:row>
      <xdr:rowOff>406080</xdr:rowOff>
    </xdr:from>
    <xdr:to>
      <xdr:col>7</xdr:col>
      <xdr:colOff>494640</xdr:colOff>
      <xdr:row>27</xdr:row>
      <xdr:rowOff>211012</xdr:rowOff>
    </xdr:to>
    <xdr:pic>
      <xdr:nvPicPr>
        <xdr:cNvPr id="234" name="image71.jpg">
          <a:extLst>
            <a:ext uri="{FF2B5EF4-FFF2-40B4-BE49-F238E27FC236}">
              <a16:creationId xmlns:a16="http://schemas.microsoft.com/office/drawing/2014/main" id="{00000000-0008-0000-0B00-0000EA000000}"/>
            </a:ext>
          </a:extLst>
        </xdr:cNvPr>
        <xdr:cNvPicPr/>
      </xdr:nvPicPr>
      <xdr:blipFill>
        <a:blip xmlns:r="http://schemas.openxmlformats.org/officeDocument/2006/relationships" r:embed="rId44"/>
        <a:stretch/>
      </xdr:blipFill>
      <xdr:spPr>
        <a:xfrm>
          <a:off x="12886560" y="7462440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27</xdr:row>
      <xdr:rowOff>352800</xdr:rowOff>
    </xdr:from>
    <xdr:to>
      <xdr:col>7</xdr:col>
      <xdr:colOff>468950</xdr:colOff>
      <xdr:row>28</xdr:row>
      <xdr:rowOff>135646</xdr:rowOff>
    </xdr:to>
    <xdr:pic>
      <xdr:nvPicPr>
        <xdr:cNvPr id="235" name="image76.jpg">
          <a:extLst>
            <a:ext uri="{FF2B5EF4-FFF2-40B4-BE49-F238E27FC236}">
              <a16:creationId xmlns:a16="http://schemas.microsoft.com/office/drawing/2014/main" id="{00000000-0008-0000-0B00-0000EB000000}"/>
            </a:ext>
          </a:extLst>
        </xdr:cNvPr>
        <xdr:cNvPicPr/>
      </xdr:nvPicPr>
      <xdr:blipFill>
        <a:blip xmlns:r="http://schemas.openxmlformats.org/officeDocument/2006/relationships" r:embed="rId45"/>
        <a:stretch/>
      </xdr:blipFill>
      <xdr:spPr>
        <a:xfrm>
          <a:off x="12882960" y="81739440"/>
          <a:ext cx="3045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199440</xdr:colOff>
      <xdr:row>28</xdr:row>
      <xdr:rowOff>235800</xdr:rowOff>
    </xdr:from>
    <xdr:to>
      <xdr:col>7</xdr:col>
      <xdr:colOff>342000</xdr:colOff>
      <xdr:row>29</xdr:row>
      <xdr:rowOff>123403</xdr:rowOff>
    </xdr:to>
    <xdr:pic>
      <xdr:nvPicPr>
        <xdr:cNvPr id="236" name="image78.jpg">
          <a:extLst>
            <a:ext uri="{FF2B5EF4-FFF2-40B4-BE49-F238E27FC236}">
              <a16:creationId xmlns:a16="http://schemas.microsoft.com/office/drawing/2014/main" id="{00000000-0008-0000-0B00-0000EC000000}"/>
            </a:ext>
          </a:extLst>
        </xdr:cNvPr>
        <xdr:cNvPicPr/>
      </xdr:nvPicPr>
      <xdr:blipFill>
        <a:blip xmlns:r="http://schemas.openxmlformats.org/officeDocument/2006/relationships" r:embed="rId46"/>
        <a:stretch/>
      </xdr:blipFill>
      <xdr:spPr>
        <a:xfrm>
          <a:off x="12924360" y="89238600"/>
          <a:ext cx="14256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29</xdr:row>
      <xdr:rowOff>332280</xdr:rowOff>
    </xdr:from>
    <xdr:to>
      <xdr:col>7</xdr:col>
      <xdr:colOff>496440</xdr:colOff>
      <xdr:row>30</xdr:row>
      <xdr:rowOff>191445</xdr:rowOff>
    </xdr:to>
    <xdr:pic>
      <xdr:nvPicPr>
        <xdr:cNvPr id="237" name="image93.jpg">
          <a:extLst>
            <a:ext uri="{FF2B5EF4-FFF2-40B4-BE49-F238E27FC236}">
              <a16:creationId xmlns:a16="http://schemas.microsoft.com/office/drawing/2014/main" id="{00000000-0008-0000-0B00-0000ED000000}"/>
            </a:ext>
          </a:extLst>
        </xdr:cNvPr>
        <xdr:cNvPicPr/>
      </xdr:nvPicPr>
      <xdr:blipFill>
        <a:blip xmlns:r="http://schemas.openxmlformats.org/officeDocument/2006/relationships" r:embed="rId47"/>
        <a:stretch/>
      </xdr:blipFill>
      <xdr:spPr>
        <a:xfrm>
          <a:off x="12869280" y="96951240"/>
          <a:ext cx="352080" cy="742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30</xdr:row>
      <xdr:rowOff>431640</xdr:rowOff>
    </xdr:from>
    <xdr:to>
      <xdr:col>7</xdr:col>
      <xdr:colOff>446530</xdr:colOff>
      <xdr:row>31</xdr:row>
      <xdr:rowOff>160613</xdr:rowOff>
    </xdr:to>
    <xdr:pic>
      <xdr:nvPicPr>
        <xdr:cNvPr id="238" name="image86.jpg">
          <a:extLst>
            <a:ext uri="{FF2B5EF4-FFF2-40B4-BE49-F238E27FC236}">
              <a16:creationId xmlns:a16="http://schemas.microsoft.com/office/drawing/2014/main" id="{00000000-0008-0000-0B00-0000EE000000}"/>
            </a:ext>
          </a:extLst>
        </xdr:cNvPr>
        <xdr:cNvPicPr/>
      </xdr:nvPicPr>
      <xdr:blipFill>
        <a:blip xmlns:r="http://schemas.openxmlformats.org/officeDocument/2006/relationships" r:embed="rId48"/>
        <a:stretch/>
      </xdr:blipFill>
      <xdr:spPr>
        <a:xfrm>
          <a:off x="12882960" y="104219280"/>
          <a:ext cx="29484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31</xdr:row>
      <xdr:rowOff>471600</xdr:rowOff>
    </xdr:from>
    <xdr:to>
      <xdr:col>7</xdr:col>
      <xdr:colOff>468950</xdr:colOff>
      <xdr:row>32</xdr:row>
      <xdr:rowOff>229015</xdr:rowOff>
    </xdr:to>
    <xdr:pic>
      <xdr:nvPicPr>
        <xdr:cNvPr id="239" name="image83.jpg">
          <a:extLst>
            <a:ext uri="{FF2B5EF4-FFF2-40B4-BE49-F238E27FC236}">
              <a16:creationId xmlns:a16="http://schemas.microsoft.com/office/drawing/2014/main" id="{00000000-0008-0000-0B00-0000EF000000}"/>
            </a:ext>
          </a:extLst>
        </xdr:cNvPr>
        <xdr:cNvPicPr/>
      </xdr:nvPicPr>
      <xdr:blipFill>
        <a:blip xmlns:r="http://schemas.openxmlformats.org/officeDocument/2006/relationships" r:embed="rId49"/>
        <a:stretch/>
      </xdr:blipFill>
      <xdr:spPr>
        <a:xfrm>
          <a:off x="12882960" y="111875400"/>
          <a:ext cx="3045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32</xdr:row>
      <xdr:rowOff>258120</xdr:rowOff>
    </xdr:from>
    <xdr:to>
      <xdr:col>7</xdr:col>
      <xdr:colOff>503050</xdr:colOff>
      <xdr:row>33</xdr:row>
      <xdr:rowOff>145723</xdr:rowOff>
    </xdr:to>
    <xdr:pic>
      <xdr:nvPicPr>
        <xdr:cNvPr id="240" name="image77.jpg">
          <a:extLst>
            <a:ext uri="{FF2B5EF4-FFF2-40B4-BE49-F238E27FC236}">
              <a16:creationId xmlns:a16="http://schemas.microsoft.com/office/drawing/2014/main" id="{00000000-0008-0000-0B00-0000F0000000}"/>
            </a:ext>
          </a:extLst>
        </xdr:cNvPr>
        <xdr:cNvPicPr/>
      </xdr:nvPicPr>
      <xdr:blipFill>
        <a:blip xmlns:r="http://schemas.openxmlformats.org/officeDocument/2006/relationships" r:embed="rId50"/>
        <a:stretch/>
      </xdr:blipFill>
      <xdr:spPr>
        <a:xfrm>
          <a:off x="12872880" y="119278080"/>
          <a:ext cx="36144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33</xdr:row>
      <xdr:rowOff>235800</xdr:rowOff>
    </xdr:from>
    <xdr:to>
      <xdr:col>7</xdr:col>
      <xdr:colOff>516240</xdr:colOff>
      <xdr:row>34</xdr:row>
      <xdr:rowOff>104326</xdr:rowOff>
    </xdr:to>
    <xdr:pic>
      <xdr:nvPicPr>
        <xdr:cNvPr id="241" name="image81.jpg">
          <a:extLst>
            <a:ext uri="{FF2B5EF4-FFF2-40B4-BE49-F238E27FC236}">
              <a16:creationId xmlns:a16="http://schemas.microsoft.com/office/drawing/2014/main" id="{00000000-0008-0000-0B00-0000F1000000}"/>
            </a:ext>
          </a:extLst>
        </xdr:cNvPr>
        <xdr:cNvPicPr/>
      </xdr:nvPicPr>
      <xdr:blipFill>
        <a:blip xmlns:r="http://schemas.openxmlformats.org/officeDocument/2006/relationships" r:embed="rId51"/>
        <a:stretch/>
      </xdr:blipFill>
      <xdr:spPr>
        <a:xfrm>
          <a:off x="12879720" y="126424440"/>
          <a:ext cx="361440" cy="752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34</xdr:row>
      <xdr:rowOff>510120</xdr:rowOff>
    </xdr:from>
    <xdr:to>
      <xdr:col>7</xdr:col>
      <xdr:colOff>507830</xdr:colOff>
      <xdr:row>35</xdr:row>
      <xdr:rowOff>324772</xdr:rowOff>
    </xdr:to>
    <xdr:pic>
      <xdr:nvPicPr>
        <xdr:cNvPr id="242" name="image87.jpg">
          <a:extLst>
            <a:ext uri="{FF2B5EF4-FFF2-40B4-BE49-F238E27FC236}">
              <a16:creationId xmlns:a16="http://schemas.microsoft.com/office/drawing/2014/main" id="{00000000-0008-0000-0B00-0000F2000000}"/>
            </a:ext>
          </a:extLst>
        </xdr:cNvPr>
        <xdr:cNvPicPr/>
      </xdr:nvPicPr>
      <xdr:blipFill>
        <a:blip xmlns:r="http://schemas.openxmlformats.org/officeDocument/2006/relationships" r:embed="rId52"/>
        <a:stretch/>
      </xdr:blipFill>
      <xdr:spPr>
        <a:xfrm>
          <a:off x="12893400" y="134314920"/>
          <a:ext cx="33300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35</xdr:row>
      <xdr:rowOff>516600</xdr:rowOff>
    </xdr:from>
    <xdr:to>
      <xdr:col>7</xdr:col>
      <xdr:colOff>485640</xdr:colOff>
      <xdr:row>36</xdr:row>
      <xdr:rowOff>312175</xdr:rowOff>
    </xdr:to>
    <xdr:pic>
      <xdr:nvPicPr>
        <xdr:cNvPr id="243" name="image82.jpg">
          <a:extLst>
            <a:ext uri="{FF2B5EF4-FFF2-40B4-BE49-F238E27FC236}">
              <a16:creationId xmlns:a16="http://schemas.microsoft.com/office/drawing/2014/main" id="{00000000-0008-0000-0B00-0000F3000000}"/>
            </a:ext>
          </a:extLst>
        </xdr:cNvPr>
        <xdr:cNvPicPr/>
      </xdr:nvPicPr>
      <xdr:blipFill>
        <a:blip xmlns:r="http://schemas.openxmlformats.org/officeDocument/2006/relationships" r:embed="rId53"/>
        <a:stretch/>
      </xdr:blipFill>
      <xdr:spPr>
        <a:xfrm>
          <a:off x="12896640" y="141937560"/>
          <a:ext cx="31392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36</xdr:row>
      <xdr:rowOff>519480</xdr:rowOff>
    </xdr:from>
    <xdr:to>
      <xdr:col>7</xdr:col>
      <xdr:colOff>511920</xdr:colOff>
      <xdr:row>37</xdr:row>
      <xdr:rowOff>324414</xdr:rowOff>
    </xdr:to>
    <xdr:pic>
      <xdr:nvPicPr>
        <xdr:cNvPr id="244" name="image85.jpg">
          <a:extLst>
            <a:ext uri="{FF2B5EF4-FFF2-40B4-BE49-F238E27FC236}">
              <a16:creationId xmlns:a16="http://schemas.microsoft.com/office/drawing/2014/main" id="{00000000-0008-0000-0B00-0000F4000000}"/>
            </a:ext>
          </a:extLst>
        </xdr:cNvPr>
        <xdr:cNvPicPr/>
      </xdr:nvPicPr>
      <xdr:blipFill>
        <a:blip xmlns:r="http://schemas.openxmlformats.org/officeDocument/2006/relationships" r:embed="rId54"/>
        <a:stretch/>
      </xdr:blipFill>
      <xdr:spPr>
        <a:xfrm>
          <a:off x="12903840" y="14910876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37</xdr:row>
      <xdr:rowOff>456840</xdr:rowOff>
    </xdr:from>
    <xdr:to>
      <xdr:col>7</xdr:col>
      <xdr:colOff>502560</xdr:colOff>
      <xdr:row>38</xdr:row>
      <xdr:rowOff>216758</xdr:rowOff>
    </xdr:to>
    <xdr:pic>
      <xdr:nvPicPr>
        <xdr:cNvPr id="245" name="image84.jpg">
          <a:extLst>
            <a:ext uri="{FF2B5EF4-FFF2-40B4-BE49-F238E27FC236}">
              <a16:creationId xmlns:a16="http://schemas.microsoft.com/office/drawing/2014/main" id="{00000000-0008-0000-0B00-0000F5000000}"/>
            </a:ext>
          </a:extLst>
        </xdr:cNvPr>
        <xdr:cNvPicPr/>
      </xdr:nvPicPr>
      <xdr:blipFill>
        <a:blip xmlns:r="http://schemas.openxmlformats.org/officeDocument/2006/relationships" r:embed="rId55"/>
        <a:stretch/>
      </xdr:blipFill>
      <xdr:spPr>
        <a:xfrm>
          <a:off x="12903840" y="155766240"/>
          <a:ext cx="32364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44640</xdr:colOff>
      <xdr:row>50</xdr:row>
      <xdr:rowOff>507960</xdr:rowOff>
    </xdr:from>
    <xdr:to>
      <xdr:col>7</xdr:col>
      <xdr:colOff>1152282</xdr:colOff>
      <xdr:row>51</xdr:row>
      <xdr:rowOff>141533</xdr:rowOff>
    </xdr:to>
    <xdr:pic>
      <xdr:nvPicPr>
        <xdr:cNvPr id="246" name="image80.jpg">
          <a:extLst>
            <a:ext uri="{FF2B5EF4-FFF2-40B4-BE49-F238E27FC236}">
              <a16:creationId xmlns:a16="http://schemas.microsoft.com/office/drawing/2014/main" id="{00000000-0008-0000-0B00-0000F6000000}"/>
            </a:ext>
          </a:extLst>
        </xdr:cNvPr>
        <xdr:cNvPicPr/>
      </xdr:nvPicPr>
      <xdr:blipFill>
        <a:blip xmlns:r="http://schemas.openxmlformats.org/officeDocument/2006/relationships" r:embed="rId56"/>
        <a:stretch/>
      </xdr:blipFill>
      <xdr:spPr>
        <a:xfrm>
          <a:off x="12769560" y="237356640"/>
          <a:ext cx="111420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54720</xdr:colOff>
      <xdr:row>49</xdr:row>
      <xdr:rowOff>658080</xdr:rowOff>
    </xdr:from>
    <xdr:to>
      <xdr:col>7</xdr:col>
      <xdr:colOff>1171722</xdr:colOff>
      <xdr:row>50</xdr:row>
      <xdr:rowOff>298005</xdr:rowOff>
    </xdr:to>
    <xdr:pic>
      <xdr:nvPicPr>
        <xdr:cNvPr id="247" name="image90.jpg">
          <a:extLst>
            <a:ext uri="{FF2B5EF4-FFF2-40B4-BE49-F238E27FC236}">
              <a16:creationId xmlns:a16="http://schemas.microsoft.com/office/drawing/2014/main" id="{00000000-0008-0000-0B00-0000F7000000}"/>
            </a:ext>
          </a:extLst>
        </xdr:cNvPr>
        <xdr:cNvPicPr/>
      </xdr:nvPicPr>
      <xdr:blipFill>
        <a:blip xmlns:r="http://schemas.openxmlformats.org/officeDocument/2006/relationships" r:embed="rId57"/>
        <a:stretch/>
      </xdr:blipFill>
      <xdr:spPr>
        <a:xfrm>
          <a:off x="12779640" y="228994560"/>
          <a:ext cx="11235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106560</xdr:colOff>
      <xdr:row>55</xdr:row>
      <xdr:rowOff>789120</xdr:rowOff>
    </xdr:from>
    <xdr:to>
      <xdr:col>7</xdr:col>
      <xdr:colOff>1444911</xdr:colOff>
      <xdr:row>57</xdr:row>
      <xdr:rowOff>507704</xdr:rowOff>
    </xdr:to>
    <xdr:pic>
      <xdr:nvPicPr>
        <xdr:cNvPr id="248" name="image89.jpg">
          <a:extLst>
            <a:ext uri="{FF2B5EF4-FFF2-40B4-BE49-F238E27FC236}">
              <a16:creationId xmlns:a16="http://schemas.microsoft.com/office/drawing/2014/main" id="{00000000-0008-0000-0B00-0000F8000000}"/>
            </a:ext>
          </a:extLst>
        </xdr:cNvPr>
        <xdr:cNvPicPr/>
      </xdr:nvPicPr>
      <xdr:blipFill>
        <a:blip xmlns:r="http://schemas.openxmlformats.org/officeDocument/2006/relationships" r:embed="rId58"/>
        <a:stretch/>
      </xdr:blipFill>
      <xdr:spPr>
        <a:xfrm>
          <a:off x="12831480" y="273927240"/>
          <a:ext cx="1342800" cy="1533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78</xdr:row>
      <xdr:rowOff>0</xdr:rowOff>
    </xdr:from>
    <xdr:to>
      <xdr:col>7</xdr:col>
      <xdr:colOff>715910</xdr:colOff>
      <xdr:row>78</xdr:row>
      <xdr:rowOff>659886</xdr:rowOff>
    </xdr:to>
    <xdr:pic>
      <xdr:nvPicPr>
        <xdr:cNvPr id="249" name="image97.png">
          <a:extLst>
            <a:ext uri="{FF2B5EF4-FFF2-40B4-BE49-F238E27FC236}">
              <a16:creationId xmlns:a16="http://schemas.microsoft.com/office/drawing/2014/main" id="{00000000-0008-0000-0B00-0000F9000000}"/>
            </a:ext>
          </a:extLst>
        </xdr:cNvPr>
        <xdr:cNvPicPr/>
      </xdr:nvPicPr>
      <xdr:blipFill>
        <a:blip xmlns:r="http://schemas.openxmlformats.org/officeDocument/2006/relationships" r:embed="rId59"/>
        <a:stretch/>
      </xdr:blipFill>
      <xdr:spPr>
        <a:xfrm>
          <a:off x="12872880" y="4422110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185760</xdr:colOff>
      <xdr:row>78</xdr:row>
      <xdr:rowOff>277200</xdr:rowOff>
    </xdr:from>
    <xdr:to>
      <xdr:col>7</xdr:col>
      <xdr:colOff>464890</xdr:colOff>
      <xdr:row>78</xdr:row>
      <xdr:rowOff>873331</xdr:rowOff>
    </xdr:to>
    <xdr:pic>
      <xdr:nvPicPr>
        <xdr:cNvPr id="250" name="image96.png">
          <a:extLst>
            <a:ext uri="{FF2B5EF4-FFF2-40B4-BE49-F238E27FC236}">
              <a16:creationId xmlns:a16="http://schemas.microsoft.com/office/drawing/2014/main" id="{00000000-0008-0000-0B00-0000FA000000}"/>
            </a:ext>
          </a:extLst>
        </xdr:cNvPr>
        <xdr:cNvPicPr/>
      </xdr:nvPicPr>
      <xdr:blipFill>
        <a:blip xmlns:r="http://schemas.openxmlformats.org/officeDocument/2006/relationships" r:embed="rId60"/>
        <a:stretch/>
      </xdr:blipFill>
      <xdr:spPr>
        <a:xfrm>
          <a:off x="12910680" y="449434800"/>
          <a:ext cx="28548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79</xdr:row>
      <xdr:rowOff>193680</xdr:rowOff>
    </xdr:from>
    <xdr:to>
      <xdr:col>7</xdr:col>
      <xdr:colOff>542650</xdr:colOff>
      <xdr:row>79</xdr:row>
      <xdr:rowOff>770154</xdr:rowOff>
    </xdr:to>
    <xdr:pic>
      <xdr:nvPicPr>
        <xdr:cNvPr id="251" name="image92.png">
          <a:extLst>
            <a:ext uri="{FF2B5EF4-FFF2-40B4-BE49-F238E27FC236}">
              <a16:creationId xmlns:a16="http://schemas.microsoft.com/office/drawing/2014/main" id="{00000000-0008-0000-0B00-0000FB000000}"/>
            </a:ext>
          </a:extLst>
        </xdr:cNvPr>
        <xdr:cNvPicPr/>
      </xdr:nvPicPr>
      <xdr:blipFill>
        <a:blip xmlns:r="http://schemas.openxmlformats.org/officeDocument/2006/relationships" r:embed="rId61"/>
        <a:stretch/>
      </xdr:blipFill>
      <xdr:spPr>
        <a:xfrm>
          <a:off x="12893400" y="456071760"/>
          <a:ext cx="380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80</xdr:row>
      <xdr:rowOff>129240</xdr:rowOff>
    </xdr:from>
    <xdr:to>
      <xdr:col>7</xdr:col>
      <xdr:colOff>526910</xdr:colOff>
      <xdr:row>80</xdr:row>
      <xdr:rowOff>808207</xdr:rowOff>
    </xdr:to>
    <xdr:pic>
      <xdr:nvPicPr>
        <xdr:cNvPr id="252" name="image91.png">
          <a:extLst>
            <a:ext uri="{FF2B5EF4-FFF2-40B4-BE49-F238E27FC236}">
              <a16:creationId xmlns:a16="http://schemas.microsoft.com/office/drawing/2014/main" id="{00000000-0008-0000-0B00-0000FC000000}"/>
            </a:ext>
          </a:extLst>
        </xdr:cNvPr>
        <xdr:cNvPicPr/>
      </xdr:nvPicPr>
      <xdr:blipFill>
        <a:blip xmlns:r="http://schemas.openxmlformats.org/officeDocument/2006/relationships" r:embed="rId62"/>
        <a:stretch/>
      </xdr:blipFill>
      <xdr:spPr>
        <a:xfrm>
          <a:off x="12893400" y="46138320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81</xdr:row>
      <xdr:rowOff>549720</xdr:rowOff>
    </xdr:from>
    <xdr:to>
      <xdr:col>7</xdr:col>
      <xdr:colOff>609120</xdr:colOff>
      <xdr:row>82</xdr:row>
      <xdr:rowOff>151103</xdr:rowOff>
    </xdr:to>
    <xdr:pic>
      <xdr:nvPicPr>
        <xdr:cNvPr id="253" name="image88.png">
          <a:extLst>
            <a:ext uri="{FF2B5EF4-FFF2-40B4-BE49-F238E27FC236}">
              <a16:creationId xmlns:a16="http://schemas.microsoft.com/office/drawing/2014/main" id="{00000000-0008-0000-0B00-0000FD000000}"/>
            </a:ext>
          </a:extLst>
        </xdr:cNvPr>
        <xdr:cNvPicPr/>
      </xdr:nvPicPr>
      <xdr:blipFill>
        <a:blip xmlns:r="http://schemas.openxmlformats.org/officeDocument/2006/relationships" r:embed="rId63"/>
        <a:stretch/>
      </xdr:blipFill>
      <xdr:spPr>
        <a:xfrm>
          <a:off x="12886560" y="468075600"/>
          <a:ext cx="447480" cy="495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82</xdr:row>
      <xdr:rowOff>208080</xdr:rowOff>
    </xdr:from>
    <xdr:to>
      <xdr:col>7</xdr:col>
      <xdr:colOff>635530</xdr:colOff>
      <xdr:row>82</xdr:row>
      <xdr:rowOff>829806</xdr:rowOff>
    </xdr:to>
    <xdr:pic>
      <xdr:nvPicPr>
        <xdr:cNvPr id="254" name="image95.png">
          <a:extLst>
            <a:ext uri="{FF2B5EF4-FFF2-40B4-BE49-F238E27FC236}">
              <a16:creationId xmlns:a16="http://schemas.microsoft.com/office/drawing/2014/main" id="{00000000-0008-0000-0B00-0000FE000000}"/>
            </a:ext>
          </a:extLst>
        </xdr:cNvPr>
        <xdr:cNvPicPr/>
      </xdr:nvPicPr>
      <xdr:blipFill>
        <a:blip xmlns:r="http://schemas.openxmlformats.org/officeDocument/2006/relationships" r:embed="rId64"/>
        <a:stretch/>
      </xdr:blipFill>
      <xdr:spPr>
        <a:xfrm>
          <a:off x="12862440" y="474005880"/>
          <a:ext cx="5043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84</xdr:row>
      <xdr:rowOff>270000</xdr:rowOff>
    </xdr:from>
    <xdr:to>
      <xdr:col>7</xdr:col>
      <xdr:colOff>816645</xdr:colOff>
      <xdr:row>85</xdr:row>
      <xdr:rowOff>260278</xdr:rowOff>
    </xdr:to>
    <xdr:pic>
      <xdr:nvPicPr>
        <xdr:cNvPr id="255" name="image94.png">
          <a:extLst>
            <a:ext uri="{FF2B5EF4-FFF2-40B4-BE49-F238E27FC236}">
              <a16:creationId xmlns:a16="http://schemas.microsoft.com/office/drawing/2014/main" id="{00000000-0008-0000-0B00-0000FF000000}"/>
            </a:ext>
          </a:extLst>
        </xdr:cNvPr>
        <xdr:cNvPicPr/>
      </xdr:nvPicPr>
      <xdr:blipFill>
        <a:blip xmlns:r="http://schemas.openxmlformats.org/officeDocument/2006/relationships" r:embed="rId65"/>
        <a:stretch/>
      </xdr:blipFill>
      <xdr:spPr>
        <a:xfrm>
          <a:off x="12865680" y="487956240"/>
          <a:ext cx="66636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53</xdr:row>
      <xdr:rowOff>110160</xdr:rowOff>
    </xdr:from>
    <xdr:to>
      <xdr:col>7</xdr:col>
      <xdr:colOff>503280</xdr:colOff>
      <xdr:row>53</xdr:row>
      <xdr:rowOff>770046</xdr:rowOff>
    </xdr:to>
    <xdr:pic>
      <xdr:nvPicPr>
        <xdr:cNvPr id="256" name="image98.png">
          <a:extLst>
            <a:ext uri="{FF2B5EF4-FFF2-40B4-BE49-F238E27FC236}">
              <a16:creationId xmlns:a16="http://schemas.microsoft.com/office/drawing/2014/main" id="{00000000-0008-0000-0B00-000000010000}"/>
            </a:ext>
          </a:extLst>
        </xdr:cNvPr>
        <xdr:cNvPicPr/>
      </xdr:nvPicPr>
      <xdr:blipFill>
        <a:blip xmlns:r="http://schemas.openxmlformats.org/officeDocument/2006/relationships" r:embed="rId66"/>
        <a:stretch/>
      </xdr:blipFill>
      <xdr:spPr>
        <a:xfrm>
          <a:off x="12876120" y="261600120"/>
          <a:ext cx="3520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47</xdr:row>
      <xdr:rowOff>0</xdr:rowOff>
    </xdr:from>
    <xdr:to>
      <xdr:col>8</xdr:col>
      <xdr:colOff>188164</xdr:colOff>
      <xdr:row>49</xdr:row>
      <xdr:rowOff>50182</xdr:rowOff>
    </xdr:to>
    <xdr:pic>
      <xdr:nvPicPr>
        <xdr:cNvPr id="257" name="image99.png">
          <a:extLst>
            <a:ext uri="{FF2B5EF4-FFF2-40B4-BE49-F238E27FC236}">
              <a16:creationId xmlns:a16="http://schemas.microsoft.com/office/drawing/2014/main" id="{00000000-0008-0000-0B00-000001010000}"/>
            </a:ext>
          </a:extLst>
        </xdr:cNvPr>
        <xdr:cNvPicPr/>
      </xdr:nvPicPr>
      <xdr:blipFill>
        <a:blip xmlns:r="http://schemas.openxmlformats.org/officeDocument/2006/relationships" r:embed="rId67"/>
        <a:stretch/>
      </xdr:blipFill>
      <xdr:spPr>
        <a:xfrm>
          <a:off x="12724920" y="217136520"/>
          <a:ext cx="1847520" cy="18475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mazon.com.mx/maybelline-new-york-Delineador-resistente/dp/B07W8JJ61X/ref=sr_1_13?__mk_es_MX=&#197;M&#197;&#381;&#213;&#209;&amp;crid=2GP1LPU8DCJGT&amp;dib=eyJ2IjoiMSJ9.X5H9JN8c1SZ6yXE1iOfZ7q5kG8Da2b5F3IR7lPShDB26RxcoEEN0uiJ1_VG1VZMrDpgULmB3zqFpBwMbWA_vbEjrYbKPjdKTLfXhD9q-vDv" TargetMode="External"/><Relationship Id="rId21" Type="http://schemas.openxmlformats.org/officeDocument/2006/relationships/hyperlink" Target="https://www.amazon.com/-/es/l&#237;quida-met&#225;lica-multidimensional-cobertura-l&#237;quidas/dp/B0947BWDG7/ref=zg_bs_g_11058361_d_sccl_6/132-2883545-9921149?th=1" TargetMode="External"/><Relationship Id="rId42" Type="http://schemas.openxmlformats.org/officeDocument/2006/relationships/hyperlink" Target="https://www.amazon.com.mx/Emily-Paris-Vaseline-Humectaci&#243;n-Parisian/dp/B0DDCMVBW9/ref=sr_1_18?__mk_es_MX=&#197;M&#197;&#381;&#213;&#209;&amp;crid=T2WSOZIA1W8L&amp;dib=eyJ2IjoiMSJ9.mx1qtWt1vhGmEcjW_RP8_A9ss_BFUPS7Gv6PGEtD6EhBvdQn5yGYnhogdKSv8RvVJnB4Ub2R76D9uh476zogrigyo-s1EklsYUci-HJBumQV" TargetMode="External"/><Relationship Id="rId47" Type="http://schemas.openxmlformats.org/officeDocument/2006/relationships/hyperlink" Target="https://www.amazon.com.mx/Maybelline-Delineador-Labios-Lifter-Liner/dp/B0CZBBZ8DQ/ref=zg_bs_g_10178501011_d_sccl_1/139-5127535-4936938?th=1" TargetMode="External"/><Relationship Id="rId63" Type="http://schemas.openxmlformats.org/officeDocument/2006/relationships/hyperlink" Target="https://www.mercadolibre.com.mx/glazing-fluid-rhode-by-hailey-biebier-serum-hidratante-momento-de-aplicacion-dianoche-tipo-de-piel-todo-tipo-de-piel/p/MLM24114851" TargetMode="External"/><Relationship Id="rId68" Type="http://schemas.openxmlformats.org/officeDocument/2006/relationships/hyperlink" Target="https://www.sephora.com.mx/products-9090668966.html" TargetMode="External"/><Relationship Id="rId16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11" Type="http://schemas.openxmlformats.org/officeDocument/2006/relationships/hyperlink" Target="https://www.rhodeskin.com/products/pocket-blush-tan-line?_pos=1&amp;_psq=blush&amp;_ss=e&amp;_v=1.1" TargetMode="External"/><Relationship Id="rId24" Type="http://schemas.openxmlformats.org/officeDocument/2006/relationships/hyperlink" Target="https://www.amazon.com/-/es/l&#237;quida-met&#225;lica-multidimensional-cobertura-l&#237;quidas/dp/B09487B9DF/ref=zg_bs_g_11058361_d_sccl_6/132-2883545-9921149?th=1" TargetMode="External"/><Relationship Id="rId32" Type="http://schemas.openxmlformats.org/officeDocument/2006/relationships/hyperlink" Target="https://www.amazon.com.mx/Maybelline-delineador-estilizarla-rellenarla-transfiere/dp/B0B2NHP7YV/ref=zg_bs_g_10178480011_d_sccl_4/139-5127535-4936938?th=1" TargetMode="External"/><Relationship Id="rId37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40" Type="http://schemas.openxmlformats.org/officeDocument/2006/relationships/hyperlink" Target="https://www.amazon.com.mx/Emily-Paris-Vaseline-Humectaci&#243;n-Parisian/dp/B0DDCPM84J/ref=sr_1_18?__mk_es_MX=&#197;M&#197;&#381;&#213;&#209;&amp;crid=T2WSOZIA1W8L&amp;dib=eyJ2IjoiMSJ9.mx1qtWt1vhGmEcjW_RP8_A9ss_BFUPS7Gv6PGEtD6EhBvdQn5yGYnhogdKSv8RvVJnB4Ub2R76D9uh476zogrigyo-s1EklsYUci-HJBumQV" TargetMode="External"/><Relationship Id="rId45" Type="http://schemas.openxmlformats.org/officeDocument/2006/relationships/hyperlink" Target="https://www.amazon.com.mx/Maybelline-Delineador-Labios-Lifter-Liner/dp/B0CZBJ1Y4Y/ref=zg_bs_g_10178501011_d_sccl_1/139-5127535-4936938?th=1" TargetMode="External"/><Relationship Id="rId53" Type="http://schemas.openxmlformats.org/officeDocument/2006/relationships/hyperlink" Target="https://www.amazon.com.mx/Sundae-Momiji-K-Tint-pigmentaci&#243;n-acabado/dp/B08XLM9T8F?th=1" TargetMode="External"/><Relationship Id="rId58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66" Type="http://schemas.openxmlformats.org/officeDocument/2006/relationships/hyperlink" Target="https://beautycreationscosmetics.com.mx/products/blend-and-set-trio" TargetMode="External"/><Relationship Id="rId74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79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5" Type="http://schemas.openxmlformats.org/officeDocument/2006/relationships/hyperlink" Target="https://www.maccosmetics.com.mx/product/13847/119586/productos/maquillaje/rostro/bases-de-maquillaje/studio-radiance-serum-poweredtm-foundation?shade=NC42" TargetMode="External"/><Relationship Id="rId61" Type="http://schemas.openxmlformats.org/officeDocument/2006/relationships/hyperlink" Target="https://pinkup.mx/product/fx-fixer?srsltid=AfmBOop0OvWJrHfhS6DGeB3Ps4UtHfUMPRJ2tlc448t7KTViU9lg-9BA" TargetMode="External"/><Relationship Id="rId19" Type="http://schemas.openxmlformats.org/officeDocument/2006/relationships/hyperlink" Target="https://www.amazon.com/-/es/MAYBELLINE-Fit-Me-maquillaje-transl&#250;cido/dp/B00PFCSNWA/ref=zg_bs_g_11058971_d_sccl_1/132-2883545-9921149?psc=1" TargetMode="External"/><Relationship Id="rId14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22" Type="http://schemas.openxmlformats.org/officeDocument/2006/relationships/hyperlink" Target="https://www.amazon.com/-/es/l&#237;quida-met&#225;lica-multidimensional-cobertura-l&#237;quidas/dp/B0947F4Y44/ref=zg_bs_g_11058361_d_sccl_6/132-2883545-9921149?th=1" TargetMode="External"/><Relationship Id="rId27" Type="http://schemas.openxmlformats.org/officeDocument/2006/relationships/hyperlink" Target="https://www.amazon.com.mx/Maybelline-delineador-superpreciso-transfiere-pigmentos/dp/B0BZ7SMYSF/ref=zg_bs_g_10178482011_d_sccl_2/139-5127535-4936938?th=1" TargetMode="External"/><Relationship Id="rId30" Type="http://schemas.openxmlformats.org/officeDocument/2006/relationships/hyperlink" Target="https://www.amazon.com.mx/Yuya-Republic-Cosmetics-Fijador-Cejas/dp/B09BK45HG6/ref=sr_1_7?adgrpid=139157503839&amp;dib=eyJ2IjoiMSJ9.5DqSaVcsUTfgLgN-QWSll5jbbOGZ7z-DNIt7LyxZCQLaC3qJN51vdMbRIgHIl9dHdf3IVjXz8zOrwBkAFjTHdeJG62-068rlcsbW0-UUs-zNQMGDWJnVmY_KStQZZGLX" TargetMode="External"/><Relationship Id="rId35" Type="http://schemas.openxmlformats.org/officeDocument/2006/relationships/hyperlink" Target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3" Type="http://schemas.openxmlformats.org/officeDocument/2006/relationships/hyperlink" Target="https://www.amazon.com.mx/Maybelline-Delineador-Labios-Lifter-Liner/dp/B0CZBLMMQZ/ref=zg_bs_g_10178501011_d_sccl_1/139-5127535-4936938?th=1" TargetMode="External"/><Relationship Id="rId48" Type="http://schemas.openxmlformats.org/officeDocument/2006/relationships/hyperlink" Target="https://www.amazon.com.mx/Revlon-7264274003-ColorStay-Suede-Lipstick/dp/B0BHJP6FS9/ref=zg_bs_g_10178504011_d_sccl_6/139-5127535-4936938?th=1" TargetMode="External"/><Relationship Id="rId56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64" Type="http://schemas.openxmlformats.org/officeDocument/2006/relationships/hyperlink" Target="https://www.fragrantica.es/perfume/Victoria-s-Secret/Berry-Elixir-No-16-83974.html" TargetMode="External"/><Relationship Id="rId69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77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8" Type="http://schemas.openxmlformats.org/officeDocument/2006/relationships/hyperlink" Target="https://www.rhodeskin.com/products/pocket-blush-tan-line?_pos=1&amp;_psq=blush&amp;_ss=e&amp;_v=1.1" TargetMode="External"/><Relationship Id="rId51" Type="http://schemas.openxmlformats.org/officeDocument/2006/relationships/hyperlink" Target="https://www.amazon.com.mx/Revlon-7264274003-ColorStay-Suede-Lipstick/dp/B0BHJKC5FR/ref=zg_bs_g_10178504011_d_sccl_6/139-5127535-4936938?th=1" TargetMode="External"/><Relationship Id="rId72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80" Type="http://schemas.openxmlformats.org/officeDocument/2006/relationships/drawing" Target="../drawings/drawing1.xml"/><Relationship Id="rId3" Type="http://schemas.openxmlformats.org/officeDocument/2006/relationships/hyperlink" Target="https://www.maccosmetics.com.mx/product/13847/119586/productos/maquillaje/rostro/bases-de-maquillaje/studio-radiance-serum-poweredtm-foundation?shade=NW30" TargetMode="External"/><Relationship Id="rId12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17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25" Type="http://schemas.openxmlformats.org/officeDocument/2006/relationships/hyperlink" Target="https://www.amazon.com/-/es/l&#237;quida-met&#225;lica-multidimensional-cobertura-l&#237;quidas/dp/B0984X94WK/ref=zg_bs_g_11058361_d_sccl_6/132-2883545-9921149?th=1" TargetMode="External"/><Relationship Id="rId33" Type="http://schemas.openxmlformats.org/officeDocument/2006/relationships/hyperlink" Target="https://www.amazon.com.mx/Maybelline-delineador-estilizarla-rellenarla-transfiere/dp/B0B2NHMR5P/ref=zg_bs_g_10178480011_d_sccl_4/139-5127535-4936938?th=1" TargetMode="External"/><Relationship Id="rId38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46" Type="http://schemas.openxmlformats.org/officeDocument/2006/relationships/hyperlink" Target="https://www.amazon.com.mx/Maybelline-Delineador-Labios-Lifter-Liner/dp/B0CZBGWBMS/ref=zg_bs_g_10178501011_d_sccl_1/139-5127535-4936938?th=1" TargetMode="External"/><Relationship Id="rId59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67" Type="http://schemas.openxmlformats.org/officeDocument/2006/relationships/hyperlink" Target="https://www.blush-bar.com.mx/paleta-de-sombras-bloom-eyeshadow-palette/p?idsku=3500&amp;srsltid=AfmBOopxpXR3lZLe-yJZnOYad-nqSfjs7F4DLSXeQ1pPjvJb20OifH8azYI" TargetMode="External"/><Relationship Id="rId20" Type="http://schemas.openxmlformats.org/officeDocument/2006/relationships/hyperlink" Target="https://www.amazon.com/-/es/l&#237;quida-met&#225;lica-multidimensional-cobertura-l&#237;quidas/dp/B0947DWWTN/ref=zg_bs_g_11058361_d_sccl_6/132-2883545-9921149?th=1" TargetMode="External"/><Relationship Id="rId41" Type="http://schemas.openxmlformats.org/officeDocument/2006/relationships/hyperlink" Target="https://www.amazon.com.mx/Emily-Paris-Vaseline-Humectaci&#243;n-Parisian/dp/B0DDCNVNKR/ref=sr_1_18?__mk_es_MX=&#197;M&#197;&#381;&#213;&#209;&amp;crid=T2WSOZIA1W8L&amp;dib=eyJ2IjoiMSJ9.mx1qtWt1vhGmEcjW_RP8_A9ss_BFUPS7Gv6PGEtD6EhBvdQn5yGYnhogdKSv8RvVJnB4Ub2R76D9uh476zogrigyo-s1EklsYUci-HJBumQV" TargetMode="External"/><Relationship Id="rId54" Type="http://schemas.openxmlformats.org/officeDocument/2006/relationships/hyperlink" Target="https://www.amazon.com.mx/Sundae-Momiji-K-Tint-pigmentaci&#243;n-acabado/dp/B08XLM9T8F?th=1" TargetMode="External"/><Relationship Id="rId62" Type="http://schemas.openxmlformats.org/officeDocument/2006/relationships/hyperlink" Target="https://www.fahorro.com/fotoprotector-isdin-uv-mineral-brush-spf-50-2-g.html?srsltid=AfmBOoo2njWhr6gdFEay4W2c-2EDJlJBQ13dRmU0LGzC5BHgwKuaj5msZ9o" TargetMode="External"/><Relationship Id="rId70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75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" Type="http://schemas.openxmlformats.org/officeDocument/2006/relationships/hyperlink" Target="https://www.maccosmetics.com.mx/product/13847/119586/productos/maquillaje/rostro/bases-de-maquillaje/studio-radiance-serum-poweredtm-foundation?shade=NC15" TargetMode="External"/><Relationship Id="rId6" Type="http://schemas.openxmlformats.org/officeDocument/2006/relationships/hyperlink" Target="https://www.elpalaciodehierro.com/mac-base-de-maquillaje-studio-fix-fluid-spf-15-nc45-5.3-ml-39786604.html?srsltid=AfmBOood9B2Y0XbWpVOtAuHS2Ge3jaGY5lfhHCdFSZcATb5qKcvOXpk_" TargetMode="External"/><Relationship Id="rId15" Type="http://schemas.openxmlformats.org/officeDocument/2006/relationships/hyperlink" Target="https://www.amazon.com/-/es/LOreal-Highlighter-reflectante-transl&#250;cido-iluminador/dp/B0DHLM914R/ref=zg_bs_g_21190478011_d_sccl_8/132-2883545-9921149?th=1" TargetMode="External"/><Relationship Id="rId23" Type="http://schemas.openxmlformats.org/officeDocument/2006/relationships/hyperlink" Target="https://www.amazon.com/-/es/l&#237;quida-met&#225;lica-multidimensional-cobertura-l&#237;quidas/dp/B0947BWZQ1/ref=zg_bs_g_11058361_d_sccl_6/132-2883545-9921149?th=1" TargetMode="External"/><Relationship Id="rId28" Type="http://schemas.openxmlformats.org/officeDocument/2006/relationships/hyperlink" Target="https://www.amazon.com.mx/Maybelline-New-York-Tattoo-estilizador/dp/B0B35622GD/ref=zg_bs_g_10178480011_d_sccl_9/139-5127535-4936938?th=1" TargetMode="External"/><Relationship Id="rId36" Type="http://schemas.openxmlformats.org/officeDocument/2006/relationships/hyperlink" Target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9" Type="http://schemas.openxmlformats.org/officeDocument/2006/relationships/hyperlink" Target="https://www.amazon.com.mx/Revlon-7264274003-ColorStay-Suede-Lipstick/dp/B0BHJJ4KTT/ref=zg_bs_g_10178504011_d_sccl_6/139-5127535-4936938?th=1" TargetMode="External"/><Relationship Id="rId57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10" Type="http://schemas.openxmlformats.org/officeDocument/2006/relationships/hyperlink" Target="https://www.rhodeskin.com/products/pocket-blush-tan-line?_pos=1&amp;_psq=blush&amp;_ss=e&amp;_v=1.1" TargetMode="External"/><Relationship Id="rId31" Type="http://schemas.openxmlformats.org/officeDocument/2006/relationships/hyperlink" Target="https://www.sephora.com.mx/products/benefit-cosmetics-badgal-bang-12847.html?srsltid=AfmBOoofbaVebzZAwnPukJ7Cu5bt2jy0-mIyY2JRAmBtQJUAk_v9mUgA" TargetMode="External"/><Relationship Id="rId44" Type="http://schemas.openxmlformats.org/officeDocument/2006/relationships/hyperlink" Target="https://www.amazon.com.mx/Maybelline-Delineador-Labios-Lifter-Liner/dp/B0CZBPLRHZ/ref=zg_bs_g_10178501011_d_sccl_1/139-5127535-4936938?th=1" TargetMode="External"/><Relationship Id="rId52" Type="http://schemas.openxmlformats.org/officeDocument/2006/relationships/hyperlink" Target="https://www.amazon.com.mx/Sundae-Momiji-K-Tint-pigmentaci&#243;n-acabado/dp/B08XLM9T8F?th=1" TargetMode="External"/><Relationship Id="rId60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65" Type="http://schemas.openxmlformats.org/officeDocument/2006/relationships/hyperlink" Target="https://www.fragrantica.es/perfume/Victoria-s-Secret/Winter-Cranberry-38492.html" TargetMode="External"/><Relationship Id="rId73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78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" Type="http://schemas.openxmlformats.org/officeDocument/2006/relationships/hyperlink" Target="https://www.maccosmetics.com.mx/product/13847/119586/productos/maquillaje/rostro/bases-de-maquillaje/studio-radiance-serum-poweredtm-foundation?shade=NW35" TargetMode="External"/><Relationship Id="rId9" Type="http://schemas.openxmlformats.org/officeDocument/2006/relationships/hyperlink" Target="https://www.rhodeskin.com/products/pocket-blush-tan-line?_pos=1&amp;_psq=blush&amp;_ss=e&amp;_v=1.1" TargetMode="External"/><Relationship Id="rId13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18" Type="http://schemas.openxmlformats.org/officeDocument/2006/relationships/hyperlink" Target="https://www.mercadolibre.com.mx/rhode-glazing-milk-leche-hidratante/up/MLMU3068912205?pdp_filters=item_id:MLM2260105059" TargetMode="External"/><Relationship Id="rId39" Type="http://schemas.openxmlformats.org/officeDocument/2006/relationships/hyperlink" Target="https://www.amazon.com.mx/Brillo-labial-NYX-Professional-Makeup/dp/B0D68GVTZN/ref=sr_1_5?__mk_es_MX=&#197;M&#197;&#381;&#213;&#209;&amp;crid=1F2MXEYL4UXTN&amp;dib=eyJ2IjoiMSJ9.AW9m6Onz6H_t42c4UIiBOwwX16eJOANPELS00G79-sWNKHtsZBbjrSGHT3pFo8gjIenHMpSoE6ZX2MdL4YKVHm5ydZeYRMEd5oQCfstWzGwWmTDM" TargetMode="External"/><Relationship Id="rId34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50" Type="http://schemas.openxmlformats.org/officeDocument/2006/relationships/hyperlink" Target="https://www.amazon.com.mx/Revlon-7264274003-ColorStay-Suede-Lipstick/dp/B0BHJL1K6T/ref=zg_bs_g_10178504011_d_sccl_6/139-5127535-4936938?th=1" TargetMode="External"/><Relationship Id="rId55" Type="http://schemas.openxmlformats.org/officeDocument/2006/relationships/hyperlink" Target="https://www.amazon.com.mx/Sundae-Momiji-K-Tint-pigmentaci&#243;n-acabado/dp/B08XLM9T8F?th=1" TargetMode="External"/><Relationship Id="rId76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7" Type="http://schemas.openxmlformats.org/officeDocument/2006/relationships/hyperlink" Target="https://www.rhodeskin.com/products/pocket-blush-tan-line?_pos=1&amp;_psq=blush&amp;_ss=e&amp;_v=1.0" TargetMode="External"/><Relationship Id="rId71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2" Type="http://schemas.openxmlformats.org/officeDocument/2006/relationships/hyperlink" Target="https://www.maccosmetics.com.mx/product/13847/119586/productos/maquillaje/rostro/bases-de-maquillaje/studio-radiance-serum-poweredtm-foundation?shade=NW2" TargetMode="External"/><Relationship Id="rId29" Type="http://schemas.openxmlformats.org/officeDocument/2006/relationships/hyperlink" Target="https://www.amazon.com.mx/Maybelline-New-York-Tattoo-estilizador/dp/B0B3553Q1N/ref=zg_bs_g_10178480011_d_sccl_9/139-5127535-4936938?th=1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2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1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4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baba.com/product-detail/Tubes-Cosmetic-Tube-Concealer-Cream-Foundation_1601454334334.html?spm=a2700.picsearch.normal_offer.d_image.47a75f93CPFDtz" TargetMode="External"/><Relationship Id="rId2" Type="http://schemas.openxmlformats.org/officeDocument/2006/relationships/hyperlink" Target="https://www.alibaba.com/product-detail/5ml-10ml-15ml-30ml-50ml-100ml_1600966550866.html?spm=a2700.galleryofferlist.p_offer.d_image.2d3813a0uGMI4E&amp;s=p" TargetMode="External"/><Relationship Id="rId1" Type="http://schemas.openxmlformats.org/officeDocument/2006/relationships/hyperlink" Target="https://www.alibaba.com/product-detail/SOMEWANG-100ml-200ml-400ml-Shampoo-Packaging_1601155361608.html?spm=a2700.find_similar.normal_offer.d_image.82865f93kmONAO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" TargetMode="External"/><Relationship Id="rId18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6" Type="http://schemas.openxmlformats.org/officeDocument/2006/relationships/hyperlink" Target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" TargetMode="External"/><Relationship Id="rId39" Type="http://schemas.openxmlformats.org/officeDocument/2006/relationships/hyperlink" Target="https://bellisima.mx/products/set-de-12-brochas-dont-stop-sleighin-bebella-copia?srsltid=AfmBOoqScf_U19uwP_rD7w49vMQ3awvMgt-9vZTODcwmgv9A_DzeKTbt" TargetMode="External"/><Relationship Id="rId21" Type="http://schemas.openxmlformats.org/officeDocument/2006/relationships/hyperlink" Target="https://bellisima.mx/products/beauty-creations-liquid-eyeliner-mashes" TargetMode="External"/><Relationship Id="rId34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42" Type="http://schemas.openxmlformats.org/officeDocument/2006/relationships/vmlDrawing" Target="../drawings/vmlDrawing1.vml"/><Relationship Id="rId7" Type="http://schemas.openxmlformats.org/officeDocument/2006/relationships/hyperlink" Target="https://www.amazon.com.mx/Maybelline-SuperStay-Teddy-Tint-Tono/dp/B0DHF3S3CS/ref=zg_bs_g_10178502011_d_sccl_3/139-2497918-0261623?psc=1" TargetMode="External"/><Relationship Id="rId2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16" Type="http://schemas.openxmlformats.org/officeDocument/2006/relationships/hyperlink" Target="https://www.alibaba.com/product-detail/Wholesale-Empty-6g-10g-Sunscreen-Stick_1600460456748.html?spm=a2700.find_similar.normal_offer.d_image.2fc25f93yc6jks" TargetMode="External"/><Relationship Id="rId20" Type="http://schemas.openxmlformats.org/officeDocument/2006/relationships/hyperlink" Target="https://www.alibaba.com/product-detail/Non-Smudge-Beginner-Eyeliner-Pen-Waterproof_1601050184499.html?spm=a2700.picsearch.normal_offer.d_image.7a175f93RR0JWl" TargetMode="External"/><Relationship Id="rId29" Type="http://schemas.openxmlformats.org/officeDocument/2006/relationships/hyperlink" Target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" TargetMode="External"/><Relationship Id="rId41" Type="http://schemas.openxmlformats.org/officeDocument/2006/relationships/drawing" Target="../drawings/drawing3.xml"/><Relationship Id="rId1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6" Type="http://schemas.openxmlformats.org/officeDocument/2006/relationships/hyperlink" Target="https://www.amazon.com.mx/Yuya-Set-labiales-sirena-quiero/dp/B0BJ88JG6C/ref=zg_bs_g_10178502011_d_sccl_5/139-2497918-0261623?psc=1" TargetMode="External"/><Relationship Id="rId11" Type="http://schemas.openxmlformats.org/officeDocument/2006/relationships/hyperlink" Target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" TargetMode="External"/><Relationship Id="rId24" Type="http://schemas.openxmlformats.org/officeDocument/2006/relationships/hyperlink" Target="https://bellisima.mx/products/tinta-para-cejas-stay-put-brow-mousse-milani" TargetMode="External"/><Relationship Id="rId32" Type="http://schemas.openxmlformats.org/officeDocument/2006/relationships/hyperlink" Target="https://www.alibaba.com/product-detail/Custom-Label-Silicone-Seal-Ring-LipGloss_1601172713678.html?spm=a2700.picsearch.normal_offer.d_image.75bb5f93yqPWMw" TargetMode="External"/><Relationship Id="rId37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.mx/Maybelline-SuperStay-Teddy-Tint-Tono/dp/B0DHF9X19V/ref=zg_bs_g_10178502011_d_sccl_6/139-2497918-0261623?psc=1" TargetMode="External"/><Relationship Id="rId15" Type="http://schemas.openxmlformats.org/officeDocument/2006/relationships/hyperlink" Target="https://www.alibaba.com/product-detail/Transparent-2ml-3ml-5ml-8ml-10ml_1600210133939.html?spm=a2700.find_similar.normal_offer.d_image.78545f93A3wXf4" TargetMode="External"/><Relationship Id="rId23" Type="http://schemas.openxmlformats.org/officeDocument/2006/relationships/hyperlink" Target="https://www.alibaba.com/product-detail/Private-Label-4ml-Eyelash-Serum-Mascara_1600303641047.html?spm=a2700.galleryofferlist.normal_offer.d_image.3afc13a0s4ewLa&amp;priceId=693031f39fb1450d939e5f3d5db3352a" TargetMode="External"/><Relationship Id="rId28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6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10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9" Type="http://schemas.openxmlformats.org/officeDocument/2006/relationships/hyperlink" Target="https://bellisima.mx/products/flawless-stay-liquid-highlight-glow-up-wands-beauty-creations?variant=41786795786318" TargetMode="External"/><Relationship Id="rId31" Type="http://schemas.openxmlformats.org/officeDocument/2006/relationships/hyperlink" Target="https://www.alibaba.com/product-detail/High-Quality-Face-Powder-5-ml_1600565506136.html?spm=a2700.find_similar.normal_offer.d_image.29a85f93Z3JfcB" TargetMode="External"/><Relationship Id="rId4" Type="http://schemas.openxmlformats.org/officeDocument/2006/relationships/hyperlink" Target="https://www.amazon.com.mx/Paris-Infallible-Resistance-Duraci&#243;n-Hialur&#243;nico/dp/B0BWK5HRF8/ref=zg_bs_g_10178502011_d_sccl_1/139-2497918-0261623?psc=1" TargetMode="External"/><Relationship Id="rId9" Type="http://schemas.openxmlformats.org/officeDocument/2006/relationships/hyperlink" Target="https://www.amazon.com.mx/Maybelline-SuperStay-Teddy-Tint-Tono/dp/B0DHDTXMYK/ref=zg_bs_g_10178502011_d_sccl_4/139-2497918-0261623?psc=1" TargetMode="External"/><Relationship Id="rId14" Type="http://schemas.openxmlformats.org/officeDocument/2006/relationships/hyperlink" Target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" TargetMode="External"/><Relationship Id="rId22" Type="http://schemas.openxmlformats.org/officeDocument/2006/relationships/hyperlink" Target="https://bellisima.mx/products/mascara-voluminizadora-mega-volume-so-defined-wet-n-wild" TargetMode="External"/><Relationship Id="rId27" Type="http://schemas.openxmlformats.org/officeDocument/2006/relationships/hyperlink" Target="https://bellisima.mx/products/sombras-gilded-mini-eyeshadow-quads-call-me-old-fashioned-milani" TargetMode="External"/><Relationship Id="rId30" Type="http://schemas.openxmlformats.org/officeDocument/2006/relationships/hyperlink" Target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" TargetMode="External"/><Relationship Id="rId35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43" Type="http://schemas.openxmlformats.org/officeDocument/2006/relationships/comments" Target="../comments1.xml"/><Relationship Id="rId8" Type="http://schemas.openxmlformats.org/officeDocument/2006/relationships/hyperlink" Target="https://www.amazon.com.mx/Maybelline-SuperStay-Teddy-Tint-Tono/dp/B0DHF4PSCN/ref=zg_bs_g_10178502011_d_sccl_2/139-2497918-0261623?psc=1" TargetMode="External"/><Relationship Id="rId3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2" Type="http://schemas.openxmlformats.org/officeDocument/2006/relationships/hyperlink" Target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" TargetMode="External"/><Relationship Id="rId17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5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3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38" Type="http://schemas.openxmlformats.org/officeDocument/2006/relationships/hyperlink" Target="https://www.alibaba.com/product-detail/8Pcs-Synthetic-Foundation-Brush-Blending-Face_1601053171038.html?spm=a2700.picsearch.normal_offer.d_image.67d85f93AioiKN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A68"/>
  <sheetViews>
    <sheetView topLeftCell="CC15" zoomScale="40" zoomScaleNormal="40" workbookViewId="0">
      <selection activeCell="AC35" sqref="AC35"/>
    </sheetView>
  </sheetViews>
  <sheetFormatPr defaultColWidth="11.5703125" defaultRowHeight="12"/>
  <cols>
    <col min="1" max="1" width="4" style="415" bestFit="1" customWidth="1"/>
    <col min="2" max="2" width="15.85546875" style="415" customWidth="1"/>
    <col min="3" max="3" width="13.140625" style="415" customWidth="1"/>
    <col min="4" max="4" width="13.85546875" style="415" bestFit="1" customWidth="1"/>
    <col min="5" max="5" width="17.5703125" style="415" bestFit="1" customWidth="1"/>
    <col min="6" max="6" width="18.5703125" style="415" bestFit="1" customWidth="1"/>
    <col min="7" max="7" width="27.85546875" style="415" customWidth="1"/>
    <col min="8" max="8" width="9.5703125" style="415" bestFit="1" customWidth="1"/>
    <col min="9" max="9" width="23.7109375" style="415" hidden="1" customWidth="1"/>
    <col min="10" max="10" width="6.28515625" style="415" bestFit="1" customWidth="1"/>
    <col min="11" max="11" width="26.5703125" style="415" hidden="1" customWidth="1"/>
    <col min="12" max="12" width="11.140625" style="415" hidden="1" customWidth="1"/>
    <col min="13" max="13" width="9.28515625" style="415" hidden="1" customWidth="1"/>
    <col min="14" max="14" width="6.5703125" style="415" hidden="1" customWidth="1"/>
    <col min="15" max="15" width="8.140625" style="415" hidden="1" customWidth="1"/>
    <col min="16" max="16" width="9.28515625" style="415" hidden="1" customWidth="1"/>
    <col min="17" max="18" width="8.140625" style="415" hidden="1" customWidth="1"/>
    <col min="19" max="20" width="10.5703125" style="415" bestFit="1" customWidth="1"/>
    <col min="21" max="21" width="11.85546875" style="415" customWidth="1"/>
    <col min="22" max="22" width="10.5703125" style="415" bestFit="1" customWidth="1"/>
    <col min="23" max="23" width="9.5703125" style="415" customWidth="1"/>
    <col min="24" max="24" width="12.5703125" style="415" customWidth="1"/>
    <col min="25" max="25" width="13.42578125" style="415" bestFit="1" customWidth="1"/>
    <col min="26" max="26" width="11.140625" style="415" bestFit="1" customWidth="1"/>
    <col min="27" max="27" width="8.85546875" style="415" bestFit="1" customWidth="1"/>
    <col min="28" max="28" width="25.42578125" style="415" hidden="1" customWidth="1"/>
    <col min="29" max="29" width="43.7109375" style="415" hidden="1" customWidth="1"/>
    <col min="30" max="30" width="18" style="415" customWidth="1"/>
    <col min="31" max="52" width="2.42578125" style="415" customWidth="1"/>
    <col min="53" max="64" width="11.85546875" style="415" customWidth="1"/>
    <col min="65" max="70" width="2.85546875" style="407" customWidth="1"/>
    <col min="71" max="74" width="13" style="461" customWidth="1"/>
    <col min="75" max="87" width="3.42578125" style="415" customWidth="1"/>
    <col min="88" max="88" width="13" style="461" bestFit="1" customWidth="1"/>
    <col min="89" max="89" width="11.140625" style="461" bestFit="1" customWidth="1"/>
    <col min="90" max="90" width="19.140625" style="461" bestFit="1" customWidth="1"/>
    <col min="91" max="91" width="11.140625" style="461" bestFit="1" customWidth="1"/>
    <col min="92" max="92" width="27.85546875" style="461" bestFit="1" customWidth="1"/>
    <col min="93" max="93" width="11.140625" style="461" bestFit="1" customWidth="1"/>
    <col min="94" max="94" width="20" style="415" bestFit="1" customWidth="1"/>
    <col min="95" max="95" width="12.85546875" style="415" bestFit="1" customWidth="1"/>
    <col min="96" max="96" width="32" style="415" bestFit="1" customWidth="1"/>
    <col min="97" max="97" width="6.85546875" style="415" bestFit="1" customWidth="1"/>
    <col min="98" max="98" width="28.28515625" style="415" bestFit="1" customWidth="1"/>
    <col min="99" max="99" width="6.85546875" style="415" bestFit="1" customWidth="1"/>
    <col min="100" max="100" width="17" style="415" bestFit="1" customWidth="1"/>
    <col min="101" max="101" width="6.85546875" style="415" bestFit="1" customWidth="1"/>
    <col min="102" max="102" width="24.5703125" style="415" bestFit="1" customWidth="1"/>
    <col min="103" max="103" width="6.85546875" style="415" bestFit="1" customWidth="1"/>
    <col min="104" max="104" width="35.42578125" style="415" customWidth="1"/>
    <col min="105" max="105" width="6.85546875" style="415" bestFit="1" customWidth="1"/>
    <col min="106" max="16384" width="11.5703125" style="415"/>
  </cols>
  <sheetData>
    <row r="1" spans="1:105" s="407" customFormat="1">
      <c r="A1" s="403"/>
      <c r="B1" s="404"/>
      <c r="C1" s="404"/>
      <c r="D1" s="403"/>
      <c r="E1" s="405"/>
      <c r="F1" s="403"/>
      <c r="G1" s="403"/>
      <c r="H1" s="406"/>
      <c r="I1" s="403"/>
      <c r="J1" s="403"/>
      <c r="K1" s="403"/>
      <c r="L1" s="403"/>
      <c r="M1" s="403"/>
      <c r="N1" s="406"/>
      <c r="O1" s="406"/>
      <c r="P1" s="406"/>
      <c r="Q1" s="406"/>
      <c r="R1" s="406"/>
      <c r="S1" s="404"/>
      <c r="T1" s="406"/>
      <c r="U1" s="406"/>
      <c r="V1" s="406"/>
      <c r="W1" s="406"/>
      <c r="X1" s="406"/>
      <c r="Y1" s="406"/>
      <c r="Z1" s="403"/>
      <c r="AA1" s="406"/>
      <c r="AB1" s="406"/>
      <c r="AC1" s="403"/>
      <c r="AD1" s="403"/>
      <c r="BA1" s="403"/>
      <c r="BB1" s="403"/>
      <c r="BC1" s="403"/>
      <c r="BD1" s="403"/>
      <c r="BE1" s="403"/>
      <c r="BF1" s="403"/>
      <c r="BG1" s="403"/>
      <c r="BH1" s="403"/>
      <c r="BI1" s="403"/>
      <c r="BJ1" s="403"/>
      <c r="BK1" s="403"/>
      <c r="BL1" s="403"/>
      <c r="BM1" s="403"/>
      <c r="BN1" s="403"/>
      <c r="BO1" s="403"/>
      <c r="BP1" s="403"/>
      <c r="BQ1" s="403"/>
      <c r="BR1" s="403"/>
      <c r="BS1" s="403"/>
      <c r="BT1" s="403"/>
      <c r="BU1" s="403"/>
      <c r="BV1" s="403"/>
      <c r="CJ1" s="403"/>
      <c r="CK1" s="403"/>
      <c r="CL1" s="403"/>
      <c r="CM1" s="403"/>
      <c r="CN1" s="403"/>
      <c r="CO1" s="403"/>
      <c r="CP1" s="403"/>
      <c r="CQ1" s="403"/>
      <c r="CR1" s="403"/>
      <c r="CS1" s="403"/>
      <c r="CT1" s="403"/>
      <c r="CU1" s="403"/>
      <c r="CV1" s="403"/>
      <c r="CW1" s="403"/>
      <c r="CX1" s="403"/>
      <c r="CY1" s="403"/>
      <c r="CZ1" s="403"/>
      <c r="DA1" s="403"/>
    </row>
    <row r="2" spans="1:105" s="407" customFormat="1">
      <c r="A2" s="403"/>
      <c r="B2" s="404"/>
      <c r="C2" s="404"/>
      <c r="D2" s="403"/>
      <c r="E2" s="405"/>
      <c r="F2" s="403"/>
      <c r="G2" s="403"/>
      <c r="H2" s="406"/>
      <c r="I2" s="403"/>
      <c r="J2" s="403"/>
      <c r="K2" s="403"/>
      <c r="L2" s="403"/>
      <c r="M2" s="403"/>
      <c r="N2" s="406"/>
      <c r="O2" s="406"/>
      <c r="P2" s="406"/>
      <c r="Q2" s="406"/>
      <c r="R2" s="406"/>
      <c r="S2" s="404"/>
      <c r="T2" s="406"/>
      <c r="U2" s="406"/>
      <c r="V2" s="406"/>
      <c r="W2" s="406"/>
      <c r="X2" s="406"/>
      <c r="Y2" s="406"/>
      <c r="Z2" s="403"/>
      <c r="AA2" s="406"/>
      <c r="AB2" s="406"/>
      <c r="AC2" s="403"/>
      <c r="AD2" s="403"/>
      <c r="BA2" s="403"/>
      <c r="BB2" s="403"/>
      <c r="BC2" s="403"/>
      <c r="BD2" s="403"/>
      <c r="BE2" s="403"/>
      <c r="BF2" s="403"/>
      <c r="BG2" s="403"/>
      <c r="BH2" s="403"/>
      <c r="BI2" s="403"/>
      <c r="BJ2" s="403"/>
      <c r="BK2" s="403"/>
      <c r="BL2" s="403"/>
      <c r="BM2" s="403"/>
      <c r="BN2" s="403"/>
      <c r="BO2" s="403"/>
      <c r="BP2" s="403"/>
      <c r="BQ2" s="403"/>
      <c r="BR2" s="403"/>
      <c r="BS2" s="403"/>
      <c r="BT2" s="403"/>
      <c r="BU2" s="403"/>
      <c r="BV2" s="403"/>
      <c r="CJ2" s="403"/>
      <c r="CK2" s="403"/>
      <c r="CL2" s="403"/>
      <c r="CM2" s="403"/>
      <c r="CN2" s="403"/>
      <c r="CO2" s="403"/>
      <c r="CP2" s="403"/>
      <c r="CQ2" s="403"/>
      <c r="CR2" s="403"/>
      <c r="CS2" s="403"/>
      <c r="CT2" s="403"/>
      <c r="CU2" s="403"/>
      <c r="CV2" s="403"/>
      <c r="CW2" s="403"/>
      <c r="CX2" s="403"/>
      <c r="CY2" s="403"/>
      <c r="CZ2" s="403"/>
      <c r="DA2" s="403"/>
    </row>
    <row r="3" spans="1:105" s="407" customFormat="1">
      <c r="A3" s="403"/>
      <c r="B3" s="404"/>
      <c r="C3" s="404"/>
      <c r="D3" s="403"/>
      <c r="E3" s="405"/>
      <c r="F3" s="403"/>
      <c r="G3" s="403"/>
      <c r="H3" s="406"/>
      <c r="I3" s="403"/>
      <c r="J3" s="403"/>
      <c r="K3" s="403"/>
      <c r="L3" s="403"/>
      <c r="M3" s="403"/>
      <c r="N3" s="406"/>
      <c r="O3" s="406"/>
      <c r="P3" s="406"/>
      <c r="Q3" s="406"/>
      <c r="R3" s="406"/>
      <c r="S3" s="404"/>
      <c r="T3" s="406"/>
      <c r="U3" s="406"/>
      <c r="V3" s="406"/>
      <c r="W3" s="406"/>
      <c r="X3" s="406"/>
      <c r="Y3" s="406"/>
      <c r="Z3" s="403"/>
      <c r="AA3" s="406"/>
      <c r="AB3" s="406"/>
      <c r="AC3" s="403"/>
      <c r="AD3" s="403"/>
      <c r="BA3" s="403"/>
      <c r="BB3" s="403"/>
      <c r="BC3" s="403"/>
      <c r="BD3" s="403"/>
      <c r="BE3" s="403"/>
      <c r="BF3" s="403"/>
      <c r="BG3" s="403"/>
      <c r="BH3" s="403"/>
      <c r="BI3" s="403"/>
      <c r="BJ3" s="403"/>
      <c r="BK3" s="403"/>
      <c r="BL3" s="403"/>
      <c r="BM3" s="403"/>
      <c r="BN3" s="403"/>
      <c r="BO3" s="403"/>
      <c r="BP3" s="403"/>
      <c r="BQ3" s="403"/>
      <c r="BR3" s="403"/>
      <c r="BS3" s="403"/>
      <c r="BT3" s="403"/>
      <c r="BU3" s="403"/>
      <c r="BV3" s="403"/>
      <c r="CJ3" s="403"/>
      <c r="CK3" s="403"/>
      <c r="CL3" s="403"/>
      <c r="CM3" s="403"/>
      <c r="CN3" s="403"/>
      <c r="CO3" s="403"/>
      <c r="CP3" s="403"/>
      <c r="CQ3" s="403"/>
      <c r="CR3" s="403"/>
      <c r="CS3" s="403"/>
      <c r="CT3" s="403"/>
      <c r="CU3" s="403"/>
      <c r="CV3" s="403"/>
      <c r="CW3" s="403"/>
      <c r="CX3" s="403"/>
      <c r="CY3" s="403"/>
      <c r="CZ3" s="403"/>
      <c r="DA3" s="403"/>
    </row>
    <row r="4" spans="1:105" s="407" customFormat="1">
      <c r="A4" s="403"/>
      <c r="B4" s="404"/>
      <c r="C4" s="404"/>
      <c r="D4" s="403"/>
      <c r="E4" s="405"/>
      <c r="F4" s="403"/>
      <c r="G4" s="403"/>
      <c r="H4" s="406"/>
      <c r="I4" s="403"/>
      <c r="J4" s="403"/>
      <c r="K4" s="403"/>
      <c r="L4" s="403"/>
      <c r="M4" s="403"/>
      <c r="N4" s="406"/>
      <c r="O4" s="406"/>
      <c r="P4" s="406"/>
      <c r="Q4" s="406"/>
      <c r="R4" s="406"/>
      <c r="S4" s="404"/>
      <c r="T4" s="406"/>
      <c r="U4" s="406"/>
      <c r="V4" s="406"/>
      <c r="W4" s="406"/>
      <c r="X4" s="406"/>
      <c r="Y4" s="406"/>
      <c r="Z4" s="403"/>
      <c r="AA4" s="406"/>
      <c r="AB4" s="406"/>
      <c r="AC4" s="403"/>
      <c r="AD4" s="403"/>
      <c r="BA4" s="403"/>
      <c r="BB4" s="403"/>
      <c r="BC4" s="403"/>
      <c r="BD4" s="403"/>
      <c r="BE4" s="403"/>
      <c r="BF4" s="403"/>
      <c r="BG4" s="403"/>
      <c r="BH4" s="403"/>
      <c r="BI4" s="403"/>
      <c r="BJ4" s="403"/>
      <c r="BK4" s="403"/>
      <c r="BL4" s="403"/>
      <c r="BM4" s="403"/>
      <c r="BN4" s="403"/>
      <c r="BO4" s="403"/>
      <c r="BP4" s="403"/>
      <c r="BQ4" s="403"/>
      <c r="BR4" s="403"/>
      <c r="BS4" s="403"/>
      <c r="BT4" s="403"/>
      <c r="BU4" s="403"/>
      <c r="BV4" s="403"/>
      <c r="CJ4" s="403"/>
      <c r="CK4" s="403"/>
      <c r="CL4" s="403"/>
      <c r="CM4" s="403"/>
      <c r="CN4" s="403"/>
      <c r="CO4" s="403"/>
      <c r="CP4" s="403"/>
      <c r="CQ4" s="403"/>
      <c r="CR4" s="403"/>
      <c r="CS4" s="403"/>
      <c r="CT4" s="403"/>
      <c r="CU4" s="403"/>
      <c r="CV4" s="403"/>
      <c r="CW4" s="403"/>
      <c r="CX4" s="403"/>
      <c r="CY4" s="403"/>
      <c r="CZ4" s="403"/>
      <c r="DA4" s="403"/>
    </row>
    <row r="5" spans="1:105" s="407" customFormat="1">
      <c r="A5" s="403"/>
      <c r="B5" s="404"/>
      <c r="C5" s="404"/>
      <c r="D5" s="403"/>
      <c r="E5" s="405"/>
      <c r="F5" s="403"/>
      <c r="G5" s="403"/>
      <c r="H5" s="406"/>
      <c r="I5" s="403"/>
      <c r="J5" s="403"/>
      <c r="K5" s="403"/>
      <c r="L5" s="403"/>
      <c r="M5" s="403"/>
      <c r="N5" s="406"/>
      <c r="O5" s="406"/>
      <c r="P5" s="406"/>
      <c r="Q5" s="406"/>
      <c r="R5" s="406"/>
      <c r="S5" s="404"/>
      <c r="T5" s="406"/>
      <c r="U5" s="406"/>
      <c r="V5" s="406"/>
      <c r="W5" s="406"/>
      <c r="X5" s="406"/>
      <c r="Y5" s="406"/>
      <c r="Z5" s="403"/>
      <c r="AA5" s="406"/>
      <c r="AB5" s="406"/>
      <c r="AC5" s="403"/>
      <c r="AD5" s="403"/>
      <c r="BA5" s="403"/>
      <c r="BB5" s="403"/>
      <c r="BC5" s="403"/>
      <c r="BD5" s="403"/>
      <c r="BE5" s="403"/>
      <c r="BF5" s="403"/>
      <c r="BG5" s="403"/>
      <c r="BH5" s="403"/>
      <c r="BI5" s="403"/>
      <c r="BJ5" s="403"/>
      <c r="BK5" s="403"/>
      <c r="BL5" s="403"/>
      <c r="BM5" s="403"/>
      <c r="BN5" s="403"/>
      <c r="BO5" s="403"/>
      <c r="BP5" s="403"/>
      <c r="BQ5" s="403"/>
      <c r="BR5" s="403"/>
      <c r="BS5" s="403"/>
      <c r="BT5" s="403"/>
      <c r="BU5" s="403"/>
      <c r="BV5" s="403"/>
      <c r="CJ5" s="403"/>
      <c r="CK5" s="403"/>
      <c r="CL5" s="403"/>
      <c r="CM5" s="403"/>
      <c r="CN5" s="403"/>
      <c r="CO5" s="403"/>
      <c r="CP5" s="403"/>
      <c r="CQ5" s="403"/>
      <c r="CR5" s="403"/>
      <c r="CS5" s="403"/>
      <c r="CT5" s="403"/>
      <c r="CU5" s="403"/>
      <c r="CV5" s="403"/>
      <c r="CW5" s="403"/>
      <c r="CX5" s="403"/>
      <c r="CY5" s="403"/>
      <c r="CZ5" s="403"/>
      <c r="DA5" s="403"/>
    </row>
    <row r="6" spans="1:105" s="407" customFormat="1">
      <c r="A6" s="403"/>
      <c r="B6" s="404"/>
      <c r="C6" s="404"/>
      <c r="D6" s="403"/>
      <c r="E6" s="405"/>
      <c r="F6" s="403"/>
      <c r="G6" s="403"/>
      <c r="H6" s="406"/>
      <c r="I6" s="403"/>
      <c r="J6" s="403"/>
      <c r="K6" s="403"/>
      <c r="L6" s="403"/>
      <c r="M6" s="403"/>
      <c r="N6" s="406"/>
      <c r="O6" s="406"/>
      <c r="P6" s="406"/>
      <c r="Q6" s="406"/>
      <c r="R6" s="406"/>
      <c r="S6" s="404"/>
      <c r="T6" s="406"/>
      <c r="U6" s="406"/>
      <c r="V6" s="406"/>
      <c r="W6" s="406"/>
      <c r="X6" s="406"/>
      <c r="Y6" s="406"/>
      <c r="Z6" s="403"/>
      <c r="AA6" s="406"/>
      <c r="AB6" s="406"/>
      <c r="AC6" s="403"/>
      <c r="AD6" s="403"/>
      <c r="BA6" s="403"/>
      <c r="BB6" s="403"/>
      <c r="BC6" s="403"/>
      <c r="BD6" s="403"/>
      <c r="BE6" s="403"/>
      <c r="BF6" s="403"/>
      <c r="BG6" s="403"/>
      <c r="BH6" s="403"/>
      <c r="BI6" s="403"/>
      <c r="BJ6" s="403"/>
      <c r="BK6" s="403"/>
      <c r="BL6" s="403"/>
      <c r="BM6" s="403"/>
      <c r="BN6" s="403"/>
      <c r="BO6" s="403"/>
      <c r="BP6" s="403"/>
      <c r="BQ6" s="403"/>
      <c r="BR6" s="403"/>
      <c r="BS6" s="403"/>
      <c r="BT6" s="403"/>
      <c r="BU6" s="403"/>
      <c r="BV6" s="403"/>
      <c r="CJ6" s="403"/>
      <c r="CK6" s="403"/>
      <c r="CL6" s="403"/>
      <c r="CM6" s="403"/>
      <c r="CN6" s="403"/>
      <c r="CO6" s="403"/>
      <c r="CP6" s="403"/>
      <c r="CQ6" s="403"/>
      <c r="CR6" s="403"/>
      <c r="CS6" s="403"/>
      <c r="CT6" s="403"/>
      <c r="CU6" s="403"/>
      <c r="CV6" s="403"/>
      <c r="CW6" s="403"/>
      <c r="CX6" s="403"/>
      <c r="CY6" s="403"/>
      <c r="CZ6" s="403"/>
      <c r="DA6" s="403"/>
    </row>
    <row r="7" spans="1:105" s="407" customFormat="1">
      <c r="A7" s="403"/>
      <c r="B7" s="404"/>
      <c r="C7" s="404"/>
      <c r="D7" s="403"/>
      <c r="E7" s="405"/>
      <c r="F7" s="403"/>
      <c r="G7" s="403"/>
      <c r="H7" s="406"/>
      <c r="I7" s="403"/>
      <c r="J7" s="403"/>
      <c r="K7" s="403"/>
      <c r="L7" s="403"/>
      <c r="M7" s="403"/>
      <c r="N7" s="406"/>
      <c r="O7" s="406"/>
      <c r="P7" s="406"/>
      <c r="Q7" s="406"/>
      <c r="R7" s="406"/>
      <c r="S7" s="404"/>
      <c r="T7" s="406"/>
      <c r="U7" s="406"/>
      <c r="V7" s="406"/>
      <c r="W7" s="406"/>
      <c r="X7" s="406"/>
      <c r="Y7" s="406"/>
      <c r="Z7" s="403"/>
      <c r="AA7" s="406"/>
      <c r="AB7" s="406"/>
      <c r="AC7" s="403"/>
      <c r="AD7" s="403"/>
      <c r="BA7" s="403"/>
      <c r="BB7" s="403"/>
      <c r="BC7" s="403"/>
      <c r="BD7" s="403"/>
      <c r="BE7" s="403"/>
      <c r="BF7" s="403"/>
      <c r="BG7" s="403"/>
      <c r="BH7" s="403"/>
      <c r="BI7" s="403"/>
      <c r="BJ7" s="403"/>
      <c r="BK7" s="403"/>
      <c r="BL7" s="403"/>
      <c r="BM7" s="403"/>
      <c r="BN7" s="403"/>
      <c r="BO7" s="403"/>
      <c r="BP7" s="403"/>
      <c r="BQ7" s="403"/>
      <c r="BR7" s="403"/>
      <c r="BS7" s="403"/>
      <c r="BT7" s="403"/>
      <c r="BU7" s="403"/>
      <c r="BV7" s="403"/>
      <c r="CJ7" s="403"/>
      <c r="CK7" s="403"/>
      <c r="CL7" s="403"/>
      <c r="CM7" s="403"/>
      <c r="CN7" s="403"/>
      <c r="CO7" s="403"/>
      <c r="CP7" s="403"/>
      <c r="CQ7" s="403"/>
      <c r="CR7" s="403"/>
      <c r="CS7" s="403"/>
      <c r="CT7" s="403"/>
      <c r="CU7" s="403"/>
      <c r="CV7" s="403"/>
      <c r="CW7" s="403"/>
      <c r="CX7" s="403"/>
      <c r="CY7" s="403"/>
      <c r="CZ7" s="403"/>
      <c r="DA7" s="403"/>
    </row>
    <row r="8" spans="1:105" s="407" customFormat="1">
      <c r="A8" s="403"/>
      <c r="B8" s="404"/>
      <c r="C8" s="404"/>
      <c r="D8" s="403"/>
      <c r="E8" s="405"/>
      <c r="F8" s="403"/>
      <c r="G8" s="403"/>
      <c r="H8" s="406"/>
      <c r="I8" s="403"/>
      <c r="J8" s="403"/>
      <c r="K8" s="403"/>
      <c r="L8" s="403"/>
      <c r="M8" s="403"/>
      <c r="N8" s="406"/>
      <c r="O8" s="406"/>
      <c r="P8" s="406"/>
      <c r="Q8" s="406"/>
      <c r="R8" s="406"/>
      <c r="S8" s="404"/>
      <c r="T8" s="406"/>
      <c r="U8" s="406"/>
      <c r="V8" s="406"/>
      <c r="W8" s="406"/>
      <c r="X8" s="406"/>
      <c r="Y8" s="406"/>
      <c r="Z8" s="403"/>
      <c r="AA8" s="406"/>
      <c r="AB8" s="406"/>
      <c r="AC8" s="403"/>
      <c r="AD8" s="403"/>
      <c r="BA8" s="403"/>
      <c r="BB8" s="403"/>
      <c r="BC8" s="403"/>
      <c r="BD8" s="403"/>
      <c r="BE8" s="403"/>
      <c r="BF8" s="403"/>
      <c r="BG8" s="403"/>
      <c r="BH8" s="403"/>
      <c r="BI8" s="403"/>
      <c r="BJ8" s="403"/>
      <c r="BK8" s="403"/>
      <c r="BL8" s="403"/>
      <c r="BM8" s="403"/>
      <c r="BN8" s="403"/>
      <c r="BO8" s="403"/>
      <c r="BP8" s="403"/>
      <c r="BQ8" s="403"/>
      <c r="BR8" s="403"/>
      <c r="BS8" s="403"/>
      <c r="BT8" s="403"/>
      <c r="BU8" s="403"/>
      <c r="BV8" s="403"/>
      <c r="CJ8" s="403"/>
      <c r="CK8" s="403"/>
      <c r="CL8" s="403"/>
      <c r="CM8" s="403"/>
      <c r="CN8" s="403"/>
      <c r="CO8" s="403"/>
      <c r="CP8" s="403"/>
      <c r="CQ8" s="403"/>
      <c r="CR8" s="403"/>
      <c r="CS8" s="403"/>
      <c r="CT8" s="403"/>
      <c r="CU8" s="403"/>
      <c r="CV8" s="403"/>
      <c r="CW8" s="403"/>
      <c r="CX8" s="403"/>
      <c r="CY8" s="403"/>
      <c r="CZ8" s="403"/>
      <c r="DA8" s="403"/>
    </row>
    <row r="9" spans="1:105" s="407" customFormat="1">
      <c r="A9" s="403"/>
      <c r="B9" s="404"/>
      <c r="C9" s="404"/>
      <c r="D9" s="403"/>
      <c r="E9" s="405"/>
      <c r="F9" s="403"/>
      <c r="G9" s="403"/>
      <c r="H9" s="406"/>
      <c r="I9" s="403"/>
      <c r="J9" s="403"/>
      <c r="K9" s="403"/>
      <c r="L9" s="403"/>
      <c r="M9" s="403"/>
      <c r="N9" s="406"/>
      <c r="O9" s="406"/>
      <c r="P9" s="406"/>
      <c r="Q9" s="406"/>
      <c r="R9" s="406"/>
      <c r="S9" s="404"/>
      <c r="T9" s="406"/>
      <c r="U9" s="406"/>
      <c r="V9" s="406"/>
      <c r="W9" s="406"/>
      <c r="X9" s="406"/>
      <c r="Y9" s="406"/>
      <c r="Z9" s="403"/>
      <c r="AA9" s="406"/>
      <c r="AB9" s="406"/>
      <c r="AC9" s="403"/>
      <c r="AD9" s="403"/>
      <c r="BA9" s="403"/>
      <c r="BB9" s="403"/>
      <c r="BC9" s="403"/>
      <c r="BD9" s="403"/>
      <c r="BE9" s="403"/>
      <c r="BF9" s="403"/>
      <c r="BG9" s="403"/>
      <c r="BH9" s="403"/>
      <c r="BI9" s="403"/>
      <c r="BJ9" s="403"/>
      <c r="BK9" s="403"/>
      <c r="BL9" s="403"/>
      <c r="BM9" s="403"/>
      <c r="BN9" s="403"/>
      <c r="BO9" s="403"/>
      <c r="BP9" s="403"/>
      <c r="BQ9" s="403"/>
      <c r="BR9" s="403"/>
      <c r="BS9" s="403"/>
      <c r="BT9" s="403"/>
      <c r="BU9" s="403"/>
      <c r="BV9" s="403"/>
      <c r="CJ9" s="403"/>
      <c r="CK9" s="403"/>
      <c r="CL9" s="403"/>
      <c r="CM9" s="403"/>
      <c r="CN9" s="403"/>
      <c r="CO9" s="403"/>
      <c r="CP9" s="403"/>
      <c r="CQ9" s="403"/>
      <c r="CR9" s="403"/>
      <c r="CS9" s="403"/>
      <c r="CT9" s="403"/>
      <c r="CU9" s="403"/>
      <c r="CV9" s="403"/>
      <c r="CW9" s="403"/>
      <c r="CX9" s="403"/>
      <c r="CY9" s="403"/>
      <c r="CZ9" s="403"/>
      <c r="DA9" s="403"/>
    </row>
    <row r="10" spans="1:105" s="407" customFormat="1">
      <c r="A10" s="403"/>
      <c r="B10" s="404"/>
      <c r="C10" s="404"/>
      <c r="D10" s="403"/>
      <c r="E10" s="405"/>
      <c r="F10" s="403"/>
      <c r="G10" s="403"/>
      <c r="H10" s="406"/>
      <c r="I10" s="403"/>
      <c r="J10" s="403"/>
      <c r="K10" s="403"/>
      <c r="L10" s="403"/>
      <c r="M10" s="403"/>
      <c r="N10" s="406"/>
      <c r="O10" s="406"/>
      <c r="P10" s="406"/>
      <c r="Q10" s="406"/>
      <c r="R10" s="406"/>
      <c r="S10" s="404"/>
      <c r="T10" s="406"/>
      <c r="U10" s="406"/>
      <c r="V10" s="406"/>
      <c r="W10" s="406"/>
      <c r="X10" s="406"/>
      <c r="Y10" s="406"/>
      <c r="Z10" s="403"/>
      <c r="AA10" s="406"/>
      <c r="AB10" s="406"/>
      <c r="AC10" s="403"/>
      <c r="AD10" s="403"/>
      <c r="BA10" s="403"/>
      <c r="BB10" s="403"/>
      <c r="BC10" s="403"/>
      <c r="BD10" s="403"/>
      <c r="BE10" s="403"/>
      <c r="BF10" s="403"/>
      <c r="BG10" s="403"/>
      <c r="BH10" s="403"/>
      <c r="BI10" s="403"/>
      <c r="BJ10" s="403"/>
      <c r="BK10" s="403"/>
      <c r="BL10" s="403"/>
      <c r="BM10" s="403"/>
      <c r="BN10" s="403"/>
      <c r="BO10" s="403"/>
      <c r="BP10" s="403"/>
      <c r="BQ10" s="403"/>
      <c r="BR10" s="403"/>
      <c r="BS10" s="403"/>
      <c r="BT10" s="403"/>
      <c r="BU10" s="403"/>
      <c r="BV10" s="403"/>
      <c r="CJ10" s="403"/>
      <c r="CK10" s="403"/>
      <c r="CL10" s="403"/>
      <c r="CM10" s="403"/>
      <c r="CN10" s="403"/>
      <c r="CO10" s="403"/>
      <c r="CP10" s="403"/>
      <c r="CQ10" s="403"/>
      <c r="CR10" s="403"/>
      <c r="CS10" s="403"/>
      <c r="CT10" s="403"/>
      <c r="CU10" s="403"/>
      <c r="CV10" s="403"/>
      <c r="CW10" s="403"/>
      <c r="CX10" s="403"/>
      <c r="CY10" s="403"/>
      <c r="CZ10" s="403"/>
      <c r="DA10" s="403"/>
    </row>
    <row r="11" spans="1:105" s="407" customFormat="1">
      <c r="A11" s="403"/>
      <c r="B11" s="404"/>
      <c r="C11" s="404"/>
      <c r="D11" s="403"/>
      <c r="E11" s="405"/>
      <c r="F11" s="403"/>
      <c r="G11" s="403"/>
      <c r="H11" s="406"/>
      <c r="I11" s="403"/>
      <c r="J11" s="403"/>
      <c r="K11" s="403"/>
      <c r="L11" s="403"/>
      <c r="M11" s="403"/>
      <c r="N11" s="406"/>
      <c r="O11" s="406"/>
      <c r="P11" s="406"/>
      <c r="Q11" s="406"/>
      <c r="R11" s="406"/>
      <c r="S11" s="404"/>
      <c r="T11" s="406"/>
      <c r="U11" s="406"/>
      <c r="V11" s="406"/>
      <c r="W11" s="406"/>
      <c r="X11" s="406"/>
      <c r="Y11" s="406"/>
      <c r="Z11" s="403"/>
      <c r="AA11" s="406"/>
      <c r="AB11" s="406"/>
      <c r="AC11" s="403"/>
      <c r="AD11" s="403"/>
      <c r="BA11" s="403"/>
      <c r="BB11" s="403"/>
      <c r="BC11" s="403"/>
      <c r="BD11" s="403"/>
      <c r="BE11" s="403"/>
      <c r="BF11" s="403"/>
      <c r="BG11" s="403"/>
      <c r="BH11" s="403"/>
      <c r="BI11" s="403"/>
      <c r="BJ11" s="403"/>
      <c r="BK11" s="403"/>
      <c r="BL11" s="403"/>
      <c r="BM11" s="403"/>
      <c r="BN11" s="403"/>
      <c r="BO11" s="403"/>
      <c r="BP11" s="403"/>
      <c r="BQ11" s="403"/>
      <c r="BR11" s="403"/>
      <c r="BS11" s="403"/>
      <c r="BT11" s="403"/>
      <c r="BU11" s="403"/>
      <c r="BV11" s="403"/>
      <c r="CJ11" s="403"/>
      <c r="CK11" s="403"/>
      <c r="CL11" s="403"/>
      <c r="CM11" s="403"/>
      <c r="CN11" s="403"/>
      <c r="CO11" s="403"/>
      <c r="CP11" s="403"/>
      <c r="CQ11" s="403"/>
      <c r="CR11" s="403"/>
      <c r="CS11" s="403"/>
      <c r="CT11" s="403"/>
      <c r="CU11" s="403"/>
      <c r="CV11" s="403"/>
      <c r="CW11" s="403"/>
      <c r="CX11" s="403"/>
      <c r="CY11" s="403"/>
      <c r="CZ11" s="403"/>
      <c r="DA11" s="403"/>
    </row>
    <row r="12" spans="1:105" s="407" customFormat="1">
      <c r="A12" s="403"/>
      <c r="B12" s="404"/>
      <c r="C12" s="404"/>
      <c r="D12" s="403"/>
      <c r="E12" s="405"/>
      <c r="F12" s="403"/>
      <c r="G12" s="403"/>
      <c r="H12" s="406"/>
      <c r="I12" s="403"/>
      <c r="J12" s="403"/>
      <c r="K12" s="403"/>
      <c r="L12" s="403"/>
      <c r="M12" s="403"/>
      <c r="N12" s="406"/>
      <c r="O12" s="406"/>
      <c r="P12" s="406"/>
      <c r="Q12" s="406"/>
      <c r="R12" s="406"/>
      <c r="S12" s="404"/>
      <c r="T12" s="406"/>
      <c r="U12" s="406"/>
      <c r="V12" s="406"/>
      <c r="W12" s="406"/>
      <c r="X12" s="406"/>
      <c r="Y12" s="406"/>
      <c r="Z12" s="403"/>
      <c r="AA12" s="406"/>
      <c r="AB12" s="406"/>
      <c r="AC12" s="403"/>
      <c r="AD12" s="403"/>
      <c r="BA12" s="403"/>
      <c r="BB12" s="403"/>
      <c r="BC12" s="403"/>
      <c r="BD12" s="403"/>
      <c r="BE12" s="403"/>
      <c r="BF12" s="403"/>
      <c r="BG12" s="403"/>
      <c r="BH12" s="403"/>
      <c r="BI12" s="403"/>
      <c r="BJ12" s="403"/>
      <c r="BK12" s="403"/>
      <c r="BL12" s="403"/>
      <c r="BM12" s="403"/>
      <c r="BN12" s="403"/>
      <c r="BO12" s="403"/>
      <c r="BP12" s="403"/>
      <c r="BQ12" s="403"/>
      <c r="BR12" s="403"/>
      <c r="BS12" s="403"/>
      <c r="BT12" s="403"/>
      <c r="BU12" s="403"/>
      <c r="BV12" s="403"/>
      <c r="CJ12" s="403"/>
      <c r="CK12" s="403"/>
      <c r="CL12" s="403"/>
      <c r="CM12" s="403"/>
      <c r="CN12" s="403"/>
      <c r="CO12" s="403"/>
      <c r="CP12" s="403"/>
      <c r="CQ12" s="403"/>
      <c r="CR12" s="403"/>
      <c r="CS12" s="403"/>
      <c r="CT12" s="403"/>
      <c r="CU12" s="403"/>
      <c r="CV12" s="403"/>
      <c r="CW12" s="403"/>
      <c r="CX12" s="403"/>
      <c r="CY12" s="403"/>
      <c r="CZ12" s="403"/>
      <c r="DA12" s="403"/>
    </row>
    <row r="13" spans="1:105" s="407" customFormat="1">
      <c r="A13" s="403"/>
      <c r="B13" s="404"/>
      <c r="C13" s="404"/>
      <c r="D13" s="403"/>
      <c r="E13" s="405"/>
      <c r="F13" s="403"/>
      <c r="G13" s="403"/>
      <c r="H13" s="406"/>
      <c r="I13" s="403"/>
      <c r="J13" s="403"/>
      <c r="K13" s="403"/>
      <c r="L13" s="403"/>
      <c r="M13" s="403"/>
      <c r="N13" s="406"/>
      <c r="O13" s="406"/>
      <c r="P13" s="406"/>
      <c r="Q13" s="406"/>
      <c r="R13" s="406"/>
      <c r="S13" s="404"/>
      <c r="T13" s="406"/>
      <c r="U13" s="406"/>
      <c r="V13" s="406"/>
      <c r="W13" s="406"/>
      <c r="X13" s="406"/>
      <c r="Y13" s="406"/>
      <c r="Z13" s="403"/>
      <c r="AA13" s="406"/>
      <c r="AB13" s="406"/>
      <c r="AC13" s="403"/>
      <c r="AD13" s="403"/>
      <c r="BA13" s="403"/>
      <c r="BB13" s="403"/>
      <c r="BC13" s="403"/>
      <c r="BD13" s="403"/>
      <c r="BE13" s="403"/>
      <c r="BF13" s="403"/>
      <c r="BG13" s="403"/>
      <c r="BH13" s="403"/>
      <c r="BI13" s="403"/>
      <c r="BJ13" s="403"/>
      <c r="BK13" s="403"/>
      <c r="BL13" s="403"/>
      <c r="BM13" s="403"/>
      <c r="BN13" s="403"/>
      <c r="BO13" s="403"/>
      <c r="BP13" s="403"/>
      <c r="BQ13" s="403"/>
      <c r="BR13" s="403"/>
      <c r="BS13" s="403"/>
      <c r="BT13" s="403"/>
      <c r="BU13" s="403"/>
      <c r="BV13" s="403"/>
    </row>
    <row r="14" spans="1:105" s="407" customFormat="1">
      <c r="A14" s="403"/>
      <c r="B14" s="404"/>
      <c r="C14" s="404"/>
      <c r="D14" s="403"/>
      <c r="E14" s="405"/>
      <c r="F14" s="403"/>
      <c r="G14" s="403"/>
      <c r="H14" s="406"/>
      <c r="I14" s="403"/>
      <c r="J14" s="403"/>
      <c r="K14" s="403"/>
      <c r="L14" s="403"/>
      <c r="M14" s="403"/>
      <c r="N14" s="406"/>
      <c r="O14" s="406"/>
      <c r="P14" s="406"/>
      <c r="Q14" s="406"/>
      <c r="R14" s="406"/>
      <c r="S14" s="404"/>
      <c r="T14" s="406"/>
      <c r="U14" s="406"/>
      <c r="V14" s="406"/>
      <c r="W14" s="406"/>
      <c r="X14" s="406"/>
      <c r="Y14" s="406"/>
      <c r="Z14" s="403"/>
      <c r="AA14" s="406"/>
      <c r="AB14" s="406"/>
      <c r="AC14" s="403"/>
      <c r="AD14" s="403"/>
      <c r="BA14" s="403"/>
      <c r="BB14" s="403"/>
      <c r="BC14" s="403"/>
      <c r="BD14" s="403"/>
      <c r="BE14" s="403"/>
      <c r="BF14" s="403"/>
      <c r="BG14" s="403"/>
      <c r="BH14" s="403"/>
      <c r="BI14" s="403"/>
      <c r="BJ14" s="403"/>
      <c r="BK14" s="403"/>
      <c r="BL14" s="403"/>
      <c r="BM14" s="403"/>
      <c r="BN14" s="403"/>
      <c r="BO14" s="403"/>
      <c r="BP14" s="403"/>
      <c r="BQ14" s="403"/>
      <c r="BR14" s="403"/>
      <c r="BS14" s="403"/>
      <c r="BT14" s="403"/>
      <c r="BU14" s="403"/>
      <c r="BV14" s="403"/>
      <c r="CJ14" s="408" t="s">
        <v>0</v>
      </c>
      <c r="CK14" s="409"/>
      <c r="CL14" s="409"/>
      <c r="CM14" s="409"/>
      <c r="CN14" s="409"/>
      <c r="CO14" s="409"/>
      <c r="CP14" s="409"/>
      <c r="CQ14" s="409"/>
      <c r="CR14" s="409"/>
      <c r="CS14" s="409"/>
      <c r="CT14" s="409"/>
      <c r="CU14" s="409"/>
      <c r="CV14" s="409"/>
      <c r="CW14" s="409"/>
      <c r="CX14" s="409"/>
      <c r="CY14" s="409"/>
      <c r="CZ14" s="409"/>
      <c r="DA14" s="409"/>
    </row>
    <row r="15" spans="1:105" s="407" customFormat="1" ht="12.75">
      <c r="A15" s="403"/>
      <c r="B15" s="404"/>
      <c r="C15" s="404"/>
      <c r="D15" s="403"/>
      <c r="E15" s="405"/>
      <c r="F15" s="403"/>
      <c r="G15" s="403"/>
      <c r="H15" s="406"/>
      <c r="I15" s="403"/>
      <c r="J15" s="403"/>
      <c r="K15" s="403"/>
      <c r="L15" s="403"/>
      <c r="M15" s="403"/>
      <c r="N15" s="406"/>
      <c r="O15" s="406"/>
      <c r="P15" s="406"/>
      <c r="Q15" s="406"/>
      <c r="R15" s="406"/>
      <c r="S15" s="404"/>
      <c r="T15" s="406"/>
      <c r="U15" s="406"/>
      <c r="V15" s="406"/>
      <c r="W15" s="406"/>
      <c r="X15" s="406"/>
      <c r="Y15" s="406"/>
      <c r="Z15" s="403"/>
      <c r="AA15" s="406"/>
      <c r="AB15" s="406"/>
      <c r="AC15" s="403"/>
      <c r="AD15" s="403"/>
      <c r="BA15" s="403"/>
      <c r="BB15" s="403"/>
      <c r="BC15" s="403"/>
      <c r="BD15" s="403"/>
      <c r="BE15" s="403"/>
      <c r="BF15" s="403"/>
      <c r="BG15" s="403"/>
      <c r="BH15" s="403"/>
      <c r="BI15" s="403"/>
      <c r="BJ15" s="403"/>
      <c r="BK15" s="403"/>
      <c r="BL15" s="403"/>
      <c r="BM15" s="403"/>
      <c r="BN15" s="403"/>
      <c r="BO15" s="403"/>
      <c r="BP15" s="403"/>
      <c r="BQ15" s="403"/>
      <c r="BR15" s="403"/>
      <c r="BS15" s="403"/>
      <c r="BT15" s="403"/>
      <c r="BU15" s="403"/>
      <c r="BV15" s="403"/>
      <c r="CJ15" s="410" t="s">
        <v>1</v>
      </c>
      <c r="CK15" s="410"/>
      <c r="CL15" s="410" t="s">
        <v>2</v>
      </c>
      <c r="CM15" s="410"/>
      <c r="CN15" s="410" t="s">
        <v>3</v>
      </c>
      <c r="CO15" s="410"/>
      <c r="CP15" s="410" t="s">
        <v>4</v>
      </c>
      <c r="CQ15" s="410"/>
      <c r="CR15" s="410" t="s">
        <v>5</v>
      </c>
      <c r="CS15" s="410"/>
      <c r="CT15" s="410" t="s">
        <v>6</v>
      </c>
      <c r="CU15" s="410"/>
      <c r="CV15" s="410" t="s">
        <v>7</v>
      </c>
      <c r="CW15" s="410"/>
      <c r="CX15" s="410" t="s">
        <v>8</v>
      </c>
      <c r="CY15" s="410"/>
      <c r="CZ15" s="410" t="s">
        <v>9</v>
      </c>
      <c r="DA15" s="410"/>
    </row>
    <row r="16" spans="1:105" ht="63.75">
      <c r="A16" s="411" t="s">
        <v>10</v>
      </c>
      <c r="B16" s="412" t="s">
        <v>11</v>
      </c>
      <c r="C16" s="412" t="s">
        <v>12</v>
      </c>
      <c r="D16" s="411" t="s">
        <v>13</v>
      </c>
      <c r="E16" s="413" t="s">
        <v>14</v>
      </c>
      <c r="F16" s="411" t="s">
        <v>15</v>
      </c>
      <c r="G16" s="411" t="s">
        <v>16</v>
      </c>
      <c r="H16" s="414" t="s">
        <v>17</v>
      </c>
      <c r="I16" s="411" t="s">
        <v>18</v>
      </c>
      <c r="J16" s="411" t="s">
        <v>19</v>
      </c>
      <c r="K16" s="411" t="s">
        <v>20</v>
      </c>
      <c r="L16" s="411" t="s">
        <v>21</v>
      </c>
      <c r="M16" s="411" t="s">
        <v>22</v>
      </c>
      <c r="N16" s="414" t="s">
        <v>23</v>
      </c>
      <c r="O16" s="414" t="s">
        <v>24</v>
      </c>
      <c r="P16" s="414" t="s">
        <v>25</v>
      </c>
      <c r="Q16" s="414" t="s">
        <v>26</v>
      </c>
      <c r="R16" s="414" t="s">
        <v>27</v>
      </c>
      <c r="S16" s="412" t="s">
        <v>28</v>
      </c>
      <c r="T16" s="414" t="s">
        <v>29</v>
      </c>
      <c r="U16" s="414" t="s">
        <v>30</v>
      </c>
      <c r="V16" s="414" t="s">
        <v>31</v>
      </c>
      <c r="W16" s="414" t="s">
        <v>32</v>
      </c>
      <c r="X16" s="414" t="s">
        <v>33</v>
      </c>
      <c r="Y16" s="414" t="s">
        <v>34</v>
      </c>
      <c r="Z16" s="411" t="s">
        <v>35</v>
      </c>
      <c r="AA16" s="414" t="s">
        <v>36</v>
      </c>
      <c r="AB16" s="414" t="s">
        <v>37</v>
      </c>
      <c r="AC16" s="411" t="s">
        <v>38</v>
      </c>
      <c r="AD16" s="411" t="s">
        <v>39</v>
      </c>
      <c r="BA16" s="416" t="s">
        <v>40</v>
      </c>
      <c r="BB16" s="416" t="s">
        <v>41</v>
      </c>
      <c r="BC16" s="416" t="s">
        <v>42</v>
      </c>
      <c r="BD16" s="416" t="s">
        <v>43</v>
      </c>
      <c r="BE16" s="416" t="s">
        <v>44</v>
      </c>
      <c r="BF16" s="416" t="s">
        <v>45</v>
      </c>
      <c r="BG16" s="416" t="s">
        <v>46</v>
      </c>
      <c r="BH16" s="416" t="s">
        <v>47</v>
      </c>
      <c r="BI16" s="416" t="s">
        <v>48</v>
      </c>
      <c r="BJ16" s="416" t="s">
        <v>49</v>
      </c>
      <c r="BK16" s="416" t="s">
        <v>13</v>
      </c>
      <c r="BL16" s="416" t="s">
        <v>50</v>
      </c>
      <c r="BM16" s="403"/>
      <c r="BN16" s="403"/>
      <c r="BO16" s="403"/>
      <c r="BP16" s="403"/>
      <c r="BQ16" s="403"/>
      <c r="BR16" s="403"/>
      <c r="BS16" s="416" t="s">
        <v>51</v>
      </c>
      <c r="BT16" s="416" t="s">
        <v>48</v>
      </c>
      <c r="BU16" s="416" t="s">
        <v>52</v>
      </c>
      <c r="BV16" s="416" t="s">
        <v>53</v>
      </c>
      <c r="CJ16" s="417" t="s">
        <v>54</v>
      </c>
      <c r="CK16" s="417" t="s">
        <v>55</v>
      </c>
      <c r="CL16" s="417" t="s">
        <v>54</v>
      </c>
      <c r="CM16" s="417" t="s">
        <v>55</v>
      </c>
      <c r="CN16" s="417" t="s">
        <v>54</v>
      </c>
      <c r="CO16" s="417" t="s">
        <v>55</v>
      </c>
      <c r="CP16" s="417" t="s">
        <v>54</v>
      </c>
      <c r="CQ16" s="417" t="s">
        <v>55</v>
      </c>
      <c r="CR16" s="417" t="s">
        <v>54</v>
      </c>
      <c r="CS16" s="417" t="s">
        <v>55</v>
      </c>
      <c r="CT16" s="417" t="s">
        <v>54</v>
      </c>
      <c r="CU16" s="417" t="s">
        <v>55</v>
      </c>
      <c r="CV16" s="417" t="s">
        <v>54</v>
      </c>
      <c r="CW16" s="417" t="s">
        <v>55</v>
      </c>
      <c r="CX16" s="417" t="s">
        <v>54</v>
      </c>
      <c r="CY16" s="417" t="s">
        <v>55</v>
      </c>
      <c r="CZ16" s="417" t="s">
        <v>54</v>
      </c>
      <c r="DA16" s="417" t="s">
        <v>55</v>
      </c>
    </row>
    <row r="17" spans="1:105" ht="51">
      <c r="A17" s="418">
        <v>1</v>
      </c>
      <c r="B17" s="419">
        <v>46044</v>
      </c>
      <c r="C17" s="419" t="s">
        <v>56</v>
      </c>
      <c r="D17" s="419" t="s">
        <v>57</v>
      </c>
      <c r="E17" s="420">
        <v>7506110695028</v>
      </c>
      <c r="F17" s="420" t="s">
        <v>58</v>
      </c>
      <c r="G17" s="421" t="s">
        <v>59</v>
      </c>
      <c r="H17" s="422" t="s">
        <v>60</v>
      </c>
      <c r="I17" s="423" t="s">
        <v>61</v>
      </c>
      <c r="J17" s="424" t="s">
        <v>62</v>
      </c>
      <c r="K17" s="425" t="s">
        <v>63</v>
      </c>
      <c r="L17" s="421">
        <v>1</v>
      </c>
      <c r="M17" s="426">
        <v>0.43</v>
      </c>
      <c r="N17" s="427" t="s">
        <v>64</v>
      </c>
      <c r="O17" s="427">
        <v>30000</v>
      </c>
      <c r="P17" s="428">
        <v>7.74</v>
      </c>
      <c r="Q17" s="428"/>
      <c r="R17" s="428">
        <v>1.548</v>
      </c>
      <c r="S17" s="428">
        <v>10.1</v>
      </c>
      <c r="T17" s="429" t="s">
        <v>65</v>
      </c>
      <c r="U17" s="430">
        <v>89</v>
      </c>
      <c r="V17" s="428">
        <f>(U17/1.16)*0.6</f>
        <v>46.03448275862069</v>
      </c>
      <c r="W17" s="431">
        <f>+S17/V17</f>
        <v>0.21940074906367041</v>
      </c>
      <c r="X17" s="432">
        <f>1-(S17/V17)</f>
        <v>0.78059925093632954</v>
      </c>
      <c r="Y17" s="433">
        <v>0.4</v>
      </c>
      <c r="Z17" s="424" t="s">
        <v>66</v>
      </c>
      <c r="AA17" s="427" t="s">
        <v>67</v>
      </c>
      <c r="AB17" s="425"/>
      <c r="AC17" s="420" t="s">
        <v>68</v>
      </c>
      <c r="AD17" s="462">
        <v>45992</v>
      </c>
      <c r="BA17" s="420">
        <v>1</v>
      </c>
      <c r="BB17" s="420">
        <v>1</v>
      </c>
      <c r="BC17" s="420">
        <v>1</v>
      </c>
      <c r="BD17" s="420">
        <v>1</v>
      </c>
      <c r="BE17" s="420">
        <v>1</v>
      </c>
      <c r="BF17" s="420">
        <v>1</v>
      </c>
      <c r="BG17" s="420">
        <v>1</v>
      </c>
      <c r="BH17" s="420">
        <v>1</v>
      </c>
      <c r="BI17" s="420">
        <v>1</v>
      </c>
      <c r="BJ17" s="420">
        <v>9</v>
      </c>
      <c r="BK17" s="420">
        <f t="shared" ref="BK17:BK44" si="0">SUM(BA17:BI17)</f>
        <v>9</v>
      </c>
      <c r="BL17" s="434">
        <f t="shared" ref="BL17:BL44" si="1">+BK17/BJ17</f>
        <v>1</v>
      </c>
      <c r="BM17" s="435"/>
      <c r="BN17" s="435"/>
      <c r="BO17" s="435"/>
      <c r="BP17" s="435"/>
      <c r="BQ17" s="435"/>
      <c r="BR17" s="435"/>
      <c r="BS17" s="436" t="s">
        <v>68</v>
      </c>
      <c r="BT17" s="463">
        <f>+AD17</f>
        <v>45992</v>
      </c>
      <c r="BU17" s="463"/>
      <c r="BV17" s="436" t="s">
        <v>69</v>
      </c>
      <c r="CJ17" s="439">
        <v>45809</v>
      </c>
      <c r="CK17" s="439">
        <v>45809</v>
      </c>
      <c r="CL17" s="439">
        <f>+CJ17+10</f>
        <v>45819</v>
      </c>
      <c r="CM17" s="439">
        <f>+CK17+10</f>
        <v>45819</v>
      </c>
      <c r="CN17" s="439">
        <f>+CL17+14</f>
        <v>45833</v>
      </c>
      <c r="CO17" s="439">
        <f>+CM17+14</f>
        <v>45833</v>
      </c>
      <c r="CP17" s="437">
        <f>+CN17+40</f>
        <v>45873</v>
      </c>
      <c r="CQ17" s="437">
        <f>+CO17+40</f>
        <v>45873</v>
      </c>
      <c r="CR17" s="437">
        <f>+CP17-15</f>
        <v>45858</v>
      </c>
      <c r="CS17" s="438"/>
      <c r="CT17" s="437">
        <f>+CP17+7</f>
        <v>45880</v>
      </c>
      <c r="CU17" s="438"/>
      <c r="CV17" s="437">
        <f>+CT17+5</f>
        <v>45885</v>
      </c>
      <c r="CW17" s="438"/>
      <c r="CX17" s="437">
        <f>+CV17+45</f>
        <v>45930</v>
      </c>
      <c r="CY17" s="438"/>
      <c r="CZ17" s="437">
        <f>+CX17+8</f>
        <v>45938</v>
      </c>
      <c r="DA17" s="438"/>
    </row>
    <row r="18" spans="1:105" ht="51">
      <c r="A18" s="418">
        <v>2</v>
      </c>
      <c r="B18" s="419">
        <v>46044</v>
      </c>
      <c r="C18" s="419" t="s">
        <v>56</v>
      </c>
      <c r="D18" s="419" t="s">
        <v>57</v>
      </c>
      <c r="E18" s="420">
        <v>7506110695035</v>
      </c>
      <c r="F18" s="420" t="s">
        <v>70</v>
      </c>
      <c r="G18" s="421" t="s">
        <v>71</v>
      </c>
      <c r="H18" s="422" t="s">
        <v>60</v>
      </c>
      <c r="I18" s="423" t="s">
        <v>72</v>
      </c>
      <c r="J18" s="424" t="s">
        <v>62</v>
      </c>
      <c r="K18" s="425" t="s">
        <v>63</v>
      </c>
      <c r="L18" s="421">
        <v>1</v>
      </c>
      <c r="M18" s="426">
        <v>0.43</v>
      </c>
      <c r="N18" s="427" t="s">
        <v>64</v>
      </c>
      <c r="O18" s="427">
        <v>30000</v>
      </c>
      <c r="P18" s="428">
        <v>7.74</v>
      </c>
      <c r="Q18" s="428"/>
      <c r="R18" s="428">
        <v>1.548</v>
      </c>
      <c r="S18" s="428">
        <v>10.1</v>
      </c>
      <c r="T18" s="429" t="s">
        <v>65</v>
      </c>
      <c r="U18" s="430">
        <v>89</v>
      </c>
      <c r="V18" s="428">
        <f t="shared" ref="V18:V68" si="2">(U18/1.16)*0.6</f>
        <v>46.03448275862069</v>
      </c>
      <c r="W18" s="431">
        <f t="shared" ref="W18:W68" si="3">+S18/V18</f>
        <v>0.21940074906367041</v>
      </c>
      <c r="X18" s="432">
        <f t="shared" ref="X18:X68" si="4">1-(S18/V18)</f>
        <v>0.78059925093632954</v>
      </c>
      <c r="Y18" s="433">
        <v>0.4</v>
      </c>
      <c r="Z18" s="424" t="s">
        <v>66</v>
      </c>
      <c r="AA18" s="427" t="s">
        <v>67</v>
      </c>
      <c r="AB18" s="425"/>
      <c r="AC18" s="420" t="s">
        <v>68</v>
      </c>
      <c r="AD18" s="462">
        <v>45992</v>
      </c>
      <c r="BA18" s="420">
        <v>1</v>
      </c>
      <c r="BB18" s="420">
        <v>1</v>
      </c>
      <c r="BC18" s="420">
        <v>1</v>
      </c>
      <c r="BD18" s="420">
        <v>1</v>
      </c>
      <c r="BE18" s="420">
        <v>1</v>
      </c>
      <c r="BF18" s="420">
        <v>1</v>
      </c>
      <c r="BG18" s="420">
        <v>1</v>
      </c>
      <c r="BH18" s="420">
        <v>1</v>
      </c>
      <c r="BI18" s="420">
        <v>1</v>
      </c>
      <c r="BJ18" s="420">
        <v>9</v>
      </c>
      <c r="BK18" s="420">
        <f t="shared" si="0"/>
        <v>9</v>
      </c>
      <c r="BL18" s="434">
        <f t="shared" si="1"/>
        <v>1</v>
      </c>
      <c r="BM18" s="435"/>
      <c r="BN18" s="435"/>
      <c r="BO18" s="435"/>
      <c r="BP18" s="435"/>
      <c r="BQ18" s="435"/>
      <c r="BR18" s="435"/>
      <c r="BS18" s="436" t="s">
        <v>68</v>
      </c>
      <c r="BT18" s="463">
        <f t="shared" ref="BT18:BT68" si="5">+AD18</f>
        <v>45992</v>
      </c>
      <c r="BU18" s="463"/>
      <c r="BV18" s="436" t="s">
        <v>69</v>
      </c>
      <c r="CJ18" s="436"/>
      <c r="CK18" s="436"/>
      <c r="CL18" s="436"/>
      <c r="CM18" s="436"/>
      <c r="CN18" s="436"/>
      <c r="CO18" s="436"/>
      <c r="CP18" s="437"/>
      <c r="CQ18" s="437"/>
      <c r="CR18" s="438"/>
      <c r="CS18" s="438"/>
      <c r="CT18" s="438"/>
      <c r="CU18" s="438"/>
      <c r="CV18" s="438"/>
      <c r="CW18" s="438"/>
      <c r="CX18" s="438"/>
      <c r="CY18" s="438"/>
      <c r="CZ18" s="437"/>
      <c r="DA18" s="438"/>
    </row>
    <row r="19" spans="1:105" ht="51">
      <c r="A19" s="418">
        <v>3</v>
      </c>
      <c r="B19" s="419">
        <v>46044</v>
      </c>
      <c r="C19" s="419" t="s">
        <v>56</v>
      </c>
      <c r="D19" s="419" t="s">
        <v>57</v>
      </c>
      <c r="E19" s="420">
        <v>7506110695042</v>
      </c>
      <c r="F19" s="420" t="s">
        <v>73</v>
      </c>
      <c r="G19" s="421" t="s">
        <v>74</v>
      </c>
      <c r="H19" s="422" t="s">
        <v>60</v>
      </c>
      <c r="I19" s="423" t="s">
        <v>72</v>
      </c>
      <c r="J19" s="424" t="s">
        <v>62</v>
      </c>
      <c r="K19" s="425" t="s">
        <v>63</v>
      </c>
      <c r="L19" s="421">
        <v>1</v>
      </c>
      <c r="M19" s="426">
        <v>0.77</v>
      </c>
      <c r="N19" s="427" t="s">
        <v>64</v>
      </c>
      <c r="O19" s="427">
        <v>30000</v>
      </c>
      <c r="P19" s="428">
        <v>13.86</v>
      </c>
      <c r="Q19" s="428"/>
      <c r="R19" s="428">
        <v>2.7719999999999998</v>
      </c>
      <c r="S19" s="428">
        <v>18.09</v>
      </c>
      <c r="T19" s="429" t="s">
        <v>65</v>
      </c>
      <c r="U19" s="430">
        <v>139</v>
      </c>
      <c r="V19" s="428">
        <f t="shared" si="2"/>
        <v>71.896551724137936</v>
      </c>
      <c r="W19" s="431">
        <f t="shared" si="3"/>
        <v>0.2516115107913669</v>
      </c>
      <c r="X19" s="432">
        <f t="shared" si="4"/>
        <v>0.7483884892086331</v>
      </c>
      <c r="Y19" s="433">
        <v>0.4</v>
      </c>
      <c r="Z19" s="424" t="s">
        <v>66</v>
      </c>
      <c r="AA19" s="427" t="s">
        <v>67</v>
      </c>
      <c r="AB19" s="425"/>
      <c r="AC19" s="420" t="s">
        <v>68</v>
      </c>
      <c r="AD19" s="462">
        <v>45992</v>
      </c>
      <c r="BA19" s="420">
        <v>1</v>
      </c>
      <c r="BB19" s="420">
        <v>1</v>
      </c>
      <c r="BC19" s="420">
        <v>1</v>
      </c>
      <c r="BD19" s="420">
        <v>1</v>
      </c>
      <c r="BE19" s="420">
        <v>1</v>
      </c>
      <c r="BF19" s="420">
        <v>1</v>
      </c>
      <c r="BG19" s="420">
        <v>1</v>
      </c>
      <c r="BH19" s="420">
        <v>1</v>
      </c>
      <c r="BI19" s="420">
        <v>1</v>
      </c>
      <c r="BJ19" s="420">
        <v>9</v>
      </c>
      <c r="BK19" s="420">
        <f t="shared" si="0"/>
        <v>9</v>
      </c>
      <c r="BL19" s="434">
        <f t="shared" si="1"/>
        <v>1</v>
      </c>
      <c r="BM19" s="435"/>
      <c r="BN19" s="435"/>
      <c r="BO19" s="435"/>
      <c r="BP19" s="435"/>
      <c r="BQ19" s="435"/>
      <c r="BR19" s="435"/>
      <c r="BS19" s="436" t="s">
        <v>68</v>
      </c>
      <c r="BT19" s="463">
        <f t="shared" si="5"/>
        <v>45992</v>
      </c>
      <c r="BU19" s="463"/>
      <c r="BV19" s="436" t="s">
        <v>69</v>
      </c>
      <c r="CJ19" s="436"/>
      <c r="CK19" s="436"/>
      <c r="CL19" s="436"/>
      <c r="CM19" s="436"/>
      <c r="CN19" s="436"/>
      <c r="CO19" s="436"/>
      <c r="CP19" s="437"/>
      <c r="CQ19" s="437"/>
      <c r="CR19" s="438"/>
      <c r="CS19" s="438"/>
      <c r="CT19" s="438"/>
      <c r="CU19" s="438"/>
      <c r="CV19" s="438"/>
      <c r="CW19" s="438"/>
      <c r="CX19" s="438"/>
      <c r="CY19" s="438"/>
      <c r="CZ19" s="438"/>
      <c r="DA19" s="438"/>
    </row>
    <row r="20" spans="1:105" ht="76.5">
      <c r="A20" s="424">
        <v>4</v>
      </c>
      <c r="B20" s="440" t="s">
        <v>75</v>
      </c>
      <c r="C20" s="441" t="s">
        <v>76</v>
      </c>
      <c r="D20" s="440" t="s">
        <v>77</v>
      </c>
      <c r="E20" s="420">
        <v>7506110691679</v>
      </c>
      <c r="F20" s="420" t="s">
        <v>78</v>
      </c>
      <c r="G20" s="421" t="s">
        <v>79</v>
      </c>
      <c r="H20" s="442" t="s">
        <v>60</v>
      </c>
      <c r="I20" s="423" t="s">
        <v>80</v>
      </c>
      <c r="J20" s="424" t="s">
        <v>62</v>
      </c>
      <c r="K20" s="425" t="s">
        <v>63</v>
      </c>
      <c r="L20" s="421">
        <v>1</v>
      </c>
      <c r="M20" s="443">
        <v>22.81</v>
      </c>
      <c r="N20" s="427" t="s">
        <v>81</v>
      </c>
      <c r="O20" s="427">
        <v>35000</v>
      </c>
      <c r="P20" s="443">
        <v>0</v>
      </c>
      <c r="Q20" s="428"/>
      <c r="R20" s="428"/>
      <c r="S20" s="443">
        <v>22.81</v>
      </c>
      <c r="T20" s="429" t="s">
        <v>82</v>
      </c>
      <c r="U20" s="430">
        <v>219</v>
      </c>
      <c r="V20" s="428">
        <f t="shared" si="2"/>
        <v>113.27586206896552</v>
      </c>
      <c r="W20" s="431">
        <f>+S20/V20</f>
        <v>0.20136681887366817</v>
      </c>
      <c r="X20" s="432">
        <f t="shared" si="4"/>
        <v>0.79863318112633186</v>
      </c>
      <c r="Y20" s="433">
        <v>0.4</v>
      </c>
      <c r="Z20" s="424" t="s">
        <v>83</v>
      </c>
      <c r="AA20" s="427" t="s">
        <v>84</v>
      </c>
      <c r="AB20" s="425"/>
      <c r="AC20" s="425" t="s">
        <v>85</v>
      </c>
      <c r="AD20" s="444">
        <v>46230</v>
      </c>
      <c r="BA20" s="441">
        <v>1</v>
      </c>
      <c r="BB20" s="441">
        <v>1</v>
      </c>
      <c r="BC20" s="441">
        <v>1</v>
      </c>
      <c r="BD20" s="441">
        <v>1</v>
      </c>
      <c r="BE20" s="441">
        <v>1</v>
      </c>
      <c r="BF20" s="441">
        <v>1</v>
      </c>
      <c r="BG20" s="441">
        <v>1</v>
      </c>
      <c r="BH20" s="441"/>
      <c r="BI20" s="420"/>
      <c r="BJ20" s="420">
        <v>9</v>
      </c>
      <c r="BK20" s="420">
        <f t="shared" si="0"/>
        <v>7</v>
      </c>
      <c r="BL20" s="434">
        <f t="shared" si="1"/>
        <v>0.77777777777777779</v>
      </c>
      <c r="BM20" s="435"/>
      <c r="BN20" s="435"/>
      <c r="BO20" s="435"/>
      <c r="BP20" s="435"/>
      <c r="BQ20" s="435"/>
      <c r="BR20" s="435"/>
      <c r="BS20" s="436" t="s">
        <v>85</v>
      </c>
      <c r="BT20" s="463">
        <f>+AD20</f>
        <v>46230</v>
      </c>
      <c r="BU20" s="463"/>
      <c r="BV20" s="436" t="s">
        <v>86</v>
      </c>
      <c r="CJ20" s="436"/>
      <c r="CK20" s="436"/>
      <c r="CL20" s="436"/>
      <c r="CM20" s="436"/>
      <c r="CN20" s="436"/>
      <c r="CO20" s="436"/>
      <c r="CP20" s="437"/>
      <c r="CQ20" s="437"/>
      <c r="CR20" s="438"/>
      <c r="CS20" s="438"/>
      <c r="CT20" s="438"/>
      <c r="CU20" s="438"/>
      <c r="CV20" s="438"/>
      <c r="CW20" s="438"/>
      <c r="CX20" s="438"/>
      <c r="CY20" s="438"/>
      <c r="CZ20" s="438"/>
      <c r="DA20" s="438"/>
    </row>
    <row r="21" spans="1:105" ht="63.75">
      <c r="A21" s="424">
        <v>5</v>
      </c>
      <c r="B21" s="440" t="s">
        <v>75</v>
      </c>
      <c r="C21" s="441" t="s">
        <v>76</v>
      </c>
      <c r="D21" s="440" t="s">
        <v>77</v>
      </c>
      <c r="E21" s="420">
        <v>7506110691686</v>
      </c>
      <c r="F21" s="420" t="s">
        <v>87</v>
      </c>
      <c r="G21" s="421" t="s">
        <v>88</v>
      </c>
      <c r="H21" s="442" t="s">
        <v>60</v>
      </c>
      <c r="I21" s="423" t="s">
        <v>80</v>
      </c>
      <c r="J21" s="424" t="s">
        <v>62</v>
      </c>
      <c r="K21" s="425" t="s">
        <v>63</v>
      </c>
      <c r="L21" s="421">
        <v>1</v>
      </c>
      <c r="M21" s="443">
        <v>22.95</v>
      </c>
      <c r="N21" s="427" t="s">
        <v>81</v>
      </c>
      <c r="O21" s="427">
        <v>35000</v>
      </c>
      <c r="P21" s="443">
        <v>0</v>
      </c>
      <c r="Q21" s="428"/>
      <c r="R21" s="428"/>
      <c r="S21" s="443">
        <v>22.95</v>
      </c>
      <c r="T21" s="429" t="s">
        <v>89</v>
      </c>
      <c r="U21" s="430">
        <v>219</v>
      </c>
      <c r="V21" s="428">
        <f t="shared" si="2"/>
        <v>113.27586206896552</v>
      </c>
      <c r="W21" s="431">
        <f t="shared" si="3"/>
        <v>0.20260273972602738</v>
      </c>
      <c r="X21" s="432">
        <f t="shared" si="4"/>
        <v>0.79739726027397262</v>
      </c>
      <c r="Y21" s="433">
        <v>0.4</v>
      </c>
      <c r="Z21" s="424" t="s">
        <v>83</v>
      </c>
      <c r="AA21" s="427" t="s">
        <v>84</v>
      </c>
      <c r="AB21" s="425"/>
      <c r="AC21" s="425" t="s">
        <v>85</v>
      </c>
      <c r="AD21" s="444">
        <v>46230</v>
      </c>
      <c r="BA21" s="441">
        <v>1</v>
      </c>
      <c r="BB21" s="441">
        <v>1</v>
      </c>
      <c r="BC21" s="441">
        <v>1</v>
      </c>
      <c r="BD21" s="441">
        <v>1</v>
      </c>
      <c r="BE21" s="441">
        <v>1</v>
      </c>
      <c r="BF21" s="441">
        <v>1</v>
      </c>
      <c r="BG21" s="441">
        <v>1</v>
      </c>
      <c r="BH21" s="441"/>
      <c r="BI21" s="420"/>
      <c r="BJ21" s="420">
        <v>9</v>
      </c>
      <c r="BK21" s="420">
        <f t="shared" si="0"/>
        <v>7</v>
      </c>
      <c r="BL21" s="434">
        <f t="shared" si="1"/>
        <v>0.77777777777777779</v>
      </c>
      <c r="BM21" s="435"/>
      <c r="BN21" s="435"/>
      <c r="BO21" s="435"/>
      <c r="BP21" s="435"/>
      <c r="BQ21" s="435"/>
      <c r="BR21" s="435"/>
      <c r="BS21" s="436" t="s">
        <v>85</v>
      </c>
      <c r="BT21" s="463">
        <f>+AD21</f>
        <v>46230</v>
      </c>
      <c r="BU21" s="463"/>
      <c r="BV21" s="436" t="s">
        <v>86</v>
      </c>
      <c r="CJ21" s="436"/>
      <c r="CK21" s="436"/>
      <c r="CL21" s="436"/>
      <c r="CM21" s="436"/>
      <c r="CN21" s="436"/>
      <c r="CO21" s="436"/>
      <c r="CP21" s="437"/>
      <c r="CQ21" s="437"/>
      <c r="CR21" s="438"/>
      <c r="CS21" s="438"/>
      <c r="CT21" s="438"/>
      <c r="CU21" s="438"/>
      <c r="CV21" s="438"/>
      <c r="CW21" s="438"/>
      <c r="CX21" s="438"/>
      <c r="CY21" s="438"/>
      <c r="CZ21" s="438"/>
      <c r="DA21" s="438"/>
    </row>
    <row r="22" spans="1:105" ht="63.75">
      <c r="A22" s="424">
        <v>6</v>
      </c>
      <c r="B22" s="440" t="s">
        <v>75</v>
      </c>
      <c r="C22" s="441" t="s">
        <v>76</v>
      </c>
      <c r="D22" s="440" t="s">
        <v>77</v>
      </c>
      <c r="E22" s="445">
        <v>7506110693925</v>
      </c>
      <c r="F22" s="420" t="s">
        <v>90</v>
      </c>
      <c r="G22" s="421" t="s">
        <v>91</v>
      </c>
      <c r="H22" s="442" t="s">
        <v>60</v>
      </c>
      <c r="I22" s="423" t="s">
        <v>80</v>
      </c>
      <c r="J22" s="424" t="s">
        <v>62</v>
      </c>
      <c r="K22" s="425" t="s">
        <v>63</v>
      </c>
      <c r="L22" s="421">
        <v>1</v>
      </c>
      <c r="M22" s="443">
        <v>23.64</v>
      </c>
      <c r="N22" s="427" t="s">
        <v>81</v>
      </c>
      <c r="O22" s="427">
        <v>35000</v>
      </c>
      <c r="P22" s="443">
        <v>0</v>
      </c>
      <c r="Q22" s="428"/>
      <c r="R22" s="428"/>
      <c r="S22" s="443">
        <v>23.64</v>
      </c>
      <c r="T22" s="429" t="s">
        <v>89</v>
      </c>
      <c r="U22" s="430">
        <v>219</v>
      </c>
      <c r="V22" s="428">
        <f t="shared" si="2"/>
        <v>113.27586206896552</v>
      </c>
      <c r="W22" s="431">
        <f t="shared" si="3"/>
        <v>0.20869406392694062</v>
      </c>
      <c r="X22" s="432">
        <f t="shared" si="4"/>
        <v>0.79130593607305943</v>
      </c>
      <c r="Y22" s="433">
        <v>0.4</v>
      </c>
      <c r="Z22" s="424" t="s">
        <v>83</v>
      </c>
      <c r="AA22" s="427" t="s">
        <v>84</v>
      </c>
      <c r="AB22" s="425"/>
      <c r="AC22" s="425" t="s">
        <v>85</v>
      </c>
      <c r="AD22" s="444">
        <v>46230</v>
      </c>
      <c r="BA22" s="441">
        <v>1</v>
      </c>
      <c r="BB22" s="441">
        <v>1</v>
      </c>
      <c r="BC22" s="441">
        <v>1</v>
      </c>
      <c r="BD22" s="441">
        <v>1</v>
      </c>
      <c r="BE22" s="441">
        <v>1</v>
      </c>
      <c r="BF22" s="441">
        <v>1</v>
      </c>
      <c r="BG22" s="441">
        <v>1</v>
      </c>
      <c r="BH22" s="441"/>
      <c r="BI22" s="441"/>
      <c r="BJ22" s="420">
        <v>9</v>
      </c>
      <c r="BK22" s="420">
        <f t="shared" si="0"/>
        <v>7</v>
      </c>
      <c r="BL22" s="434">
        <f t="shared" si="1"/>
        <v>0.77777777777777779</v>
      </c>
      <c r="BM22" s="435"/>
      <c r="BN22" s="435"/>
      <c r="BO22" s="435"/>
      <c r="BP22" s="435"/>
      <c r="BQ22" s="435"/>
      <c r="BR22" s="435"/>
      <c r="BS22" s="436" t="s">
        <v>85</v>
      </c>
      <c r="BT22" s="463">
        <f>+AD22</f>
        <v>46230</v>
      </c>
      <c r="BU22" s="463"/>
      <c r="BV22" s="436" t="s">
        <v>86</v>
      </c>
      <c r="CJ22" s="436"/>
      <c r="CK22" s="436"/>
      <c r="CL22" s="436"/>
      <c r="CM22" s="436"/>
      <c r="CN22" s="436"/>
      <c r="CO22" s="436"/>
      <c r="CP22" s="437"/>
      <c r="CQ22" s="437"/>
      <c r="CR22" s="438"/>
      <c r="CS22" s="438"/>
      <c r="CT22" s="438"/>
      <c r="CU22" s="438"/>
      <c r="CV22" s="438"/>
      <c r="CW22" s="438"/>
      <c r="CX22" s="438"/>
      <c r="CY22" s="438"/>
      <c r="CZ22" s="438"/>
      <c r="DA22" s="438"/>
    </row>
    <row r="23" spans="1:105" ht="63.75">
      <c r="A23" s="424">
        <v>7</v>
      </c>
      <c r="B23" s="440" t="s">
        <v>75</v>
      </c>
      <c r="C23" s="441" t="s">
        <v>76</v>
      </c>
      <c r="D23" s="440" t="s">
        <v>77</v>
      </c>
      <c r="E23" s="445">
        <v>7506110693932</v>
      </c>
      <c r="F23" s="420" t="s">
        <v>92</v>
      </c>
      <c r="G23" s="421" t="s">
        <v>93</v>
      </c>
      <c r="H23" s="442" t="s">
        <v>60</v>
      </c>
      <c r="I23" s="423" t="s">
        <v>80</v>
      </c>
      <c r="J23" s="424" t="s">
        <v>62</v>
      </c>
      <c r="K23" s="425" t="s">
        <v>63</v>
      </c>
      <c r="L23" s="421">
        <v>1</v>
      </c>
      <c r="M23" s="443">
        <v>23.57</v>
      </c>
      <c r="N23" s="427" t="s">
        <v>81</v>
      </c>
      <c r="O23" s="427">
        <v>35000</v>
      </c>
      <c r="P23" s="443">
        <v>0</v>
      </c>
      <c r="Q23" s="428"/>
      <c r="R23" s="428"/>
      <c r="S23" s="443">
        <v>23.57</v>
      </c>
      <c r="T23" s="429" t="s">
        <v>89</v>
      </c>
      <c r="U23" s="430">
        <v>219</v>
      </c>
      <c r="V23" s="428">
        <f t="shared" si="2"/>
        <v>113.27586206896552</v>
      </c>
      <c r="W23" s="431">
        <f t="shared" si="3"/>
        <v>0.20807610350076103</v>
      </c>
      <c r="X23" s="432">
        <f t="shared" si="4"/>
        <v>0.791923896499239</v>
      </c>
      <c r="Y23" s="433">
        <v>0.4</v>
      </c>
      <c r="Z23" s="424" t="s">
        <v>83</v>
      </c>
      <c r="AA23" s="427" t="s">
        <v>84</v>
      </c>
      <c r="AB23" s="425"/>
      <c r="AC23" s="425" t="s">
        <v>85</v>
      </c>
      <c r="AD23" s="444">
        <v>46230</v>
      </c>
      <c r="BA23" s="441">
        <v>1</v>
      </c>
      <c r="BB23" s="441">
        <v>1</v>
      </c>
      <c r="BC23" s="441">
        <v>1</v>
      </c>
      <c r="BD23" s="441">
        <v>1</v>
      </c>
      <c r="BE23" s="441">
        <v>1</v>
      </c>
      <c r="BF23" s="441">
        <v>1</v>
      </c>
      <c r="BG23" s="441">
        <v>1</v>
      </c>
      <c r="BH23" s="441"/>
      <c r="BI23" s="441"/>
      <c r="BJ23" s="420">
        <v>9</v>
      </c>
      <c r="BK23" s="420">
        <f t="shared" si="0"/>
        <v>7</v>
      </c>
      <c r="BL23" s="434">
        <f t="shared" si="1"/>
        <v>0.77777777777777779</v>
      </c>
      <c r="BM23" s="435"/>
      <c r="BN23" s="435"/>
      <c r="BO23" s="435"/>
      <c r="BP23" s="435"/>
      <c r="BQ23" s="435"/>
      <c r="BR23" s="435"/>
      <c r="BS23" s="436" t="s">
        <v>85</v>
      </c>
      <c r="BT23" s="463">
        <f>+AD23</f>
        <v>46230</v>
      </c>
      <c r="BU23" s="463"/>
      <c r="BV23" s="436" t="s">
        <v>86</v>
      </c>
      <c r="CJ23" s="436"/>
      <c r="CK23" s="436"/>
      <c r="CL23" s="436"/>
      <c r="CM23" s="436"/>
      <c r="CN23" s="436"/>
      <c r="CO23" s="436"/>
      <c r="CP23" s="437"/>
      <c r="CQ23" s="437"/>
      <c r="CR23" s="438"/>
      <c r="CS23" s="438"/>
      <c r="CT23" s="438"/>
      <c r="CU23" s="438"/>
      <c r="CV23" s="438"/>
      <c r="CW23" s="438"/>
      <c r="CX23" s="438"/>
      <c r="CY23" s="438"/>
      <c r="CZ23" s="438"/>
      <c r="DA23" s="438"/>
    </row>
    <row r="24" spans="1:105" ht="51">
      <c r="A24" s="424">
        <v>8</v>
      </c>
      <c r="B24" s="440" t="s">
        <v>75</v>
      </c>
      <c r="C24" s="441" t="s">
        <v>94</v>
      </c>
      <c r="D24" s="440" t="s">
        <v>77</v>
      </c>
      <c r="E24" s="445">
        <v>7502327990765</v>
      </c>
      <c r="F24" s="420" t="s">
        <v>95</v>
      </c>
      <c r="G24" s="421" t="s">
        <v>96</v>
      </c>
      <c r="H24" s="446"/>
      <c r="I24" s="423" t="s">
        <v>97</v>
      </c>
      <c r="J24" s="424" t="s">
        <v>62</v>
      </c>
      <c r="K24" s="425" t="s">
        <v>63</v>
      </c>
      <c r="L24" s="421">
        <v>1</v>
      </c>
      <c r="M24" s="426">
        <v>0.17</v>
      </c>
      <c r="N24" s="427" t="s">
        <v>64</v>
      </c>
      <c r="O24" s="427">
        <v>25000</v>
      </c>
      <c r="P24" s="428">
        <f>M24*18.5</f>
        <v>3.145</v>
      </c>
      <c r="Q24" s="447"/>
      <c r="R24" s="428">
        <v>0.1053</v>
      </c>
      <c r="S24" s="428">
        <f>P24+R24</f>
        <v>3.2503000000000002</v>
      </c>
      <c r="T24" s="429" t="s">
        <v>98</v>
      </c>
      <c r="U24" s="430">
        <v>59</v>
      </c>
      <c r="V24" s="428">
        <f t="shared" si="2"/>
        <v>30.517241379310345</v>
      </c>
      <c r="W24" s="431">
        <f t="shared" si="3"/>
        <v>0.10650700564971752</v>
      </c>
      <c r="X24" s="432">
        <f t="shared" si="4"/>
        <v>0.89349299435028251</v>
      </c>
      <c r="Y24" s="433">
        <v>0.4</v>
      </c>
      <c r="Z24" s="424" t="s">
        <v>66</v>
      </c>
      <c r="AA24" s="427" t="s">
        <v>99</v>
      </c>
      <c r="AB24" s="425"/>
      <c r="AC24" s="425" t="s">
        <v>85</v>
      </c>
      <c r="AD24" s="444">
        <v>46207</v>
      </c>
      <c r="BA24" s="441">
        <v>1</v>
      </c>
      <c r="BB24" s="441">
        <v>1</v>
      </c>
      <c r="BC24" s="441">
        <v>1</v>
      </c>
      <c r="BD24" s="441">
        <v>1</v>
      </c>
      <c r="BE24" s="441">
        <v>1</v>
      </c>
      <c r="BF24" s="441">
        <v>1</v>
      </c>
      <c r="BG24" s="441">
        <v>1</v>
      </c>
      <c r="BH24" s="441"/>
      <c r="BI24" s="420"/>
      <c r="BJ24" s="420">
        <v>9</v>
      </c>
      <c r="BK24" s="420">
        <f t="shared" si="0"/>
        <v>7</v>
      </c>
      <c r="BL24" s="434">
        <f t="shared" si="1"/>
        <v>0.77777777777777779</v>
      </c>
      <c r="BM24" s="435"/>
      <c r="BN24" s="435"/>
      <c r="BO24" s="435"/>
      <c r="BP24" s="435"/>
      <c r="BQ24" s="435"/>
      <c r="BR24" s="435"/>
      <c r="BS24" s="436" t="s">
        <v>85</v>
      </c>
      <c r="BT24" s="463">
        <f>+AD24</f>
        <v>46207</v>
      </c>
      <c r="BU24" s="463"/>
      <c r="BV24" s="436" t="s">
        <v>86</v>
      </c>
      <c r="CJ24" s="436"/>
      <c r="CK24" s="436"/>
      <c r="CL24" s="436"/>
      <c r="CM24" s="436"/>
      <c r="CN24" s="436"/>
      <c r="CO24" s="436"/>
      <c r="CP24" s="437"/>
      <c r="CQ24" s="437"/>
      <c r="CR24" s="438"/>
      <c r="CS24" s="438"/>
      <c r="CT24" s="438"/>
      <c r="CU24" s="438"/>
      <c r="CV24" s="438"/>
      <c r="CW24" s="438"/>
      <c r="CX24" s="438"/>
      <c r="CY24" s="438"/>
      <c r="CZ24" s="438"/>
      <c r="DA24" s="438"/>
    </row>
    <row r="25" spans="1:105" ht="51">
      <c r="A25" s="424">
        <v>9</v>
      </c>
      <c r="B25" s="440" t="s">
        <v>75</v>
      </c>
      <c r="C25" s="441" t="s">
        <v>94</v>
      </c>
      <c r="D25" s="440" t="s">
        <v>77</v>
      </c>
      <c r="E25" s="445">
        <v>7502327990772</v>
      </c>
      <c r="F25" s="420" t="s">
        <v>100</v>
      </c>
      <c r="G25" s="421" t="s">
        <v>101</v>
      </c>
      <c r="H25" s="446"/>
      <c r="I25" s="423" t="s">
        <v>97</v>
      </c>
      <c r="J25" s="424" t="s">
        <v>62</v>
      </c>
      <c r="K25" s="425" t="s">
        <v>63</v>
      </c>
      <c r="L25" s="421">
        <v>1</v>
      </c>
      <c r="M25" s="426">
        <v>0.17</v>
      </c>
      <c r="N25" s="427" t="s">
        <v>64</v>
      </c>
      <c r="O25" s="427">
        <v>15000</v>
      </c>
      <c r="P25" s="428">
        <f>M25*18.5</f>
        <v>3.145</v>
      </c>
      <c r="Q25" s="447"/>
      <c r="R25" s="428">
        <v>0.1053</v>
      </c>
      <c r="S25" s="428">
        <f>P25+R25</f>
        <v>3.2503000000000002</v>
      </c>
      <c r="T25" s="429" t="s">
        <v>98</v>
      </c>
      <c r="U25" s="430">
        <v>59</v>
      </c>
      <c r="V25" s="428">
        <f t="shared" si="2"/>
        <v>30.517241379310345</v>
      </c>
      <c r="W25" s="431">
        <f t="shared" si="3"/>
        <v>0.10650700564971752</v>
      </c>
      <c r="X25" s="432">
        <f t="shared" si="4"/>
        <v>0.89349299435028251</v>
      </c>
      <c r="Y25" s="433">
        <v>0.4</v>
      </c>
      <c r="Z25" s="424" t="s">
        <v>66</v>
      </c>
      <c r="AA25" s="427" t="s">
        <v>99</v>
      </c>
      <c r="AB25" s="425"/>
      <c r="AC25" s="425" t="s">
        <v>85</v>
      </c>
      <c r="AD25" s="444">
        <v>46207</v>
      </c>
      <c r="BA25" s="441">
        <v>1</v>
      </c>
      <c r="BB25" s="441">
        <v>1</v>
      </c>
      <c r="BC25" s="441">
        <v>1</v>
      </c>
      <c r="BD25" s="441">
        <v>1</v>
      </c>
      <c r="BE25" s="441">
        <v>1</v>
      </c>
      <c r="BF25" s="441">
        <v>1</v>
      </c>
      <c r="BG25" s="441">
        <v>1</v>
      </c>
      <c r="BH25" s="441"/>
      <c r="BI25" s="420"/>
      <c r="BJ25" s="420">
        <v>9</v>
      </c>
      <c r="BK25" s="420">
        <f t="shared" si="0"/>
        <v>7</v>
      </c>
      <c r="BL25" s="434">
        <f t="shared" si="1"/>
        <v>0.77777777777777779</v>
      </c>
      <c r="BM25" s="435"/>
      <c r="BN25" s="435"/>
      <c r="BO25" s="435"/>
      <c r="BP25" s="435"/>
      <c r="BQ25" s="435"/>
      <c r="BR25" s="435"/>
      <c r="BS25" s="436" t="s">
        <v>85</v>
      </c>
      <c r="BT25" s="463">
        <f t="shared" si="5"/>
        <v>46207</v>
      </c>
      <c r="BU25" s="463"/>
      <c r="BV25" s="436" t="s">
        <v>86</v>
      </c>
      <c r="CJ25" s="436"/>
      <c r="CK25" s="436"/>
      <c r="CL25" s="436"/>
      <c r="CM25" s="436"/>
      <c r="CN25" s="436"/>
      <c r="CO25" s="436"/>
      <c r="CP25" s="437"/>
      <c r="CQ25" s="437"/>
      <c r="CR25" s="438"/>
      <c r="CS25" s="438"/>
      <c r="CT25" s="438"/>
      <c r="CU25" s="438"/>
      <c r="CV25" s="438"/>
      <c r="CW25" s="438"/>
      <c r="CX25" s="438"/>
      <c r="CY25" s="438"/>
      <c r="CZ25" s="438"/>
      <c r="DA25" s="438"/>
    </row>
    <row r="26" spans="1:105" ht="63.75">
      <c r="A26" s="424">
        <v>10</v>
      </c>
      <c r="B26" s="440" t="s">
        <v>75</v>
      </c>
      <c r="C26" s="441" t="s">
        <v>102</v>
      </c>
      <c r="D26" s="440" t="s">
        <v>77</v>
      </c>
      <c r="E26" s="420">
        <v>7502327992646</v>
      </c>
      <c r="F26" s="420" t="s">
        <v>103</v>
      </c>
      <c r="G26" s="420" t="s">
        <v>104</v>
      </c>
      <c r="H26" s="442" t="s">
        <v>60</v>
      </c>
      <c r="I26" s="448" t="s">
        <v>105</v>
      </c>
      <c r="J26" s="424" t="s">
        <v>62</v>
      </c>
      <c r="K26" s="425" t="s">
        <v>63</v>
      </c>
      <c r="L26" s="421">
        <v>1</v>
      </c>
      <c r="M26" s="426">
        <v>18.309999999999999</v>
      </c>
      <c r="N26" s="427" t="s">
        <v>81</v>
      </c>
      <c r="O26" s="449">
        <v>20000</v>
      </c>
      <c r="P26" s="428">
        <v>18.309999999999999</v>
      </c>
      <c r="Q26" s="428"/>
      <c r="R26" s="428"/>
      <c r="S26" s="428">
        <v>18.309999999999999</v>
      </c>
      <c r="T26" s="429" t="s">
        <v>106</v>
      </c>
      <c r="U26" s="430">
        <v>149</v>
      </c>
      <c r="V26" s="428">
        <f t="shared" si="2"/>
        <v>77.068965517241381</v>
      </c>
      <c r="W26" s="431">
        <f t="shared" si="3"/>
        <v>0.23757941834451898</v>
      </c>
      <c r="X26" s="432">
        <f t="shared" si="4"/>
        <v>0.76242058165548099</v>
      </c>
      <c r="Y26" s="433">
        <v>0.4</v>
      </c>
      <c r="Z26" s="424" t="s">
        <v>66</v>
      </c>
      <c r="AA26" s="427" t="s">
        <v>99</v>
      </c>
      <c r="AB26" s="421"/>
      <c r="AC26" s="421" t="s">
        <v>107</v>
      </c>
      <c r="AD26" s="444">
        <v>46318</v>
      </c>
      <c r="BA26" s="421">
        <v>1</v>
      </c>
      <c r="BB26" s="421">
        <v>1</v>
      </c>
      <c r="BC26" s="421">
        <v>1</v>
      </c>
      <c r="BD26" s="421">
        <v>1</v>
      </c>
      <c r="BE26" s="421">
        <v>1</v>
      </c>
      <c r="BF26" s="421"/>
      <c r="BG26" s="421"/>
      <c r="BH26" s="421"/>
      <c r="BI26" s="421"/>
      <c r="BJ26" s="420">
        <v>9</v>
      </c>
      <c r="BK26" s="420">
        <f t="shared" si="0"/>
        <v>5</v>
      </c>
      <c r="BL26" s="434">
        <f t="shared" si="1"/>
        <v>0.55555555555555558</v>
      </c>
      <c r="BM26" s="435"/>
      <c r="BN26" s="435"/>
      <c r="BO26" s="435"/>
      <c r="BP26" s="435"/>
      <c r="BQ26" s="435"/>
      <c r="BR26" s="435"/>
      <c r="BS26" s="436" t="s">
        <v>108</v>
      </c>
      <c r="BT26" s="463">
        <f t="shared" si="5"/>
        <v>46318</v>
      </c>
      <c r="BU26" s="463"/>
      <c r="BV26" s="436" t="s">
        <v>109</v>
      </c>
      <c r="CJ26" s="436"/>
      <c r="CK26" s="436"/>
      <c r="CL26" s="436"/>
      <c r="CM26" s="436"/>
      <c r="CN26" s="436"/>
      <c r="CO26" s="436"/>
      <c r="CP26" s="437"/>
      <c r="CQ26" s="437"/>
      <c r="CR26" s="438"/>
      <c r="CS26" s="438"/>
      <c r="CT26" s="438"/>
      <c r="CU26" s="438"/>
      <c r="CV26" s="438"/>
      <c r="CW26" s="438"/>
      <c r="CX26" s="438"/>
      <c r="CY26" s="438"/>
      <c r="CZ26" s="438"/>
      <c r="DA26" s="438"/>
    </row>
    <row r="27" spans="1:105" ht="63.75">
      <c r="A27" s="424">
        <v>11</v>
      </c>
      <c r="B27" s="440" t="s">
        <v>75</v>
      </c>
      <c r="C27" s="441" t="s">
        <v>102</v>
      </c>
      <c r="D27" s="440" t="s">
        <v>77</v>
      </c>
      <c r="E27" s="420">
        <v>7502327992653</v>
      </c>
      <c r="F27" s="420" t="s">
        <v>110</v>
      </c>
      <c r="G27" s="420" t="s">
        <v>111</v>
      </c>
      <c r="H27" s="442" t="s">
        <v>60</v>
      </c>
      <c r="I27" s="448" t="s">
        <v>105</v>
      </c>
      <c r="J27" s="424" t="s">
        <v>62</v>
      </c>
      <c r="K27" s="425" t="s">
        <v>63</v>
      </c>
      <c r="L27" s="421">
        <v>1</v>
      </c>
      <c r="M27" s="426">
        <v>18.309999999999999</v>
      </c>
      <c r="N27" s="427" t="s">
        <v>81</v>
      </c>
      <c r="O27" s="449">
        <v>20000</v>
      </c>
      <c r="P27" s="428">
        <v>18.309999999999999</v>
      </c>
      <c r="Q27" s="428"/>
      <c r="R27" s="428"/>
      <c r="S27" s="428">
        <v>18.309999999999999</v>
      </c>
      <c r="T27" s="429" t="s">
        <v>112</v>
      </c>
      <c r="U27" s="430">
        <v>149</v>
      </c>
      <c r="V27" s="428">
        <f t="shared" si="2"/>
        <v>77.068965517241381</v>
      </c>
      <c r="W27" s="431">
        <f t="shared" si="3"/>
        <v>0.23757941834451898</v>
      </c>
      <c r="X27" s="432">
        <f t="shared" si="4"/>
        <v>0.76242058165548099</v>
      </c>
      <c r="Y27" s="433">
        <v>0.4</v>
      </c>
      <c r="Z27" s="424" t="s">
        <v>66</v>
      </c>
      <c r="AA27" s="427" t="s">
        <v>99</v>
      </c>
      <c r="AB27" s="421"/>
      <c r="AC27" s="421" t="s">
        <v>107</v>
      </c>
      <c r="AD27" s="444">
        <v>46318</v>
      </c>
      <c r="BA27" s="421">
        <v>1</v>
      </c>
      <c r="BB27" s="421">
        <v>1</v>
      </c>
      <c r="BC27" s="421">
        <v>1</v>
      </c>
      <c r="BD27" s="421">
        <v>1</v>
      </c>
      <c r="BE27" s="424">
        <v>1</v>
      </c>
      <c r="BF27" s="424"/>
      <c r="BG27" s="424"/>
      <c r="BH27" s="424"/>
      <c r="BI27" s="424"/>
      <c r="BJ27" s="420">
        <v>9</v>
      </c>
      <c r="BK27" s="420">
        <f t="shared" si="0"/>
        <v>5</v>
      </c>
      <c r="BL27" s="434">
        <f t="shared" si="1"/>
        <v>0.55555555555555558</v>
      </c>
      <c r="BM27" s="435"/>
      <c r="BN27" s="435"/>
      <c r="BO27" s="435"/>
      <c r="BP27" s="435"/>
      <c r="BQ27" s="435"/>
      <c r="BR27" s="435"/>
      <c r="BS27" s="436" t="s">
        <v>108</v>
      </c>
      <c r="BT27" s="463">
        <f t="shared" si="5"/>
        <v>46318</v>
      </c>
      <c r="BU27" s="463"/>
      <c r="BV27" s="436" t="s">
        <v>109</v>
      </c>
      <c r="CJ27" s="436"/>
      <c r="CK27" s="436"/>
      <c r="CL27" s="436"/>
      <c r="CM27" s="436"/>
      <c r="CN27" s="436"/>
      <c r="CO27" s="436"/>
      <c r="CP27" s="437"/>
      <c r="CQ27" s="437"/>
      <c r="CR27" s="438"/>
      <c r="CS27" s="438"/>
      <c r="CT27" s="438"/>
      <c r="CU27" s="438"/>
      <c r="CV27" s="438"/>
      <c r="CW27" s="438"/>
      <c r="CX27" s="438"/>
      <c r="CY27" s="438"/>
      <c r="CZ27" s="438"/>
      <c r="DA27" s="438"/>
    </row>
    <row r="28" spans="1:105" ht="63.75">
      <c r="A28" s="424">
        <v>12</v>
      </c>
      <c r="B28" s="440" t="s">
        <v>75</v>
      </c>
      <c r="C28" s="441" t="s">
        <v>102</v>
      </c>
      <c r="D28" s="440" t="s">
        <v>77</v>
      </c>
      <c r="E28" s="420">
        <v>7502327992660</v>
      </c>
      <c r="F28" s="420" t="s">
        <v>113</v>
      </c>
      <c r="G28" s="420" t="s">
        <v>114</v>
      </c>
      <c r="H28" s="442" t="s">
        <v>60</v>
      </c>
      <c r="I28" s="448" t="s">
        <v>105</v>
      </c>
      <c r="J28" s="424" t="s">
        <v>62</v>
      </c>
      <c r="K28" s="425" t="s">
        <v>63</v>
      </c>
      <c r="L28" s="421">
        <v>1</v>
      </c>
      <c r="M28" s="426">
        <v>18.309999999999999</v>
      </c>
      <c r="N28" s="427" t="s">
        <v>81</v>
      </c>
      <c r="O28" s="449">
        <v>20000</v>
      </c>
      <c r="P28" s="428">
        <v>18.309999999999999</v>
      </c>
      <c r="Q28" s="428"/>
      <c r="R28" s="428"/>
      <c r="S28" s="428">
        <v>18.309999999999999</v>
      </c>
      <c r="T28" s="429" t="s">
        <v>115</v>
      </c>
      <c r="U28" s="430">
        <v>149</v>
      </c>
      <c r="V28" s="428">
        <f t="shared" si="2"/>
        <v>77.068965517241381</v>
      </c>
      <c r="W28" s="431">
        <f t="shared" si="3"/>
        <v>0.23757941834451898</v>
      </c>
      <c r="X28" s="432">
        <f t="shared" si="4"/>
        <v>0.76242058165548099</v>
      </c>
      <c r="Y28" s="433">
        <v>0.4</v>
      </c>
      <c r="Z28" s="424" t="s">
        <v>66</v>
      </c>
      <c r="AA28" s="427" t="s">
        <v>99</v>
      </c>
      <c r="AB28" s="421"/>
      <c r="AC28" s="421" t="s">
        <v>107</v>
      </c>
      <c r="AD28" s="444">
        <v>46318</v>
      </c>
      <c r="BA28" s="421">
        <v>1</v>
      </c>
      <c r="BB28" s="421">
        <v>1</v>
      </c>
      <c r="BC28" s="421">
        <v>1</v>
      </c>
      <c r="BD28" s="421">
        <v>1</v>
      </c>
      <c r="BE28" s="424">
        <v>1</v>
      </c>
      <c r="BF28" s="424"/>
      <c r="BG28" s="424"/>
      <c r="BH28" s="424"/>
      <c r="BI28" s="424"/>
      <c r="BJ28" s="420">
        <v>9</v>
      </c>
      <c r="BK28" s="420">
        <f t="shared" si="0"/>
        <v>5</v>
      </c>
      <c r="BL28" s="434">
        <f t="shared" si="1"/>
        <v>0.55555555555555558</v>
      </c>
      <c r="BM28" s="435"/>
      <c r="BN28" s="435"/>
      <c r="BO28" s="435"/>
      <c r="BP28" s="435"/>
      <c r="BQ28" s="435"/>
      <c r="BR28" s="435"/>
      <c r="BS28" s="436" t="s">
        <v>108</v>
      </c>
      <c r="BT28" s="463">
        <f t="shared" si="5"/>
        <v>46318</v>
      </c>
      <c r="BU28" s="463"/>
      <c r="BV28" s="436" t="s">
        <v>109</v>
      </c>
      <c r="CJ28" s="436"/>
      <c r="CK28" s="436"/>
      <c r="CL28" s="436"/>
      <c r="CM28" s="436"/>
      <c r="CN28" s="436"/>
      <c r="CO28" s="436"/>
      <c r="CP28" s="437"/>
      <c r="CQ28" s="437"/>
      <c r="CR28" s="438"/>
      <c r="CS28" s="438"/>
      <c r="CT28" s="438"/>
      <c r="CU28" s="438"/>
      <c r="CV28" s="438"/>
      <c r="CW28" s="438"/>
      <c r="CX28" s="438"/>
      <c r="CY28" s="438"/>
      <c r="CZ28" s="438"/>
      <c r="DA28" s="438"/>
    </row>
    <row r="29" spans="1:105" ht="63.75">
      <c r="A29" s="424">
        <v>13</v>
      </c>
      <c r="B29" s="440" t="s">
        <v>75</v>
      </c>
      <c r="C29" s="441" t="s">
        <v>102</v>
      </c>
      <c r="D29" s="440" t="s">
        <v>77</v>
      </c>
      <c r="E29" s="420">
        <v>7502327992677</v>
      </c>
      <c r="F29" s="420" t="s">
        <v>116</v>
      </c>
      <c r="G29" s="420" t="s">
        <v>117</v>
      </c>
      <c r="H29" s="442" t="s">
        <v>60</v>
      </c>
      <c r="I29" s="448" t="s">
        <v>105</v>
      </c>
      <c r="J29" s="424" t="s">
        <v>62</v>
      </c>
      <c r="K29" s="425" t="s">
        <v>63</v>
      </c>
      <c r="L29" s="421">
        <v>1</v>
      </c>
      <c r="M29" s="426">
        <v>18.309999999999999</v>
      </c>
      <c r="N29" s="427" t="s">
        <v>81</v>
      </c>
      <c r="O29" s="449">
        <v>20000</v>
      </c>
      <c r="P29" s="428">
        <v>18.309999999999999</v>
      </c>
      <c r="Q29" s="428"/>
      <c r="R29" s="428"/>
      <c r="S29" s="428">
        <v>18.309999999999999</v>
      </c>
      <c r="T29" s="429" t="s">
        <v>118</v>
      </c>
      <c r="U29" s="430">
        <v>149</v>
      </c>
      <c r="V29" s="428">
        <f t="shared" si="2"/>
        <v>77.068965517241381</v>
      </c>
      <c r="W29" s="431">
        <f t="shared" si="3"/>
        <v>0.23757941834451898</v>
      </c>
      <c r="X29" s="432">
        <f t="shared" si="4"/>
        <v>0.76242058165548099</v>
      </c>
      <c r="Y29" s="433">
        <v>0.4</v>
      </c>
      <c r="Z29" s="424" t="s">
        <v>66</v>
      </c>
      <c r="AA29" s="427" t="s">
        <v>99</v>
      </c>
      <c r="AB29" s="421"/>
      <c r="AC29" s="421" t="s">
        <v>107</v>
      </c>
      <c r="AD29" s="444">
        <v>46318</v>
      </c>
      <c r="BA29" s="421">
        <v>1</v>
      </c>
      <c r="BB29" s="421">
        <v>1</v>
      </c>
      <c r="BC29" s="421">
        <v>1</v>
      </c>
      <c r="BD29" s="421">
        <v>1</v>
      </c>
      <c r="BE29" s="424">
        <v>1</v>
      </c>
      <c r="BF29" s="424"/>
      <c r="BG29" s="424"/>
      <c r="BH29" s="424"/>
      <c r="BI29" s="424"/>
      <c r="BJ29" s="420">
        <v>9</v>
      </c>
      <c r="BK29" s="420">
        <f t="shared" si="0"/>
        <v>5</v>
      </c>
      <c r="BL29" s="434">
        <f t="shared" si="1"/>
        <v>0.55555555555555558</v>
      </c>
      <c r="BM29" s="435"/>
      <c r="BN29" s="435"/>
      <c r="BO29" s="435"/>
      <c r="BP29" s="435"/>
      <c r="BQ29" s="435"/>
      <c r="BR29" s="435"/>
      <c r="BS29" s="436" t="s">
        <v>108</v>
      </c>
      <c r="BT29" s="463">
        <f t="shared" si="5"/>
        <v>46318</v>
      </c>
      <c r="BU29" s="463"/>
      <c r="BV29" s="436" t="s">
        <v>109</v>
      </c>
      <c r="CJ29" s="436"/>
      <c r="CK29" s="436"/>
      <c r="CL29" s="436"/>
      <c r="CM29" s="436"/>
      <c r="CN29" s="436"/>
      <c r="CO29" s="436"/>
      <c r="CP29" s="437"/>
      <c r="CQ29" s="437"/>
      <c r="CR29" s="438"/>
      <c r="CS29" s="438"/>
      <c r="CT29" s="438"/>
      <c r="CU29" s="438"/>
      <c r="CV29" s="438"/>
      <c r="CW29" s="438"/>
      <c r="CX29" s="438"/>
      <c r="CY29" s="438"/>
      <c r="CZ29" s="438"/>
      <c r="DA29" s="438"/>
    </row>
    <row r="30" spans="1:105" ht="63.75">
      <c r="A30" s="424">
        <v>14</v>
      </c>
      <c r="B30" s="440" t="s">
        <v>75</v>
      </c>
      <c r="C30" s="441" t="s">
        <v>102</v>
      </c>
      <c r="D30" s="440" t="s">
        <v>77</v>
      </c>
      <c r="E30" s="420">
        <v>7502327992684</v>
      </c>
      <c r="F30" s="420" t="s">
        <v>119</v>
      </c>
      <c r="G30" s="420" t="s">
        <v>120</v>
      </c>
      <c r="H30" s="442" t="s">
        <v>60</v>
      </c>
      <c r="I30" s="448" t="s">
        <v>105</v>
      </c>
      <c r="J30" s="424" t="s">
        <v>62</v>
      </c>
      <c r="K30" s="425" t="s">
        <v>63</v>
      </c>
      <c r="L30" s="421">
        <v>1</v>
      </c>
      <c r="M30" s="426">
        <v>18.309999999999999</v>
      </c>
      <c r="N30" s="427" t="s">
        <v>81</v>
      </c>
      <c r="O30" s="449">
        <v>20000</v>
      </c>
      <c r="P30" s="428">
        <v>18.309999999999999</v>
      </c>
      <c r="Q30" s="428"/>
      <c r="R30" s="428"/>
      <c r="S30" s="428">
        <v>18.309999999999999</v>
      </c>
      <c r="T30" s="429" t="s">
        <v>121</v>
      </c>
      <c r="U30" s="430">
        <v>149</v>
      </c>
      <c r="V30" s="428">
        <f t="shared" si="2"/>
        <v>77.068965517241381</v>
      </c>
      <c r="W30" s="431">
        <f t="shared" si="3"/>
        <v>0.23757941834451898</v>
      </c>
      <c r="X30" s="432">
        <f t="shared" si="4"/>
        <v>0.76242058165548099</v>
      </c>
      <c r="Y30" s="433">
        <v>0.4</v>
      </c>
      <c r="Z30" s="424" t="s">
        <v>66</v>
      </c>
      <c r="AA30" s="427" t="s">
        <v>99</v>
      </c>
      <c r="AB30" s="421"/>
      <c r="AC30" s="421" t="s">
        <v>107</v>
      </c>
      <c r="AD30" s="444">
        <v>46318</v>
      </c>
      <c r="BA30" s="421">
        <v>1</v>
      </c>
      <c r="BB30" s="421">
        <v>1</v>
      </c>
      <c r="BC30" s="421">
        <v>1</v>
      </c>
      <c r="BD30" s="421">
        <v>1</v>
      </c>
      <c r="BE30" s="424">
        <v>1</v>
      </c>
      <c r="BF30" s="424"/>
      <c r="BG30" s="424"/>
      <c r="BH30" s="424"/>
      <c r="BI30" s="424"/>
      <c r="BJ30" s="420">
        <v>9</v>
      </c>
      <c r="BK30" s="420">
        <f t="shared" si="0"/>
        <v>5</v>
      </c>
      <c r="BL30" s="434">
        <f t="shared" si="1"/>
        <v>0.55555555555555558</v>
      </c>
      <c r="BM30" s="435"/>
      <c r="BN30" s="435"/>
      <c r="BO30" s="435"/>
      <c r="BP30" s="435"/>
      <c r="BQ30" s="435"/>
      <c r="BR30" s="435"/>
      <c r="BS30" s="436" t="s">
        <v>108</v>
      </c>
      <c r="BT30" s="463">
        <f t="shared" si="5"/>
        <v>46318</v>
      </c>
      <c r="BU30" s="463"/>
      <c r="BV30" s="436" t="s">
        <v>109</v>
      </c>
      <c r="CJ30" s="436"/>
      <c r="CK30" s="436"/>
      <c r="CL30" s="436"/>
      <c r="CM30" s="436"/>
      <c r="CN30" s="436"/>
      <c r="CO30" s="436"/>
      <c r="CP30" s="437"/>
      <c r="CQ30" s="437"/>
      <c r="CR30" s="438"/>
      <c r="CS30" s="438"/>
      <c r="CT30" s="438"/>
      <c r="CU30" s="438"/>
      <c r="CV30" s="438"/>
      <c r="CW30" s="438"/>
      <c r="CX30" s="438"/>
      <c r="CY30" s="438"/>
      <c r="CZ30" s="438"/>
      <c r="DA30" s="438"/>
    </row>
    <row r="31" spans="1:105" ht="63.75">
      <c r="A31" s="424">
        <v>15</v>
      </c>
      <c r="B31" s="440" t="s">
        <v>75</v>
      </c>
      <c r="C31" s="441" t="s">
        <v>102</v>
      </c>
      <c r="D31" s="440" t="s">
        <v>77</v>
      </c>
      <c r="E31" s="420">
        <v>7502327992691</v>
      </c>
      <c r="F31" s="420" t="s">
        <v>122</v>
      </c>
      <c r="G31" s="420" t="s">
        <v>123</v>
      </c>
      <c r="H31" s="442" t="s">
        <v>60</v>
      </c>
      <c r="I31" s="448" t="s">
        <v>105</v>
      </c>
      <c r="J31" s="424" t="s">
        <v>62</v>
      </c>
      <c r="K31" s="425" t="s">
        <v>63</v>
      </c>
      <c r="L31" s="421">
        <v>1</v>
      </c>
      <c r="M31" s="426">
        <v>18.309999999999999</v>
      </c>
      <c r="N31" s="427" t="s">
        <v>81</v>
      </c>
      <c r="O31" s="449">
        <v>20000</v>
      </c>
      <c r="P31" s="428">
        <v>18.309999999999999</v>
      </c>
      <c r="Q31" s="428"/>
      <c r="R31" s="428"/>
      <c r="S31" s="428">
        <v>18.309999999999999</v>
      </c>
      <c r="T31" s="429" t="s">
        <v>106</v>
      </c>
      <c r="U31" s="430">
        <v>149</v>
      </c>
      <c r="V31" s="428">
        <f t="shared" si="2"/>
        <v>77.068965517241381</v>
      </c>
      <c r="W31" s="431">
        <f t="shared" si="3"/>
        <v>0.23757941834451898</v>
      </c>
      <c r="X31" s="432">
        <f t="shared" si="4"/>
        <v>0.76242058165548099</v>
      </c>
      <c r="Y31" s="433">
        <v>0.4</v>
      </c>
      <c r="Z31" s="424" t="s">
        <v>66</v>
      </c>
      <c r="AA31" s="427" t="s">
        <v>99</v>
      </c>
      <c r="AB31" s="421"/>
      <c r="AC31" s="421" t="s">
        <v>107</v>
      </c>
      <c r="AD31" s="444">
        <v>46318</v>
      </c>
      <c r="BA31" s="421">
        <v>1</v>
      </c>
      <c r="BB31" s="421">
        <v>1</v>
      </c>
      <c r="BC31" s="421">
        <v>1</v>
      </c>
      <c r="BD31" s="421">
        <v>1</v>
      </c>
      <c r="BE31" s="424">
        <v>1</v>
      </c>
      <c r="BF31" s="424"/>
      <c r="BG31" s="424"/>
      <c r="BH31" s="424"/>
      <c r="BI31" s="424"/>
      <c r="BJ31" s="420">
        <v>9</v>
      </c>
      <c r="BK31" s="420">
        <f t="shared" si="0"/>
        <v>5</v>
      </c>
      <c r="BL31" s="434">
        <f t="shared" si="1"/>
        <v>0.55555555555555558</v>
      </c>
      <c r="BM31" s="435"/>
      <c r="BN31" s="435"/>
      <c r="BO31" s="435"/>
      <c r="BP31" s="435"/>
      <c r="BQ31" s="435"/>
      <c r="BR31" s="435"/>
      <c r="BS31" s="436" t="s">
        <v>108</v>
      </c>
      <c r="BT31" s="463">
        <f t="shared" si="5"/>
        <v>46318</v>
      </c>
      <c r="BU31" s="463"/>
      <c r="BV31" s="436" t="s">
        <v>109</v>
      </c>
      <c r="CJ31" s="436"/>
      <c r="CK31" s="436"/>
      <c r="CL31" s="436"/>
      <c r="CM31" s="436"/>
      <c r="CN31" s="436"/>
      <c r="CO31" s="436"/>
      <c r="CP31" s="437"/>
      <c r="CQ31" s="437"/>
      <c r="CR31" s="438"/>
      <c r="CS31" s="438"/>
      <c r="CT31" s="438"/>
      <c r="CU31" s="438"/>
      <c r="CV31" s="438"/>
      <c r="CW31" s="438"/>
      <c r="CX31" s="438"/>
      <c r="CY31" s="438"/>
      <c r="CZ31" s="438"/>
      <c r="DA31" s="438"/>
    </row>
    <row r="32" spans="1:105" ht="63.75">
      <c r="A32" s="424">
        <v>16</v>
      </c>
      <c r="B32" s="440" t="s">
        <v>75</v>
      </c>
      <c r="C32" s="441" t="s">
        <v>102</v>
      </c>
      <c r="D32" s="440" t="s">
        <v>77</v>
      </c>
      <c r="E32" s="420">
        <v>7506110694854</v>
      </c>
      <c r="F32" s="420" t="s">
        <v>124</v>
      </c>
      <c r="G32" s="421" t="s">
        <v>125</v>
      </c>
      <c r="H32" s="442"/>
      <c r="I32" s="423" t="s">
        <v>80</v>
      </c>
      <c r="J32" s="424" t="s">
        <v>62</v>
      </c>
      <c r="K32" s="425" t="s">
        <v>63</v>
      </c>
      <c r="L32" s="421">
        <v>1</v>
      </c>
      <c r="M32" s="426">
        <v>27.46</v>
      </c>
      <c r="N32" s="427" t="s">
        <v>81</v>
      </c>
      <c r="O32" s="427">
        <v>10000</v>
      </c>
      <c r="P32" s="428"/>
      <c r="Q32" s="428"/>
      <c r="R32" s="428"/>
      <c r="S32" s="428">
        <v>27.46</v>
      </c>
      <c r="T32" s="429" t="s">
        <v>126</v>
      </c>
      <c r="U32" s="430">
        <v>195</v>
      </c>
      <c r="V32" s="428">
        <f t="shared" si="2"/>
        <v>100.86206896551725</v>
      </c>
      <c r="W32" s="431">
        <f t="shared" si="3"/>
        <v>0.27225299145299142</v>
      </c>
      <c r="X32" s="432">
        <f t="shared" si="4"/>
        <v>0.72774700854700858</v>
      </c>
      <c r="Y32" s="433">
        <v>0.4</v>
      </c>
      <c r="Z32" s="424" t="s">
        <v>66</v>
      </c>
      <c r="AA32" s="427" t="s">
        <v>99</v>
      </c>
      <c r="AB32" s="425"/>
      <c r="AC32" s="420" t="s">
        <v>127</v>
      </c>
      <c r="AD32" s="444">
        <v>46282</v>
      </c>
      <c r="BA32" s="420">
        <v>1</v>
      </c>
      <c r="BB32" s="420">
        <v>1</v>
      </c>
      <c r="BC32" s="420">
        <v>1</v>
      </c>
      <c r="BD32" s="420">
        <v>1</v>
      </c>
      <c r="BE32" s="420">
        <v>1</v>
      </c>
      <c r="BF32" s="420"/>
      <c r="BG32" s="420">
        <v>1</v>
      </c>
      <c r="BH32" s="420"/>
      <c r="BI32" s="420"/>
      <c r="BJ32" s="420">
        <v>9</v>
      </c>
      <c r="BK32" s="420">
        <f t="shared" si="0"/>
        <v>6</v>
      </c>
      <c r="BL32" s="434">
        <f t="shared" si="1"/>
        <v>0.66666666666666663</v>
      </c>
      <c r="BM32" s="435"/>
      <c r="BN32" s="435"/>
      <c r="BO32" s="435"/>
      <c r="BP32" s="435"/>
      <c r="BQ32" s="435"/>
      <c r="BR32" s="435"/>
      <c r="BS32" s="436" t="s">
        <v>128</v>
      </c>
      <c r="BT32" s="463">
        <f t="shared" si="5"/>
        <v>46282</v>
      </c>
      <c r="BU32" s="463"/>
      <c r="BV32" s="436" t="s">
        <v>129</v>
      </c>
      <c r="CJ32" s="436"/>
      <c r="CK32" s="436"/>
      <c r="CL32" s="436"/>
      <c r="CM32" s="436"/>
      <c r="CN32" s="436"/>
      <c r="CO32" s="436"/>
      <c r="CP32" s="437"/>
      <c r="CQ32" s="437"/>
      <c r="CR32" s="438"/>
      <c r="CS32" s="438"/>
      <c r="CT32" s="438"/>
      <c r="CU32" s="438"/>
      <c r="CV32" s="438"/>
      <c r="CW32" s="438"/>
      <c r="CX32" s="438"/>
      <c r="CY32" s="438"/>
      <c r="CZ32" s="438"/>
      <c r="DA32" s="438"/>
    </row>
    <row r="33" spans="1:105" ht="89.25">
      <c r="A33" s="424">
        <v>17</v>
      </c>
      <c r="B33" s="440" t="s">
        <v>75</v>
      </c>
      <c r="C33" s="441" t="s">
        <v>130</v>
      </c>
      <c r="D33" s="440" t="s">
        <v>77</v>
      </c>
      <c r="E33" s="420">
        <v>7502327992752</v>
      </c>
      <c r="F33" s="420" t="s">
        <v>131</v>
      </c>
      <c r="G33" s="421" t="s">
        <v>132</v>
      </c>
      <c r="H33" s="442" t="s">
        <v>60</v>
      </c>
      <c r="I33" s="423" t="s">
        <v>133</v>
      </c>
      <c r="J33" s="424" t="s">
        <v>62</v>
      </c>
      <c r="K33" s="425" t="s">
        <v>63</v>
      </c>
      <c r="L33" s="421">
        <v>1</v>
      </c>
      <c r="M33" s="426">
        <v>1.65</v>
      </c>
      <c r="N33" s="427" t="s">
        <v>64</v>
      </c>
      <c r="O33" s="427">
        <v>20000</v>
      </c>
      <c r="P33" s="428">
        <v>29.7</v>
      </c>
      <c r="Q33" s="428">
        <v>7.4249999999999998</v>
      </c>
      <c r="R33" s="428">
        <v>2.0010374999999998</v>
      </c>
      <c r="S33" s="428">
        <v>39.126037500000002</v>
      </c>
      <c r="T33" s="429" t="s">
        <v>134</v>
      </c>
      <c r="U33" s="430">
        <v>259</v>
      </c>
      <c r="V33" s="428">
        <f t="shared" si="2"/>
        <v>133.9655172413793</v>
      </c>
      <c r="W33" s="431">
        <f t="shared" si="3"/>
        <v>0.29206051158301161</v>
      </c>
      <c r="X33" s="432">
        <f t="shared" si="4"/>
        <v>0.70793948841698839</v>
      </c>
      <c r="Y33" s="433">
        <v>0.4</v>
      </c>
      <c r="Z33" s="424" t="s">
        <v>66</v>
      </c>
      <c r="AA33" s="427" t="s">
        <v>99</v>
      </c>
      <c r="AB33" s="425"/>
      <c r="AC33" s="420" t="s">
        <v>135</v>
      </c>
      <c r="AD33" s="444">
        <v>46341</v>
      </c>
      <c r="BA33" s="420">
        <v>1</v>
      </c>
      <c r="BB33" s="420">
        <v>1</v>
      </c>
      <c r="BC33" s="420">
        <v>1</v>
      </c>
      <c r="BD33" s="420">
        <v>1</v>
      </c>
      <c r="BE33" s="420">
        <v>1</v>
      </c>
      <c r="BF33" s="420"/>
      <c r="BG33" s="420"/>
      <c r="BH33" s="420"/>
      <c r="BI33" s="420"/>
      <c r="BJ33" s="420">
        <v>9</v>
      </c>
      <c r="BK33" s="420">
        <f t="shared" si="0"/>
        <v>5</v>
      </c>
      <c r="BL33" s="434">
        <f t="shared" si="1"/>
        <v>0.55555555555555558</v>
      </c>
      <c r="BM33" s="435"/>
      <c r="BN33" s="435"/>
      <c r="BO33" s="435"/>
      <c r="BP33" s="435"/>
      <c r="BQ33" s="435"/>
      <c r="BR33" s="435"/>
      <c r="BS33" s="436" t="s">
        <v>135</v>
      </c>
      <c r="BT33" s="463">
        <f t="shared" si="5"/>
        <v>46341</v>
      </c>
      <c r="BU33" s="463"/>
      <c r="BV33" s="436" t="s">
        <v>129</v>
      </c>
      <c r="CJ33" s="436"/>
      <c r="CK33" s="436"/>
      <c r="CL33" s="436"/>
      <c r="CM33" s="436"/>
      <c r="CN33" s="436"/>
      <c r="CO33" s="436"/>
      <c r="CP33" s="437"/>
      <c r="CQ33" s="437"/>
      <c r="CR33" s="438"/>
      <c r="CS33" s="438"/>
      <c r="CT33" s="438"/>
      <c r="CU33" s="438"/>
      <c r="CV33" s="438"/>
      <c r="CW33" s="438"/>
      <c r="CX33" s="438"/>
      <c r="CY33" s="438"/>
      <c r="CZ33" s="438"/>
      <c r="DA33" s="438"/>
    </row>
    <row r="34" spans="1:105" ht="44.25">
      <c r="A34" s="424">
        <v>18</v>
      </c>
      <c r="B34" s="440" t="s">
        <v>75</v>
      </c>
      <c r="C34" s="441" t="s">
        <v>136</v>
      </c>
      <c r="D34" s="440" t="s">
        <v>77</v>
      </c>
      <c r="E34" s="445">
        <v>7502327992707</v>
      </c>
      <c r="F34" s="420" t="s">
        <v>137</v>
      </c>
      <c r="G34" s="421" t="s">
        <v>138</v>
      </c>
      <c r="H34" s="442" t="s">
        <v>60</v>
      </c>
      <c r="I34" s="423" t="s">
        <v>139</v>
      </c>
      <c r="J34" s="424" t="s">
        <v>62</v>
      </c>
      <c r="K34" s="425" t="s">
        <v>63</v>
      </c>
      <c r="L34" s="421">
        <v>1</v>
      </c>
      <c r="M34" s="450"/>
      <c r="N34" s="427" t="s">
        <v>64</v>
      </c>
      <c r="O34" s="427">
        <v>20000</v>
      </c>
      <c r="P34" s="428">
        <v>0</v>
      </c>
      <c r="Q34" s="428"/>
      <c r="R34" s="428"/>
      <c r="S34" s="428">
        <v>48.27</v>
      </c>
      <c r="T34" s="428">
        <v>295</v>
      </c>
      <c r="U34" s="430">
        <v>299</v>
      </c>
      <c r="V34" s="428">
        <f t="shared" si="2"/>
        <v>154.65517241379311</v>
      </c>
      <c r="W34" s="431">
        <f t="shared" si="3"/>
        <v>0.31211371237458196</v>
      </c>
      <c r="X34" s="432">
        <f t="shared" si="4"/>
        <v>0.68788628762541804</v>
      </c>
      <c r="Y34" s="433">
        <v>0.4</v>
      </c>
      <c r="Z34" s="424" t="s">
        <v>66</v>
      </c>
      <c r="AA34" s="427" t="s">
        <v>99</v>
      </c>
      <c r="AB34" s="425"/>
      <c r="AC34" s="421" t="s">
        <v>140</v>
      </c>
      <c r="AD34" s="451">
        <v>46320</v>
      </c>
      <c r="BA34" s="424">
        <v>1</v>
      </c>
      <c r="BB34" s="424">
        <v>1</v>
      </c>
      <c r="BC34" s="424">
        <v>1</v>
      </c>
      <c r="BD34" s="424">
        <v>1</v>
      </c>
      <c r="BE34" s="424">
        <v>1</v>
      </c>
      <c r="BF34" s="424"/>
      <c r="BG34" s="424"/>
      <c r="BH34" s="424"/>
      <c r="BI34" s="424"/>
      <c r="BJ34" s="420">
        <v>9</v>
      </c>
      <c r="BK34" s="420">
        <f t="shared" si="0"/>
        <v>5</v>
      </c>
      <c r="BL34" s="434">
        <f t="shared" si="1"/>
        <v>0.55555555555555558</v>
      </c>
      <c r="BM34" s="435"/>
      <c r="BN34" s="435"/>
      <c r="BO34" s="435"/>
      <c r="BP34" s="435"/>
      <c r="BQ34" s="435"/>
      <c r="BR34" s="435"/>
      <c r="BS34" s="436" t="s">
        <v>141</v>
      </c>
      <c r="BT34" s="463">
        <f t="shared" si="5"/>
        <v>46320</v>
      </c>
      <c r="BU34" s="463"/>
      <c r="BV34" s="436" t="s">
        <v>129</v>
      </c>
      <c r="CJ34" s="436"/>
      <c r="CK34" s="436"/>
      <c r="CL34" s="436"/>
      <c r="CM34" s="436"/>
      <c r="CN34" s="436"/>
      <c r="CO34" s="436"/>
      <c r="CP34" s="437"/>
      <c r="CQ34" s="437"/>
      <c r="CR34" s="438"/>
      <c r="CS34" s="438"/>
      <c r="CT34" s="438"/>
      <c r="CU34" s="438"/>
      <c r="CV34" s="438"/>
      <c r="CW34" s="438"/>
      <c r="CX34" s="438"/>
      <c r="CY34" s="438"/>
      <c r="CZ34" s="438"/>
      <c r="DA34" s="438"/>
    </row>
    <row r="35" spans="1:105" ht="44.25">
      <c r="A35" s="424">
        <v>19</v>
      </c>
      <c r="B35" s="440" t="s">
        <v>75</v>
      </c>
      <c r="C35" s="441" t="s">
        <v>136</v>
      </c>
      <c r="D35" s="440" t="s">
        <v>77</v>
      </c>
      <c r="E35" s="445">
        <v>7502327992714</v>
      </c>
      <c r="F35" s="420" t="s">
        <v>142</v>
      </c>
      <c r="G35" s="421" t="s">
        <v>138</v>
      </c>
      <c r="H35" s="442" t="s">
        <v>60</v>
      </c>
      <c r="I35" s="423" t="s">
        <v>139</v>
      </c>
      <c r="J35" s="424" t="s">
        <v>62</v>
      </c>
      <c r="K35" s="425" t="s">
        <v>63</v>
      </c>
      <c r="L35" s="421">
        <v>1</v>
      </c>
      <c r="M35" s="450"/>
      <c r="N35" s="427" t="s">
        <v>64</v>
      </c>
      <c r="O35" s="427">
        <v>20000</v>
      </c>
      <c r="P35" s="428">
        <v>0</v>
      </c>
      <c r="Q35" s="428"/>
      <c r="R35" s="428"/>
      <c r="S35" s="428">
        <v>48.27</v>
      </c>
      <c r="T35" s="428">
        <v>295</v>
      </c>
      <c r="U35" s="430">
        <v>299</v>
      </c>
      <c r="V35" s="428">
        <f t="shared" si="2"/>
        <v>154.65517241379311</v>
      </c>
      <c r="W35" s="431">
        <f t="shared" si="3"/>
        <v>0.31211371237458196</v>
      </c>
      <c r="X35" s="432">
        <f t="shared" si="4"/>
        <v>0.68788628762541804</v>
      </c>
      <c r="Y35" s="433">
        <v>0.4</v>
      </c>
      <c r="Z35" s="424" t="s">
        <v>66</v>
      </c>
      <c r="AA35" s="427" t="s">
        <v>99</v>
      </c>
      <c r="AB35" s="425"/>
      <c r="AC35" s="421" t="s">
        <v>140</v>
      </c>
      <c r="AD35" s="451">
        <v>46320</v>
      </c>
      <c r="BA35" s="424">
        <v>1</v>
      </c>
      <c r="BB35" s="424">
        <v>1</v>
      </c>
      <c r="BC35" s="424">
        <v>1</v>
      </c>
      <c r="BD35" s="424">
        <v>1</v>
      </c>
      <c r="BE35" s="424">
        <v>1</v>
      </c>
      <c r="BF35" s="424"/>
      <c r="BG35" s="424"/>
      <c r="BH35" s="424"/>
      <c r="BI35" s="424"/>
      <c r="BJ35" s="420">
        <v>9</v>
      </c>
      <c r="BK35" s="420">
        <f t="shared" si="0"/>
        <v>5</v>
      </c>
      <c r="BL35" s="434">
        <f t="shared" si="1"/>
        <v>0.55555555555555558</v>
      </c>
      <c r="BM35" s="435"/>
      <c r="BN35" s="435"/>
      <c r="BO35" s="435"/>
      <c r="BP35" s="435"/>
      <c r="BQ35" s="435"/>
      <c r="BR35" s="435"/>
      <c r="BS35" s="436" t="s">
        <v>141</v>
      </c>
      <c r="BT35" s="463">
        <f t="shared" si="5"/>
        <v>46320</v>
      </c>
      <c r="BU35" s="463"/>
      <c r="BV35" s="436" t="s">
        <v>143</v>
      </c>
      <c r="CJ35" s="436"/>
      <c r="CK35" s="436"/>
      <c r="CL35" s="436"/>
      <c r="CM35" s="436"/>
      <c r="CN35" s="436"/>
      <c r="CO35" s="436"/>
      <c r="CP35" s="437"/>
      <c r="CQ35" s="437"/>
      <c r="CR35" s="438"/>
      <c r="CS35" s="438"/>
      <c r="CT35" s="438"/>
      <c r="CU35" s="438"/>
      <c r="CV35" s="438"/>
      <c r="CW35" s="438"/>
      <c r="CX35" s="438"/>
      <c r="CY35" s="438"/>
      <c r="CZ35" s="438"/>
      <c r="DA35" s="438"/>
    </row>
    <row r="36" spans="1:105" ht="63.75">
      <c r="A36" s="424">
        <v>20</v>
      </c>
      <c r="B36" s="440" t="s">
        <v>75</v>
      </c>
      <c r="C36" s="425" t="s">
        <v>144</v>
      </c>
      <c r="D36" s="440" t="s">
        <v>77</v>
      </c>
      <c r="E36" s="445">
        <v>7506110694786</v>
      </c>
      <c r="F36" s="445" t="s">
        <v>145</v>
      </c>
      <c r="G36" s="421" t="s">
        <v>146</v>
      </c>
      <c r="H36" s="442" t="s">
        <v>60</v>
      </c>
      <c r="I36" s="423" t="s">
        <v>147</v>
      </c>
      <c r="J36" s="424" t="s">
        <v>62</v>
      </c>
      <c r="K36" s="425" t="s">
        <v>63</v>
      </c>
      <c r="L36" s="421">
        <v>1</v>
      </c>
      <c r="M36" s="426">
        <v>0.98</v>
      </c>
      <c r="N36" s="427" t="s">
        <v>64</v>
      </c>
      <c r="O36" s="427">
        <v>20000</v>
      </c>
      <c r="P36" s="428">
        <v>17.64</v>
      </c>
      <c r="Q36" s="428">
        <v>6.3503999999999996</v>
      </c>
      <c r="R36" s="428">
        <v>1.4034384</v>
      </c>
      <c r="S36" s="452">
        <v>25.3938384</v>
      </c>
      <c r="T36" s="429" t="s">
        <v>148</v>
      </c>
      <c r="U36" s="430">
        <v>179</v>
      </c>
      <c r="V36" s="428">
        <f t="shared" si="2"/>
        <v>92.58620689655173</v>
      </c>
      <c r="W36" s="431">
        <f t="shared" si="3"/>
        <v>0.27427237005586591</v>
      </c>
      <c r="X36" s="432">
        <f t="shared" si="4"/>
        <v>0.72572762994413409</v>
      </c>
      <c r="Y36" s="433">
        <v>0.4</v>
      </c>
      <c r="Z36" s="424" t="s">
        <v>66</v>
      </c>
      <c r="AA36" s="427" t="s">
        <v>99</v>
      </c>
      <c r="AB36" s="425"/>
      <c r="AC36" s="420" t="s">
        <v>149</v>
      </c>
      <c r="AD36" s="451">
        <v>46373</v>
      </c>
      <c r="BA36" s="424">
        <v>1</v>
      </c>
      <c r="BB36" s="420"/>
      <c r="BC36" s="420"/>
      <c r="BD36" s="420"/>
      <c r="BE36" s="420"/>
      <c r="BF36" s="420"/>
      <c r="BG36" s="420"/>
      <c r="BH36" s="420"/>
      <c r="BI36" s="420"/>
      <c r="BJ36" s="420">
        <v>9</v>
      </c>
      <c r="BK36" s="420">
        <f t="shared" si="0"/>
        <v>1</v>
      </c>
      <c r="BL36" s="434">
        <f t="shared" si="1"/>
        <v>0.1111111111111111</v>
      </c>
      <c r="BM36" s="435"/>
      <c r="BN36" s="435"/>
      <c r="BO36" s="435"/>
      <c r="BP36" s="435"/>
      <c r="BQ36" s="435"/>
      <c r="BR36" s="435"/>
      <c r="BS36" s="436" t="s">
        <v>149</v>
      </c>
      <c r="BT36" s="463">
        <f t="shared" si="5"/>
        <v>46373</v>
      </c>
      <c r="BU36" s="463"/>
      <c r="BV36" s="436" t="s">
        <v>150</v>
      </c>
      <c r="CJ36" s="436"/>
      <c r="CK36" s="436"/>
      <c r="CL36" s="436"/>
      <c r="CM36" s="436"/>
      <c r="CN36" s="436"/>
      <c r="CO36" s="436"/>
      <c r="CP36" s="437"/>
      <c r="CQ36" s="437"/>
      <c r="CR36" s="438"/>
      <c r="CS36" s="438"/>
      <c r="CT36" s="438"/>
      <c r="CU36" s="438"/>
      <c r="CV36" s="438"/>
      <c r="CW36" s="438"/>
      <c r="CX36" s="438"/>
      <c r="CY36" s="438"/>
      <c r="CZ36" s="438"/>
      <c r="DA36" s="438"/>
    </row>
    <row r="37" spans="1:105" ht="63.75">
      <c r="A37" s="424">
        <v>21</v>
      </c>
      <c r="B37" s="440" t="s">
        <v>75</v>
      </c>
      <c r="C37" s="425" t="s">
        <v>144</v>
      </c>
      <c r="D37" s="440" t="s">
        <v>77</v>
      </c>
      <c r="E37" s="445">
        <v>7506110694793</v>
      </c>
      <c r="F37" s="445" t="s">
        <v>151</v>
      </c>
      <c r="G37" s="421" t="s">
        <v>146</v>
      </c>
      <c r="H37" s="442" t="s">
        <v>60</v>
      </c>
      <c r="I37" s="423" t="s">
        <v>147</v>
      </c>
      <c r="J37" s="424" t="s">
        <v>62</v>
      </c>
      <c r="K37" s="425" t="s">
        <v>63</v>
      </c>
      <c r="L37" s="421">
        <v>1</v>
      </c>
      <c r="M37" s="426">
        <v>0.98</v>
      </c>
      <c r="N37" s="427" t="s">
        <v>64</v>
      </c>
      <c r="O37" s="427">
        <v>20000</v>
      </c>
      <c r="P37" s="428">
        <v>17.64</v>
      </c>
      <c r="Q37" s="428">
        <v>6.3503999999999996</v>
      </c>
      <c r="R37" s="428">
        <v>1.4034384</v>
      </c>
      <c r="S37" s="452">
        <v>25.3938384</v>
      </c>
      <c r="T37" s="429" t="s">
        <v>148</v>
      </c>
      <c r="U37" s="430">
        <v>179</v>
      </c>
      <c r="V37" s="428">
        <f t="shared" si="2"/>
        <v>92.58620689655173</v>
      </c>
      <c r="W37" s="431">
        <f t="shared" si="3"/>
        <v>0.27427237005586591</v>
      </c>
      <c r="X37" s="432">
        <f t="shared" si="4"/>
        <v>0.72572762994413409</v>
      </c>
      <c r="Y37" s="433">
        <v>0.4</v>
      </c>
      <c r="Z37" s="424" t="s">
        <v>66</v>
      </c>
      <c r="AA37" s="427" t="s">
        <v>99</v>
      </c>
      <c r="AB37" s="425"/>
      <c r="AC37" s="420" t="s">
        <v>149</v>
      </c>
      <c r="AD37" s="451">
        <v>46373</v>
      </c>
      <c r="BA37" s="424">
        <v>1</v>
      </c>
      <c r="BB37" s="420"/>
      <c r="BC37" s="420"/>
      <c r="BD37" s="420"/>
      <c r="BE37" s="420"/>
      <c r="BF37" s="420"/>
      <c r="BG37" s="420"/>
      <c r="BH37" s="420"/>
      <c r="BI37" s="420"/>
      <c r="BJ37" s="420">
        <v>9</v>
      </c>
      <c r="BK37" s="420">
        <f t="shared" si="0"/>
        <v>1</v>
      </c>
      <c r="BL37" s="434">
        <f t="shared" si="1"/>
        <v>0.1111111111111111</v>
      </c>
      <c r="BM37" s="435"/>
      <c r="BN37" s="435"/>
      <c r="BO37" s="435"/>
      <c r="BP37" s="435"/>
      <c r="BQ37" s="435"/>
      <c r="BR37" s="435"/>
      <c r="BS37" s="436" t="s">
        <v>149</v>
      </c>
      <c r="BT37" s="463">
        <f t="shared" si="5"/>
        <v>46373</v>
      </c>
      <c r="BU37" s="463"/>
      <c r="BV37" s="436" t="s">
        <v>150</v>
      </c>
      <c r="CJ37" s="436"/>
      <c r="CK37" s="436"/>
      <c r="CL37" s="436"/>
      <c r="CM37" s="436"/>
      <c r="CN37" s="436"/>
      <c r="CO37" s="436"/>
      <c r="CP37" s="437"/>
      <c r="CQ37" s="437"/>
      <c r="CR37" s="438"/>
      <c r="CS37" s="438"/>
      <c r="CT37" s="438"/>
      <c r="CU37" s="438"/>
      <c r="CV37" s="438"/>
      <c r="CW37" s="438"/>
      <c r="CX37" s="438"/>
      <c r="CY37" s="438"/>
      <c r="CZ37" s="438"/>
      <c r="DA37" s="438"/>
    </row>
    <row r="38" spans="1:105" ht="63.75">
      <c r="A38" s="424">
        <v>22</v>
      </c>
      <c r="B38" s="440" t="s">
        <v>75</v>
      </c>
      <c r="C38" s="425" t="s">
        <v>144</v>
      </c>
      <c r="D38" s="440" t="s">
        <v>77</v>
      </c>
      <c r="E38" s="445">
        <v>7506110694809</v>
      </c>
      <c r="F38" s="445" t="s">
        <v>152</v>
      </c>
      <c r="G38" s="421" t="s">
        <v>146</v>
      </c>
      <c r="H38" s="442" t="s">
        <v>60</v>
      </c>
      <c r="I38" s="423" t="s">
        <v>147</v>
      </c>
      <c r="J38" s="424" t="s">
        <v>62</v>
      </c>
      <c r="K38" s="425" t="s">
        <v>63</v>
      </c>
      <c r="L38" s="421">
        <v>1</v>
      </c>
      <c r="M38" s="426">
        <v>0.98</v>
      </c>
      <c r="N38" s="427" t="s">
        <v>64</v>
      </c>
      <c r="O38" s="427">
        <v>20000</v>
      </c>
      <c r="P38" s="428">
        <v>17.64</v>
      </c>
      <c r="Q38" s="428">
        <v>6.3503999999999996</v>
      </c>
      <c r="R38" s="428">
        <v>1.4034384</v>
      </c>
      <c r="S38" s="452">
        <v>25.3938384</v>
      </c>
      <c r="T38" s="429" t="s">
        <v>148</v>
      </c>
      <c r="U38" s="430">
        <v>179</v>
      </c>
      <c r="V38" s="428">
        <f t="shared" si="2"/>
        <v>92.58620689655173</v>
      </c>
      <c r="W38" s="431">
        <f t="shared" si="3"/>
        <v>0.27427237005586591</v>
      </c>
      <c r="X38" s="432">
        <f t="shared" si="4"/>
        <v>0.72572762994413409</v>
      </c>
      <c r="Y38" s="433">
        <v>0.4</v>
      </c>
      <c r="Z38" s="424" t="s">
        <v>66</v>
      </c>
      <c r="AA38" s="427" t="s">
        <v>99</v>
      </c>
      <c r="AB38" s="425"/>
      <c r="AC38" s="420" t="s">
        <v>149</v>
      </c>
      <c r="AD38" s="451">
        <v>46373</v>
      </c>
      <c r="BA38" s="424">
        <v>1</v>
      </c>
      <c r="BB38" s="420"/>
      <c r="BC38" s="420"/>
      <c r="BD38" s="420"/>
      <c r="BE38" s="420"/>
      <c r="BF38" s="420"/>
      <c r="BG38" s="420"/>
      <c r="BH38" s="420"/>
      <c r="BI38" s="420"/>
      <c r="BJ38" s="420">
        <v>9</v>
      </c>
      <c r="BK38" s="420">
        <f t="shared" si="0"/>
        <v>1</v>
      </c>
      <c r="BL38" s="434">
        <f t="shared" si="1"/>
        <v>0.1111111111111111</v>
      </c>
      <c r="BM38" s="435"/>
      <c r="BN38" s="435"/>
      <c r="BO38" s="435"/>
      <c r="BP38" s="435"/>
      <c r="BQ38" s="435"/>
      <c r="BR38" s="435"/>
      <c r="BS38" s="436" t="s">
        <v>149</v>
      </c>
      <c r="BT38" s="463">
        <f t="shared" si="5"/>
        <v>46373</v>
      </c>
      <c r="BU38" s="463"/>
      <c r="BV38" s="436" t="s">
        <v>150</v>
      </c>
      <c r="CJ38" s="436"/>
      <c r="CK38" s="436"/>
      <c r="CL38" s="436"/>
      <c r="CM38" s="436"/>
      <c r="CN38" s="436"/>
      <c r="CO38" s="436"/>
      <c r="CP38" s="437"/>
      <c r="CQ38" s="437"/>
      <c r="CR38" s="438"/>
      <c r="CS38" s="438"/>
      <c r="CT38" s="438"/>
      <c r="CU38" s="438"/>
      <c r="CV38" s="438"/>
      <c r="CW38" s="438"/>
      <c r="CX38" s="438"/>
      <c r="CY38" s="438"/>
      <c r="CZ38" s="438"/>
      <c r="DA38" s="438"/>
    </row>
    <row r="39" spans="1:105" ht="63.75">
      <c r="A39" s="424">
        <v>23</v>
      </c>
      <c r="B39" s="440" t="s">
        <v>75</v>
      </c>
      <c r="C39" s="425" t="s">
        <v>144</v>
      </c>
      <c r="D39" s="440" t="s">
        <v>77</v>
      </c>
      <c r="E39" s="445">
        <v>7506110694816</v>
      </c>
      <c r="F39" s="445" t="s">
        <v>153</v>
      </c>
      <c r="G39" s="421" t="s">
        <v>146</v>
      </c>
      <c r="H39" s="442" t="s">
        <v>60</v>
      </c>
      <c r="I39" s="423" t="s">
        <v>147</v>
      </c>
      <c r="J39" s="424" t="s">
        <v>62</v>
      </c>
      <c r="K39" s="425" t="s">
        <v>63</v>
      </c>
      <c r="L39" s="421">
        <v>1</v>
      </c>
      <c r="M39" s="426">
        <v>0.98</v>
      </c>
      <c r="N39" s="427" t="s">
        <v>64</v>
      </c>
      <c r="O39" s="427">
        <v>20000</v>
      </c>
      <c r="P39" s="428">
        <v>17.64</v>
      </c>
      <c r="Q39" s="428">
        <v>6.3503999999999996</v>
      </c>
      <c r="R39" s="428">
        <v>1.4034384</v>
      </c>
      <c r="S39" s="452">
        <v>25.3938384</v>
      </c>
      <c r="T39" s="429" t="s">
        <v>148</v>
      </c>
      <c r="U39" s="430">
        <v>179</v>
      </c>
      <c r="V39" s="428">
        <f t="shared" si="2"/>
        <v>92.58620689655173</v>
      </c>
      <c r="W39" s="431">
        <f t="shared" si="3"/>
        <v>0.27427237005586591</v>
      </c>
      <c r="X39" s="432">
        <f t="shared" si="4"/>
        <v>0.72572762994413409</v>
      </c>
      <c r="Y39" s="433">
        <v>0.4</v>
      </c>
      <c r="Z39" s="424" t="s">
        <v>66</v>
      </c>
      <c r="AA39" s="427" t="s">
        <v>99</v>
      </c>
      <c r="AB39" s="425"/>
      <c r="AC39" s="420" t="s">
        <v>149</v>
      </c>
      <c r="AD39" s="451">
        <v>46373</v>
      </c>
      <c r="BA39" s="424">
        <v>1</v>
      </c>
      <c r="BB39" s="420"/>
      <c r="BC39" s="420"/>
      <c r="BD39" s="420"/>
      <c r="BE39" s="420"/>
      <c r="BF39" s="420"/>
      <c r="BG39" s="420"/>
      <c r="BH39" s="420"/>
      <c r="BI39" s="420"/>
      <c r="BJ39" s="420">
        <v>9</v>
      </c>
      <c r="BK39" s="420">
        <f t="shared" si="0"/>
        <v>1</v>
      </c>
      <c r="BL39" s="434">
        <f t="shared" si="1"/>
        <v>0.1111111111111111</v>
      </c>
      <c r="BM39" s="435"/>
      <c r="BN39" s="435"/>
      <c r="BO39" s="435"/>
      <c r="BP39" s="435"/>
      <c r="BQ39" s="435"/>
      <c r="BR39" s="435"/>
      <c r="BS39" s="436" t="s">
        <v>149</v>
      </c>
      <c r="BT39" s="463">
        <f t="shared" si="5"/>
        <v>46373</v>
      </c>
      <c r="BU39" s="463"/>
      <c r="BV39" s="436" t="s">
        <v>150</v>
      </c>
      <c r="CJ39" s="436"/>
      <c r="CK39" s="436"/>
      <c r="CL39" s="436"/>
      <c r="CM39" s="436"/>
      <c r="CN39" s="436"/>
      <c r="CO39" s="436"/>
      <c r="CP39" s="437"/>
      <c r="CQ39" s="437"/>
      <c r="CR39" s="438"/>
      <c r="CS39" s="438"/>
      <c r="CT39" s="438"/>
      <c r="CU39" s="438"/>
      <c r="CV39" s="438"/>
      <c r="CW39" s="438"/>
      <c r="CX39" s="438"/>
      <c r="CY39" s="438"/>
      <c r="CZ39" s="438"/>
      <c r="DA39" s="438"/>
    </row>
    <row r="40" spans="1:105" ht="63.75">
      <c r="A40" s="424">
        <v>24</v>
      </c>
      <c r="B40" s="440" t="s">
        <v>75</v>
      </c>
      <c r="C40" s="425" t="s">
        <v>144</v>
      </c>
      <c r="D40" s="440" t="s">
        <v>77</v>
      </c>
      <c r="E40" s="445">
        <v>7506110694823</v>
      </c>
      <c r="F40" s="445" t="s">
        <v>154</v>
      </c>
      <c r="G40" s="421" t="s">
        <v>146</v>
      </c>
      <c r="H40" s="442" t="s">
        <v>60</v>
      </c>
      <c r="I40" s="423" t="s">
        <v>147</v>
      </c>
      <c r="J40" s="424" t="s">
        <v>62</v>
      </c>
      <c r="K40" s="425" t="s">
        <v>63</v>
      </c>
      <c r="L40" s="421">
        <v>1</v>
      </c>
      <c r="M40" s="426">
        <v>0.98</v>
      </c>
      <c r="N40" s="427" t="s">
        <v>64</v>
      </c>
      <c r="O40" s="427">
        <v>20000</v>
      </c>
      <c r="P40" s="428">
        <v>17.64</v>
      </c>
      <c r="Q40" s="428">
        <v>6.3503999999999996</v>
      </c>
      <c r="R40" s="428">
        <v>1.4034384</v>
      </c>
      <c r="S40" s="452">
        <v>25.3938384</v>
      </c>
      <c r="T40" s="429" t="s">
        <v>148</v>
      </c>
      <c r="U40" s="430">
        <v>179</v>
      </c>
      <c r="V40" s="428">
        <f t="shared" si="2"/>
        <v>92.58620689655173</v>
      </c>
      <c r="W40" s="431">
        <f t="shared" si="3"/>
        <v>0.27427237005586591</v>
      </c>
      <c r="X40" s="432">
        <f t="shared" si="4"/>
        <v>0.72572762994413409</v>
      </c>
      <c r="Y40" s="433">
        <v>0.4</v>
      </c>
      <c r="Z40" s="424" t="s">
        <v>66</v>
      </c>
      <c r="AA40" s="427" t="s">
        <v>99</v>
      </c>
      <c r="AB40" s="425"/>
      <c r="AC40" s="420" t="s">
        <v>149</v>
      </c>
      <c r="AD40" s="451">
        <v>46373</v>
      </c>
      <c r="BA40" s="424">
        <v>1</v>
      </c>
      <c r="BB40" s="420"/>
      <c r="BC40" s="420"/>
      <c r="BD40" s="420"/>
      <c r="BE40" s="420"/>
      <c r="BF40" s="420"/>
      <c r="BG40" s="420"/>
      <c r="BH40" s="420"/>
      <c r="BI40" s="420"/>
      <c r="BJ40" s="420">
        <v>9</v>
      </c>
      <c r="BK40" s="420">
        <f t="shared" si="0"/>
        <v>1</v>
      </c>
      <c r="BL40" s="434">
        <f t="shared" si="1"/>
        <v>0.1111111111111111</v>
      </c>
      <c r="BM40" s="435"/>
      <c r="BN40" s="435"/>
      <c r="BO40" s="435"/>
      <c r="BP40" s="435"/>
      <c r="BQ40" s="435"/>
      <c r="BR40" s="435"/>
      <c r="BS40" s="436" t="s">
        <v>149</v>
      </c>
      <c r="BT40" s="463">
        <f t="shared" si="5"/>
        <v>46373</v>
      </c>
      <c r="BU40" s="463"/>
      <c r="BV40" s="436" t="s">
        <v>150</v>
      </c>
      <c r="CJ40" s="436"/>
      <c r="CK40" s="436"/>
      <c r="CL40" s="436"/>
      <c r="CM40" s="436"/>
      <c r="CN40" s="436"/>
      <c r="CO40" s="436"/>
      <c r="CP40" s="437"/>
      <c r="CQ40" s="437"/>
      <c r="CR40" s="438"/>
      <c r="CS40" s="438"/>
      <c r="CT40" s="438"/>
      <c r="CU40" s="438"/>
      <c r="CV40" s="438"/>
      <c r="CW40" s="438"/>
      <c r="CX40" s="438"/>
      <c r="CY40" s="438"/>
      <c r="CZ40" s="438"/>
      <c r="DA40" s="438"/>
    </row>
    <row r="41" spans="1:105" ht="38.25">
      <c r="A41" s="424">
        <v>25</v>
      </c>
      <c r="B41" s="440" t="s">
        <v>75</v>
      </c>
      <c r="C41" s="425" t="s">
        <v>144</v>
      </c>
      <c r="D41" s="440" t="s">
        <v>77</v>
      </c>
      <c r="E41" s="445">
        <v>7506110694830</v>
      </c>
      <c r="F41" s="420" t="s">
        <v>155</v>
      </c>
      <c r="G41" s="421" t="s">
        <v>156</v>
      </c>
      <c r="H41" s="442" t="s">
        <v>60</v>
      </c>
      <c r="I41" s="423"/>
      <c r="J41" s="424" t="s">
        <v>62</v>
      </c>
      <c r="K41" s="425" t="s">
        <v>63</v>
      </c>
      <c r="L41" s="421">
        <v>1</v>
      </c>
      <c r="M41" s="426"/>
      <c r="N41" s="427" t="s">
        <v>64</v>
      </c>
      <c r="O41" s="427">
        <v>10000</v>
      </c>
      <c r="P41" s="428">
        <v>0</v>
      </c>
      <c r="Q41" s="428">
        <v>0</v>
      </c>
      <c r="R41" s="428">
        <v>0</v>
      </c>
      <c r="S41" s="452">
        <v>25.39</v>
      </c>
      <c r="T41" s="429" t="s">
        <v>157</v>
      </c>
      <c r="U41" s="430">
        <v>179</v>
      </c>
      <c r="V41" s="428">
        <f t="shared" si="2"/>
        <v>92.58620689655173</v>
      </c>
      <c r="W41" s="431">
        <f t="shared" si="3"/>
        <v>0.27423091247672254</v>
      </c>
      <c r="X41" s="432">
        <f t="shared" si="4"/>
        <v>0.7257690875232774</v>
      </c>
      <c r="Y41" s="433">
        <v>0.4</v>
      </c>
      <c r="Z41" s="424" t="s">
        <v>66</v>
      </c>
      <c r="AA41" s="427" t="s">
        <v>99</v>
      </c>
      <c r="AB41" s="425"/>
      <c r="AC41" s="420" t="s">
        <v>149</v>
      </c>
      <c r="AD41" s="451">
        <v>46327</v>
      </c>
      <c r="BA41" s="424">
        <v>1</v>
      </c>
      <c r="BB41" s="441"/>
      <c r="BC41" s="441"/>
      <c r="BD41" s="441"/>
      <c r="BE41" s="441"/>
      <c r="BF41" s="441"/>
      <c r="BG41" s="441"/>
      <c r="BH41" s="441"/>
      <c r="BI41" s="441"/>
      <c r="BJ41" s="420">
        <v>9</v>
      </c>
      <c r="BK41" s="420">
        <f t="shared" si="0"/>
        <v>1</v>
      </c>
      <c r="BL41" s="434">
        <f t="shared" si="1"/>
        <v>0.1111111111111111</v>
      </c>
      <c r="BM41" s="435"/>
      <c r="BN41" s="435"/>
      <c r="BO41" s="435"/>
      <c r="BP41" s="435"/>
      <c r="BQ41" s="435"/>
      <c r="BR41" s="435"/>
      <c r="BS41" s="436" t="s">
        <v>149</v>
      </c>
      <c r="BT41" s="463">
        <f t="shared" si="5"/>
        <v>46327</v>
      </c>
      <c r="BU41" s="463"/>
      <c r="BV41" s="436" t="s">
        <v>109</v>
      </c>
      <c r="CJ41" s="436"/>
      <c r="CK41" s="436"/>
      <c r="CL41" s="436"/>
      <c r="CM41" s="436"/>
      <c r="CN41" s="436"/>
      <c r="CO41" s="436"/>
      <c r="CP41" s="437"/>
      <c r="CQ41" s="437"/>
      <c r="CR41" s="438"/>
      <c r="CS41" s="438"/>
      <c r="CT41" s="438"/>
      <c r="CU41" s="438"/>
      <c r="CV41" s="438"/>
      <c r="CW41" s="438"/>
      <c r="CX41" s="438"/>
      <c r="CY41" s="438"/>
      <c r="CZ41" s="438"/>
      <c r="DA41" s="438"/>
    </row>
    <row r="42" spans="1:105" ht="33">
      <c r="A42" s="424">
        <v>26</v>
      </c>
      <c r="B42" s="440" t="s">
        <v>75</v>
      </c>
      <c r="C42" s="425" t="s">
        <v>144</v>
      </c>
      <c r="D42" s="440" t="s">
        <v>77</v>
      </c>
      <c r="E42" s="445"/>
      <c r="F42" s="420" t="s">
        <v>158</v>
      </c>
      <c r="G42" s="421" t="s">
        <v>156</v>
      </c>
      <c r="H42" s="442" t="s">
        <v>60</v>
      </c>
      <c r="I42" s="423"/>
      <c r="J42" s="424" t="s">
        <v>62</v>
      </c>
      <c r="K42" s="425" t="s">
        <v>63</v>
      </c>
      <c r="L42" s="421">
        <v>1</v>
      </c>
      <c r="M42" s="426"/>
      <c r="N42" s="427" t="s">
        <v>64</v>
      </c>
      <c r="O42" s="427">
        <v>10000</v>
      </c>
      <c r="P42" s="428">
        <v>0</v>
      </c>
      <c r="Q42" s="428">
        <v>0</v>
      </c>
      <c r="R42" s="428">
        <v>0</v>
      </c>
      <c r="S42" s="452">
        <v>25.39</v>
      </c>
      <c r="T42" s="429"/>
      <c r="U42" s="430">
        <v>179</v>
      </c>
      <c r="V42" s="428">
        <f t="shared" si="2"/>
        <v>92.58620689655173</v>
      </c>
      <c r="W42" s="431">
        <f t="shared" si="3"/>
        <v>0.27423091247672254</v>
      </c>
      <c r="X42" s="432">
        <f t="shared" si="4"/>
        <v>0.7257690875232774</v>
      </c>
      <c r="Y42" s="433">
        <v>0.4</v>
      </c>
      <c r="Z42" s="424"/>
      <c r="AA42" s="427"/>
      <c r="AB42" s="425"/>
      <c r="AC42" s="420" t="s">
        <v>149</v>
      </c>
      <c r="AD42" s="451">
        <v>46327</v>
      </c>
      <c r="BA42" s="424">
        <v>1</v>
      </c>
      <c r="BB42" s="441"/>
      <c r="BC42" s="441"/>
      <c r="BD42" s="441"/>
      <c r="BE42" s="441"/>
      <c r="BF42" s="441"/>
      <c r="BG42" s="441"/>
      <c r="BH42" s="441"/>
      <c r="BI42" s="441"/>
      <c r="BJ42" s="420">
        <v>9</v>
      </c>
      <c r="BK42" s="420">
        <f t="shared" si="0"/>
        <v>1</v>
      </c>
      <c r="BL42" s="434">
        <f t="shared" si="1"/>
        <v>0.1111111111111111</v>
      </c>
      <c r="BM42" s="435"/>
      <c r="BN42" s="435"/>
      <c r="BO42" s="435"/>
      <c r="BP42" s="435"/>
      <c r="BQ42" s="435"/>
      <c r="BR42" s="435"/>
      <c r="BS42" s="436" t="s">
        <v>149</v>
      </c>
      <c r="BT42" s="463">
        <f t="shared" si="5"/>
        <v>46327</v>
      </c>
      <c r="BU42" s="463"/>
      <c r="BV42" s="436" t="s">
        <v>109</v>
      </c>
      <c r="CJ42" s="436"/>
      <c r="CK42" s="436"/>
      <c r="CL42" s="436"/>
      <c r="CM42" s="436"/>
      <c r="CN42" s="436"/>
      <c r="CO42" s="436"/>
      <c r="CP42" s="437"/>
      <c r="CQ42" s="437"/>
      <c r="CR42" s="438"/>
      <c r="CS42" s="438"/>
      <c r="CT42" s="438"/>
      <c r="CU42" s="438"/>
      <c r="CV42" s="438"/>
      <c r="CW42" s="438"/>
      <c r="CX42" s="438"/>
      <c r="CY42" s="438"/>
      <c r="CZ42" s="438"/>
      <c r="DA42" s="438"/>
    </row>
    <row r="43" spans="1:105" ht="33">
      <c r="A43" s="424">
        <v>28</v>
      </c>
      <c r="B43" s="440" t="s">
        <v>75</v>
      </c>
      <c r="C43" s="441" t="s">
        <v>159</v>
      </c>
      <c r="D43" s="440" t="s">
        <v>77</v>
      </c>
      <c r="E43" s="445"/>
      <c r="F43" s="445" t="s">
        <v>160</v>
      </c>
      <c r="G43" s="421" t="s">
        <v>161</v>
      </c>
      <c r="H43" s="442" t="s">
        <v>60</v>
      </c>
      <c r="I43" s="423" t="s">
        <v>162</v>
      </c>
      <c r="J43" s="424" t="s">
        <v>62</v>
      </c>
      <c r="K43" s="425" t="s">
        <v>63</v>
      </c>
      <c r="L43" s="421">
        <v>1</v>
      </c>
      <c r="M43" s="453"/>
      <c r="N43" s="427" t="s">
        <v>64</v>
      </c>
      <c r="O43" s="427">
        <v>20000</v>
      </c>
      <c r="P43" s="428">
        <v>0</v>
      </c>
      <c r="Q43" s="428"/>
      <c r="R43" s="428"/>
      <c r="S43" s="428">
        <v>271.11</v>
      </c>
      <c r="T43" s="428"/>
      <c r="U43" s="430">
        <v>1499</v>
      </c>
      <c r="V43" s="428">
        <f t="shared" si="2"/>
        <v>775.34482758620686</v>
      </c>
      <c r="W43" s="431">
        <f t="shared" si="3"/>
        <v>0.34966377585056707</v>
      </c>
      <c r="X43" s="432">
        <f t="shared" si="4"/>
        <v>0.65033622414943293</v>
      </c>
      <c r="Y43" s="433">
        <v>0.4</v>
      </c>
      <c r="Z43" s="424" t="s">
        <v>66</v>
      </c>
      <c r="AA43" s="427" t="s">
        <v>99</v>
      </c>
      <c r="AB43" s="425"/>
      <c r="AC43" s="454" t="s">
        <v>163</v>
      </c>
      <c r="AD43" s="455">
        <v>46327</v>
      </c>
      <c r="BA43" s="424">
        <v>1</v>
      </c>
      <c r="BB43" s="424"/>
      <c r="BC43" s="424"/>
      <c r="BD43" s="424"/>
      <c r="BE43" s="424"/>
      <c r="BF43" s="424"/>
      <c r="BG43" s="424"/>
      <c r="BH43" s="424"/>
      <c r="BI43" s="424"/>
      <c r="BJ43" s="420">
        <v>9</v>
      </c>
      <c r="BK43" s="420">
        <f t="shared" si="0"/>
        <v>1</v>
      </c>
      <c r="BL43" s="434">
        <f t="shared" si="1"/>
        <v>0.1111111111111111</v>
      </c>
      <c r="BM43" s="435"/>
      <c r="BN43" s="435"/>
      <c r="BO43" s="435"/>
      <c r="BP43" s="435"/>
      <c r="BQ43" s="435"/>
      <c r="BR43" s="435"/>
      <c r="BS43" s="436" t="s">
        <v>164</v>
      </c>
      <c r="BT43" s="463">
        <f t="shared" si="5"/>
        <v>46327</v>
      </c>
      <c r="BU43" s="463"/>
      <c r="BV43" s="436" t="s">
        <v>109</v>
      </c>
      <c r="CJ43" s="436"/>
      <c r="CK43" s="436"/>
      <c r="CL43" s="436"/>
      <c r="CM43" s="436"/>
      <c r="CN43" s="436"/>
      <c r="CO43" s="436"/>
      <c r="CP43" s="437"/>
      <c r="CQ43" s="437"/>
      <c r="CR43" s="438"/>
      <c r="CS43" s="438"/>
      <c r="CT43" s="438"/>
      <c r="CU43" s="438"/>
      <c r="CV43" s="438"/>
      <c r="CW43" s="438"/>
      <c r="CX43" s="438"/>
      <c r="CY43" s="438"/>
      <c r="CZ43" s="438"/>
      <c r="DA43" s="438"/>
    </row>
    <row r="44" spans="1:105" ht="128.25">
      <c r="A44" s="424">
        <v>29</v>
      </c>
      <c r="B44" s="440" t="s">
        <v>75</v>
      </c>
      <c r="C44" s="425" t="s">
        <v>165</v>
      </c>
      <c r="D44" s="440" t="s">
        <v>77</v>
      </c>
      <c r="E44" s="445"/>
      <c r="F44" s="420" t="s">
        <v>166</v>
      </c>
      <c r="G44" s="421" t="s">
        <v>167</v>
      </c>
      <c r="H44" s="442" t="s">
        <v>60</v>
      </c>
      <c r="I44" s="423" t="s">
        <v>168</v>
      </c>
      <c r="J44" s="424" t="s">
        <v>62</v>
      </c>
      <c r="K44" s="425" t="s">
        <v>63</v>
      </c>
      <c r="L44" s="421">
        <v>1</v>
      </c>
      <c r="M44" s="426">
        <v>0.59</v>
      </c>
      <c r="N44" s="427" t="s">
        <v>64</v>
      </c>
      <c r="O44" s="427">
        <v>12000</v>
      </c>
      <c r="P44" s="428">
        <v>10.62</v>
      </c>
      <c r="Q44" s="428">
        <v>2.6549999999999998</v>
      </c>
      <c r="R44" s="428">
        <v>1.19475</v>
      </c>
      <c r="S44" s="428">
        <v>14.469749999999999</v>
      </c>
      <c r="T44" s="429" t="s">
        <v>169</v>
      </c>
      <c r="U44" s="430">
        <v>149</v>
      </c>
      <c r="V44" s="428">
        <f t="shared" si="2"/>
        <v>77.068965517241381</v>
      </c>
      <c r="W44" s="431">
        <f t="shared" si="3"/>
        <v>0.18775067114093957</v>
      </c>
      <c r="X44" s="432">
        <f t="shared" si="4"/>
        <v>0.81224932885906043</v>
      </c>
      <c r="Y44" s="433">
        <v>0.4</v>
      </c>
      <c r="Z44" s="424" t="s">
        <v>66</v>
      </c>
      <c r="AA44" s="427" t="s">
        <v>67</v>
      </c>
      <c r="AB44" s="425"/>
      <c r="AC44" s="420" t="s">
        <v>170</v>
      </c>
      <c r="AD44" s="420" t="s">
        <v>171</v>
      </c>
      <c r="BA44" s="424">
        <v>1</v>
      </c>
      <c r="BB44" s="420"/>
      <c r="BC44" s="420"/>
      <c r="BD44" s="420">
        <v>1</v>
      </c>
      <c r="BE44" s="420"/>
      <c r="BF44" s="420"/>
      <c r="BG44" s="420"/>
      <c r="BH44" s="420"/>
      <c r="BI44" s="420"/>
      <c r="BJ44" s="420">
        <v>9</v>
      </c>
      <c r="BK44" s="420">
        <f t="shared" si="0"/>
        <v>2</v>
      </c>
      <c r="BL44" s="434">
        <f t="shared" si="1"/>
        <v>0.22222222222222221</v>
      </c>
      <c r="BM44" s="435"/>
      <c r="BN44" s="435"/>
      <c r="BO44" s="435"/>
      <c r="BP44" s="435"/>
      <c r="BQ44" s="435"/>
      <c r="BR44" s="435"/>
      <c r="BS44" s="436" t="s">
        <v>164</v>
      </c>
      <c r="BT44" s="463" t="str">
        <f t="shared" si="5"/>
        <v>Calendario de Adviento</v>
      </c>
      <c r="BU44" s="463"/>
      <c r="BV44" s="464"/>
      <c r="CJ44" s="436"/>
      <c r="CK44" s="436"/>
      <c r="CL44" s="436"/>
      <c r="CM44" s="436"/>
      <c r="CN44" s="436"/>
      <c r="CO44" s="436"/>
      <c r="CP44" s="437"/>
      <c r="CQ44" s="437"/>
      <c r="CR44" s="456"/>
      <c r="CS44" s="456"/>
      <c r="CT44" s="456"/>
      <c r="CU44" s="456"/>
      <c r="CV44" s="456"/>
      <c r="CW44" s="456"/>
      <c r="CX44" s="456"/>
      <c r="CY44" s="456"/>
      <c r="CZ44" s="456"/>
      <c r="DA44" s="456"/>
    </row>
    <row r="45" spans="1:105" ht="22.5">
      <c r="A45" s="424"/>
      <c r="B45" s="440"/>
      <c r="C45" s="425" t="s">
        <v>172</v>
      </c>
      <c r="D45" s="440" t="s">
        <v>77</v>
      </c>
      <c r="E45" s="445"/>
      <c r="F45" s="420" t="s">
        <v>166</v>
      </c>
      <c r="G45" s="421" t="s">
        <v>167</v>
      </c>
      <c r="H45" s="442" t="s">
        <v>60</v>
      </c>
      <c r="I45" s="423" t="s">
        <v>168</v>
      </c>
      <c r="J45" s="424" t="s">
        <v>62</v>
      </c>
      <c r="K45" s="425" t="s">
        <v>63</v>
      </c>
      <c r="L45" s="421">
        <v>1</v>
      </c>
      <c r="M45" s="426"/>
      <c r="N45" s="427" t="s">
        <v>64</v>
      </c>
      <c r="O45" s="427">
        <v>12000</v>
      </c>
      <c r="P45" s="428">
        <v>10.62</v>
      </c>
      <c r="Q45" s="428">
        <v>2.6549999999999998</v>
      </c>
      <c r="R45" s="428">
        <v>1.19475</v>
      </c>
      <c r="S45" s="428">
        <v>14.469749999999999</v>
      </c>
      <c r="T45" s="429"/>
      <c r="U45" s="430"/>
      <c r="V45" s="428">
        <f t="shared" ref="V45" si="6">(U45/1.16)*0.6</f>
        <v>0</v>
      </c>
      <c r="W45" s="431" t="e">
        <f t="shared" ref="W45" si="7">+S45/V45</f>
        <v>#DIV/0!</v>
      </c>
      <c r="X45" s="432" t="e">
        <f t="shared" ref="X45" si="8">1-(S45/V45)</f>
        <v>#DIV/0!</v>
      </c>
      <c r="Y45" s="433">
        <v>0.4</v>
      </c>
      <c r="Z45" s="424" t="s">
        <v>66</v>
      </c>
      <c r="AA45" s="427" t="s">
        <v>67</v>
      </c>
      <c r="AB45" s="425"/>
      <c r="AC45" s="420" t="s">
        <v>173</v>
      </c>
      <c r="AD45" s="420" t="s">
        <v>174</v>
      </c>
      <c r="BA45" s="424"/>
      <c r="BB45" s="420"/>
      <c r="BC45" s="420"/>
      <c r="BD45" s="420"/>
      <c r="BE45" s="420"/>
      <c r="BF45" s="420"/>
      <c r="BG45" s="420"/>
      <c r="BH45" s="420"/>
      <c r="BI45" s="420"/>
      <c r="BJ45" s="420"/>
      <c r="BK45" s="420"/>
      <c r="BL45" s="434"/>
      <c r="BM45" s="435"/>
      <c r="BN45" s="435"/>
      <c r="BO45" s="435"/>
      <c r="BP45" s="435"/>
      <c r="BQ45" s="435"/>
      <c r="BR45" s="435"/>
      <c r="BS45" s="436" t="s">
        <v>175</v>
      </c>
      <c r="BT45" s="463" t="str">
        <f>+AD45</f>
        <v>Septiembre</v>
      </c>
      <c r="BU45" s="463"/>
      <c r="BV45" s="436"/>
      <c r="CJ45" s="436"/>
      <c r="CK45" s="436"/>
      <c r="CL45" s="436"/>
      <c r="CM45" s="436"/>
      <c r="CN45" s="436"/>
      <c r="CO45" s="436"/>
      <c r="CP45" s="437"/>
      <c r="CQ45" s="437"/>
      <c r="CR45" s="438"/>
      <c r="CS45" s="438"/>
      <c r="CT45" s="438"/>
      <c r="CU45" s="438"/>
      <c r="CV45" s="438"/>
      <c r="CW45" s="438"/>
      <c r="CX45" s="438"/>
      <c r="CY45" s="438"/>
      <c r="CZ45" s="438"/>
      <c r="DA45" s="438"/>
    </row>
    <row r="46" spans="1:105" ht="51">
      <c r="A46" s="424">
        <v>33</v>
      </c>
      <c r="B46" s="440" t="s">
        <v>75</v>
      </c>
      <c r="C46" s="441" t="s">
        <v>176</v>
      </c>
      <c r="D46" s="440"/>
      <c r="E46" s="420"/>
      <c r="F46" s="420" t="s">
        <v>177</v>
      </c>
      <c r="G46" s="421" t="s">
        <v>178</v>
      </c>
      <c r="H46" s="457" t="s">
        <v>60</v>
      </c>
      <c r="I46" s="423" t="s">
        <v>80</v>
      </c>
      <c r="J46" s="424" t="s">
        <v>62</v>
      </c>
      <c r="K46" s="425" t="s">
        <v>63</v>
      </c>
      <c r="L46" s="421">
        <v>1</v>
      </c>
      <c r="M46" s="450"/>
      <c r="N46" s="427" t="s">
        <v>81</v>
      </c>
      <c r="O46" s="427">
        <v>20000</v>
      </c>
      <c r="P46" s="428">
        <v>0</v>
      </c>
      <c r="Q46" s="428"/>
      <c r="R46" s="428"/>
      <c r="S46" s="428">
        <v>0</v>
      </c>
      <c r="T46" s="429" t="s">
        <v>179</v>
      </c>
      <c r="U46" s="430">
        <v>189</v>
      </c>
      <c r="V46" s="428">
        <f t="shared" si="2"/>
        <v>97.758620689655174</v>
      </c>
      <c r="W46" s="431">
        <f t="shared" si="3"/>
        <v>0</v>
      </c>
      <c r="X46" s="432">
        <f t="shared" si="4"/>
        <v>1</v>
      </c>
      <c r="Y46" s="433">
        <v>0.4</v>
      </c>
      <c r="Z46" s="424" t="s">
        <v>66</v>
      </c>
      <c r="AA46" s="427" t="s">
        <v>99</v>
      </c>
      <c r="AB46" s="425"/>
      <c r="AC46" s="420" t="s">
        <v>180</v>
      </c>
      <c r="AD46" s="420"/>
      <c r="BA46" s="424">
        <v>1</v>
      </c>
      <c r="BB46" s="420"/>
      <c r="BC46" s="420"/>
      <c r="BD46" s="420"/>
      <c r="BE46" s="420"/>
      <c r="BF46" s="420"/>
      <c r="BG46" s="420"/>
      <c r="BH46" s="420"/>
      <c r="BI46" s="420"/>
      <c r="BJ46" s="420">
        <v>8</v>
      </c>
      <c r="BK46" s="420">
        <f t="shared" ref="BK46:BK68" si="9">SUM(BA46:BI46)</f>
        <v>1</v>
      </c>
      <c r="BL46" s="434">
        <f t="shared" ref="BL46:BL68" si="10">+BK46/BJ46</f>
        <v>0.125</v>
      </c>
      <c r="BM46" s="435"/>
      <c r="BN46" s="435"/>
      <c r="BO46" s="435"/>
      <c r="BP46" s="435"/>
      <c r="BQ46" s="435"/>
      <c r="BR46" s="435"/>
      <c r="BS46" s="436" t="s">
        <v>181</v>
      </c>
      <c r="BT46" s="463">
        <f t="shared" si="5"/>
        <v>0</v>
      </c>
      <c r="BU46" s="463"/>
      <c r="BV46" s="436" t="s">
        <v>150</v>
      </c>
      <c r="CJ46" s="436"/>
      <c r="CK46" s="436"/>
      <c r="CL46" s="436"/>
      <c r="CM46" s="436"/>
      <c r="CN46" s="436"/>
      <c r="CO46" s="436"/>
      <c r="CP46" s="437"/>
      <c r="CQ46" s="437"/>
      <c r="CR46" s="438"/>
      <c r="CS46" s="438"/>
      <c r="CT46" s="438"/>
      <c r="CU46" s="438"/>
      <c r="CV46" s="438"/>
      <c r="CW46" s="438"/>
      <c r="CX46" s="438"/>
      <c r="CY46" s="438"/>
      <c r="CZ46" s="438"/>
      <c r="DA46" s="438"/>
    </row>
    <row r="47" spans="1:105" ht="89.25">
      <c r="A47" s="424">
        <v>34</v>
      </c>
      <c r="B47" s="440" t="s">
        <v>75</v>
      </c>
      <c r="C47" s="441" t="s">
        <v>176</v>
      </c>
      <c r="D47" s="440"/>
      <c r="E47" s="445">
        <v>7506110691594</v>
      </c>
      <c r="F47" s="420" t="s">
        <v>182</v>
      </c>
      <c r="G47" s="421" t="s">
        <v>183</v>
      </c>
      <c r="H47" s="442" t="s">
        <v>60</v>
      </c>
      <c r="I47" s="423" t="s">
        <v>184</v>
      </c>
      <c r="J47" s="424" t="s">
        <v>62</v>
      </c>
      <c r="K47" s="425" t="s">
        <v>63</v>
      </c>
      <c r="L47" s="421">
        <v>1</v>
      </c>
      <c r="M47" s="450"/>
      <c r="N47" s="427" t="s">
        <v>64</v>
      </c>
      <c r="O47" s="427">
        <v>20000</v>
      </c>
      <c r="P47" s="428">
        <v>0</v>
      </c>
      <c r="Q47" s="428"/>
      <c r="R47" s="428">
        <v>0</v>
      </c>
      <c r="S47" s="428">
        <v>0</v>
      </c>
      <c r="T47" s="429" t="s">
        <v>185</v>
      </c>
      <c r="U47" s="430">
        <v>899</v>
      </c>
      <c r="V47" s="428">
        <f t="shared" si="2"/>
        <v>465</v>
      </c>
      <c r="W47" s="431">
        <f t="shared" si="3"/>
        <v>0</v>
      </c>
      <c r="X47" s="432">
        <f t="shared" si="4"/>
        <v>1</v>
      </c>
      <c r="Y47" s="433">
        <v>0.4</v>
      </c>
      <c r="Z47" s="424" t="s">
        <v>66</v>
      </c>
      <c r="AA47" s="427" t="s">
        <v>99</v>
      </c>
      <c r="AB47" s="425"/>
      <c r="AC47" s="420"/>
      <c r="AD47" s="420"/>
      <c r="BA47" s="424">
        <v>1</v>
      </c>
      <c r="BB47" s="420"/>
      <c r="BC47" s="420"/>
      <c r="BD47" s="420"/>
      <c r="BE47" s="420"/>
      <c r="BF47" s="420"/>
      <c r="BG47" s="420"/>
      <c r="BH47" s="420"/>
      <c r="BI47" s="420"/>
      <c r="BJ47" s="420">
        <v>8</v>
      </c>
      <c r="BK47" s="420">
        <f t="shared" si="9"/>
        <v>1</v>
      </c>
      <c r="BL47" s="434">
        <f t="shared" si="10"/>
        <v>0.125</v>
      </c>
      <c r="BM47" s="435"/>
      <c r="BN47" s="435"/>
      <c r="BO47" s="435"/>
      <c r="BP47" s="435"/>
      <c r="BQ47" s="435"/>
      <c r="BR47" s="435"/>
      <c r="BS47" s="436" t="s">
        <v>186</v>
      </c>
      <c r="BT47" s="463">
        <f t="shared" si="5"/>
        <v>0</v>
      </c>
      <c r="BU47" s="463"/>
      <c r="BV47" s="436" t="s">
        <v>109</v>
      </c>
      <c r="CJ47" s="436"/>
      <c r="CK47" s="436"/>
      <c r="CL47" s="436"/>
      <c r="CM47" s="436"/>
      <c r="CN47" s="436"/>
      <c r="CO47" s="436"/>
      <c r="CP47" s="437"/>
      <c r="CQ47" s="437"/>
      <c r="CR47" s="438"/>
      <c r="CS47" s="438"/>
      <c r="CT47" s="438"/>
      <c r="CU47" s="438"/>
      <c r="CV47" s="438"/>
      <c r="CW47" s="438"/>
      <c r="CX47" s="438"/>
      <c r="CY47" s="438"/>
      <c r="CZ47" s="438"/>
      <c r="DA47" s="438"/>
    </row>
    <row r="48" spans="1:105" ht="76.5">
      <c r="A48" s="424">
        <v>35</v>
      </c>
      <c r="B48" s="440" t="s">
        <v>75</v>
      </c>
      <c r="C48" s="441" t="s">
        <v>176</v>
      </c>
      <c r="D48" s="440"/>
      <c r="E48" s="445">
        <v>7506110691600</v>
      </c>
      <c r="F48" s="420" t="s">
        <v>187</v>
      </c>
      <c r="G48" s="421" t="s">
        <v>188</v>
      </c>
      <c r="H48" s="442" t="s">
        <v>60</v>
      </c>
      <c r="I48" s="423" t="s">
        <v>189</v>
      </c>
      <c r="J48" s="424" t="s">
        <v>62</v>
      </c>
      <c r="K48" s="425" t="s">
        <v>63</v>
      </c>
      <c r="L48" s="421">
        <v>1</v>
      </c>
      <c r="M48" s="450"/>
      <c r="N48" s="427" t="s">
        <v>64</v>
      </c>
      <c r="O48" s="427">
        <v>20000</v>
      </c>
      <c r="P48" s="428">
        <v>0</v>
      </c>
      <c r="Q48" s="428"/>
      <c r="R48" s="428">
        <v>0</v>
      </c>
      <c r="S48" s="428">
        <v>0</v>
      </c>
      <c r="T48" s="429" t="s">
        <v>190</v>
      </c>
      <c r="U48" s="430">
        <v>399</v>
      </c>
      <c r="V48" s="428">
        <f t="shared" si="2"/>
        <v>206.37931034482762</v>
      </c>
      <c r="W48" s="431">
        <f t="shared" si="3"/>
        <v>0</v>
      </c>
      <c r="X48" s="432">
        <f t="shared" si="4"/>
        <v>1</v>
      </c>
      <c r="Y48" s="433">
        <v>0.4</v>
      </c>
      <c r="Z48" s="424" t="s">
        <v>66</v>
      </c>
      <c r="AA48" s="427" t="s">
        <v>99</v>
      </c>
      <c r="AB48" s="425"/>
      <c r="AC48" s="420" t="s">
        <v>191</v>
      </c>
      <c r="AD48" s="420"/>
      <c r="BA48" s="424">
        <v>1</v>
      </c>
      <c r="BB48" s="420"/>
      <c r="BC48" s="420"/>
      <c r="BD48" s="420"/>
      <c r="BE48" s="420"/>
      <c r="BF48" s="420"/>
      <c r="BG48" s="420"/>
      <c r="BH48" s="420"/>
      <c r="BI48" s="420"/>
      <c r="BJ48" s="420">
        <v>8</v>
      </c>
      <c r="BK48" s="420">
        <f t="shared" si="9"/>
        <v>1</v>
      </c>
      <c r="BL48" s="434">
        <f t="shared" si="10"/>
        <v>0.125</v>
      </c>
      <c r="BM48" s="435"/>
      <c r="BN48" s="435"/>
      <c r="BO48" s="435"/>
      <c r="BP48" s="435"/>
      <c r="BQ48" s="435"/>
      <c r="BR48" s="435"/>
      <c r="BS48" s="436" t="s">
        <v>191</v>
      </c>
      <c r="BT48" s="463">
        <f t="shared" si="5"/>
        <v>0</v>
      </c>
      <c r="BU48" s="463"/>
      <c r="BV48" s="436"/>
      <c r="CJ48" s="436"/>
      <c r="CK48" s="436"/>
      <c r="CL48" s="436"/>
      <c r="CM48" s="436"/>
      <c r="CN48" s="436"/>
      <c r="CO48" s="436"/>
      <c r="CP48" s="437"/>
      <c r="CQ48" s="437"/>
      <c r="CR48" s="438"/>
      <c r="CS48" s="438"/>
      <c r="CT48" s="438"/>
      <c r="CU48" s="438"/>
      <c r="CV48" s="438"/>
      <c r="CW48" s="438"/>
      <c r="CX48" s="438"/>
      <c r="CY48" s="438"/>
      <c r="CZ48" s="438"/>
      <c r="DA48" s="438"/>
    </row>
    <row r="49" spans="1:105" ht="63.75">
      <c r="A49" s="424">
        <v>36</v>
      </c>
      <c r="B49" s="440" t="s">
        <v>75</v>
      </c>
      <c r="C49" s="441" t="s">
        <v>176</v>
      </c>
      <c r="D49" s="440"/>
      <c r="E49" s="420"/>
      <c r="F49" s="420" t="s">
        <v>192</v>
      </c>
      <c r="G49" s="421" t="s">
        <v>193</v>
      </c>
      <c r="H49" s="442" t="s">
        <v>60</v>
      </c>
      <c r="I49" s="448" t="s">
        <v>194</v>
      </c>
      <c r="J49" s="424" t="s">
        <v>62</v>
      </c>
      <c r="K49" s="425" t="s">
        <v>63</v>
      </c>
      <c r="L49" s="421">
        <v>1</v>
      </c>
      <c r="M49" s="453"/>
      <c r="N49" s="427" t="s">
        <v>81</v>
      </c>
      <c r="O49" s="427">
        <v>10000</v>
      </c>
      <c r="P49" s="428">
        <v>15.99</v>
      </c>
      <c r="Q49" s="428"/>
      <c r="R49" s="428"/>
      <c r="S49" s="428">
        <v>15.99</v>
      </c>
      <c r="T49" s="429" t="s">
        <v>195</v>
      </c>
      <c r="U49" s="430">
        <v>199</v>
      </c>
      <c r="V49" s="428">
        <f t="shared" si="2"/>
        <v>102.93103448275862</v>
      </c>
      <c r="W49" s="431">
        <f t="shared" si="3"/>
        <v>0.1553467336683417</v>
      </c>
      <c r="X49" s="432">
        <f t="shared" si="4"/>
        <v>0.84465326633165827</v>
      </c>
      <c r="Y49" s="433">
        <v>0.4</v>
      </c>
      <c r="Z49" s="424"/>
      <c r="AA49" s="449"/>
      <c r="AB49" s="421"/>
      <c r="AC49" s="421" t="s">
        <v>196</v>
      </c>
      <c r="AD49" s="421"/>
      <c r="BA49" s="424">
        <v>1</v>
      </c>
      <c r="BB49" s="424"/>
      <c r="BC49" s="424"/>
      <c r="BD49" s="424"/>
      <c r="BE49" s="424"/>
      <c r="BF49" s="424"/>
      <c r="BG49" s="424"/>
      <c r="BH49" s="424"/>
      <c r="BI49" s="424"/>
      <c r="BJ49" s="420">
        <v>8</v>
      </c>
      <c r="BK49" s="420">
        <f t="shared" si="9"/>
        <v>1</v>
      </c>
      <c r="BL49" s="434">
        <f t="shared" si="10"/>
        <v>0.125</v>
      </c>
      <c r="BM49" s="435"/>
      <c r="BN49" s="435"/>
      <c r="BO49" s="435"/>
      <c r="BP49" s="435"/>
      <c r="BQ49" s="435"/>
      <c r="BR49" s="435"/>
      <c r="BS49" s="436" t="s">
        <v>196</v>
      </c>
      <c r="BT49" s="463">
        <f t="shared" si="5"/>
        <v>0</v>
      </c>
      <c r="BU49" s="463"/>
      <c r="BV49" s="436" t="s">
        <v>109</v>
      </c>
      <c r="CJ49" s="436"/>
      <c r="CK49" s="436"/>
      <c r="CL49" s="436"/>
      <c r="CM49" s="436"/>
      <c r="CN49" s="436"/>
      <c r="CO49" s="436"/>
      <c r="CP49" s="437"/>
      <c r="CQ49" s="437"/>
      <c r="CR49" s="438"/>
      <c r="CS49" s="438"/>
      <c r="CT49" s="438"/>
      <c r="CU49" s="438"/>
      <c r="CV49" s="438"/>
      <c r="CW49" s="438"/>
      <c r="CX49" s="438"/>
      <c r="CY49" s="438"/>
      <c r="CZ49" s="438"/>
      <c r="DA49" s="438"/>
    </row>
    <row r="50" spans="1:105" ht="63.75">
      <c r="A50" s="424">
        <v>37</v>
      </c>
      <c r="B50" s="440" t="s">
        <v>75</v>
      </c>
      <c r="C50" s="441" t="s">
        <v>176</v>
      </c>
      <c r="D50" s="440"/>
      <c r="E50" s="420"/>
      <c r="F50" s="420" t="s">
        <v>197</v>
      </c>
      <c r="G50" s="421" t="s">
        <v>198</v>
      </c>
      <c r="H50" s="442" t="s">
        <v>60</v>
      </c>
      <c r="I50" s="448" t="s">
        <v>194</v>
      </c>
      <c r="J50" s="424" t="s">
        <v>62</v>
      </c>
      <c r="K50" s="425" t="s">
        <v>63</v>
      </c>
      <c r="L50" s="421">
        <v>1</v>
      </c>
      <c r="M50" s="453"/>
      <c r="N50" s="427" t="s">
        <v>81</v>
      </c>
      <c r="O50" s="427">
        <v>10000</v>
      </c>
      <c r="P50" s="428">
        <v>15.99</v>
      </c>
      <c r="Q50" s="428"/>
      <c r="R50" s="428"/>
      <c r="S50" s="428">
        <v>15.99</v>
      </c>
      <c r="T50" s="429" t="s">
        <v>195</v>
      </c>
      <c r="U50" s="430">
        <v>199</v>
      </c>
      <c r="V50" s="428">
        <f t="shared" si="2"/>
        <v>102.93103448275862</v>
      </c>
      <c r="W50" s="431">
        <f t="shared" si="3"/>
        <v>0.1553467336683417</v>
      </c>
      <c r="X50" s="432">
        <f t="shared" si="4"/>
        <v>0.84465326633165827</v>
      </c>
      <c r="Y50" s="433">
        <v>0.4</v>
      </c>
      <c r="Z50" s="424"/>
      <c r="AA50" s="449"/>
      <c r="AB50" s="421"/>
      <c r="AC50" s="421" t="s">
        <v>196</v>
      </c>
      <c r="AD50" s="421"/>
      <c r="BA50" s="424">
        <v>1</v>
      </c>
      <c r="BB50" s="424"/>
      <c r="BC50" s="424"/>
      <c r="BD50" s="424"/>
      <c r="BE50" s="424"/>
      <c r="BF50" s="424"/>
      <c r="BG50" s="424"/>
      <c r="BH50" s="424"/>
      <c r="BI50" s="424"/>
      <c r="BJ50" s="420">
        <v>8</v>
      </c>
      <c r="BK50" s="420">
        <f t="shared" si="9"/>
        <v>1</v>
      </c>
      <c r="BL50" s="434">
        <f t="shared" si="10"/>
        <v>0.125</v>
      </c>
      <c r="BM50" s="435"/>
      <c r="BN50" s="435"/>
      <c r="BO50" s="435"/>
      <c r="BP50" s="435"/>
      <c r="BQ50" s="435"/>
      <c r="BR50" s="435"/>
      <c r="BS50" s="436" t="s">
        <v>196</v>
      </c>
      <c r="BT50" s="463">
        <f t="shared" si="5"/>
        <v>0</v>
      </c>
      <c r="BU50" s="463"/>
      <c r="BV50" s="436" t="s">
        <v>109</v>
      </c>
      <c r="CJ50" s="436"/>
      <c r="CK50" s="436"/>
      <c r="CL50" s="436"/>
      <c r="CM50" s="436"/>
      <c r="CN50" s="436"/>
      <c r="CO50" s="436"/>
      <c r="CP50" s="437"/>
      <c r="CQ50" s="437"/>
      <c r="CR50" s="438"/>
      <c r="CS50" s="438"/>
      <c r="CT50" s="438"/>
      <c r="CU50" s="438"/>
      <c r="CV50" s="438"/>
      <c r="CW50" s="438"/>
      <c r="CX50" s="438"/>
      <c r="CY50" s="438"/>
      <c r="CZ50" s="438"/>
      <c r="DA50" s="438"/>
    </row>
    <row r="51" spans="1:105" ht="38.25">
      <c r="A51" s="424">
        <v>38</v>
      </c>
      <c r="B51" s="440" t="s">
        <v>75</v>
      </c>
      <c r="C51" s="441" t="s">
        <v>176</v>
      </c>
      <c r="D51" s="440"/>
      <c r="E51" s="445">
        <v>7506110694830</v>
      </c>
      <c r="F51" s="420" t="s">
        <v>199</v>
      </c>
      <c r="G51" s="421" t="s">
        <v>200</v>
      </c>
      <c r="H51" s="442" t="s">
        <v>60</v>
      </c>
      <c r="I51" s="423"/>
      <c r="J51" s="424" t="s">
        <v>62</v>
      </c>
      <c r="K51" s="425" t="s">
        <v>63</v>
      </c>
      <c r="L51" s="421">
        <v>1</v>
      </c>
      <c r="M51" s="453"/>
      <c r="N51" s="427" t="s">
        <v>64</v>
      </c>
      <c r="O51" s="427">
        <v>20000</v>
      </c>
      <c r="P51" s="428">
        <v>0</v>
      </c>
      <c r="Q51" s="428"/>
      <c r="R51" s="428"/>
      <c r="S51" s="428">
        <v>0</v>
      </c>
      <c r="T51" s="429" t="s">
        <v>201</v>
      </c>
      <c r="U51" s="430">
        <v>299</v>
      </c>
      <c r="V51" s="428">
        <f t="shared" si="2"/>
        <v>154.65517241379311</v>
      </c>
      <c r="W51" s="431">
        <f t="shared" si="3"/>
        <v>0</v>
      </c>
      <c r="X51" s="432">
        <f t="shared" si="4"/>
        <v>1</v>
      </c>
      <c r="Y51" s="433">
        <v>0.4</v>
      </c>
      <c r="Z51" s="424" t="s">
        <v>66</v>
      </c>
      <c r="AA51" s="427" t="s">
        <v>99</v>
      </c>
      <c r="AB51" s="425"/>
      <c r="AC51" s="425"/>
      <c r="AD51" s="425"/>
      <c r="BA51" s="424">
        <v>1</v>
      </c>
      <c r="BB51" s="441"/>
      <c r="BC51" s="441"/>
      <c r="BD51" s="441"/>
      <c r="BE51" s="441"/>
      <c r="BF51" s="441"/>
      <c r="BG51" s="441"/>
      <c r="BH51" s="441"/>
      <c r="BI51" s="441"/>
      <c r="BJ51" s="420">
        <v>8</v>
      </c>
      <c r="BK51" s="420">
        <f t="shared" si="9"/>
        <v>1</v>
      </c>
      <c r="BL51" s="434">
        <f t="shared" si="10"/>
        <v>0.125</v>
      </c>
      <c r="BM51" s="435"/>
      <c r="BN51" s="435"/>
      <c r="BO51" s="435"/>
      <c r="BP51" s="435"/>
      <c r="BQ51" s="435"/>
      <c r="BR51" s="435"/>
      <c r="BS51" s="436" t="s">
        <v>191</v>
      </c>
      <c r="BT51" s="463">
        <f t="shared" si="5"/>
        <v>0</v>
      </c>
      <c r="BU51" s="463"/>
      <c r="BV51" s="436"/>
      <c r="CJ51" s="436"/>
      <c r="CK51" s="436"/>
      <c r="CL51" s="436"/>
      <c r="CM51" s="436"/>
      <c r="CN51" s="436"/>
      <c r="CO51" s="436"/>
      <c r="CP51" s="437"/>
      <c r="CQ51" s="437"/>
      <c r="CR51" s="438"/>
      <c r="CS51" s="438"/>
      <c r="CT51" s="438"/>
      <c r="CU51" s="438"/>
      <c r="CV51" s="438"/>
      <c r="CW51" s="438"/>
      <c r="CX51" s="438"/>
      <c r="CY51" s="438"/>
      <c r="CZ51" s="438"/>
      <c r="DA51" s="438"/>
    </row>
    <row r="52" spans="1:105" ht="76.5">
      <c r="A52" s="424">
        <v>39</v>
      </c>
      <c r="B52" s="440" t="s">
        <v>75</v>
      </c>
      <c r="C52" s="441" t="s">
        <v>176</v>
      </c>
      <c r="D52" s="440"/>
      <c r="E52" s="420">
        <v>7506110694052</v>
      </c>
      <c r="F52" s="420" t="s">
        <v>202</v>
      </c>
      <c r="G52" s="421" t="s">
        <v>203</v>
      </c>
      <c r="H52" s="442" t="s">
        <v>60</v>
      </c>
      <c r="I52" s="423" t="s">
        <v>204</v>
      </c>
      <c r="J52" s="424" t="s">
        <v>62</v>
      </c>
      <c r="K52" s="425" t="s">
        <v>63</v>
      </c>
      <c r="L52" s="421">
        <v>1</v>
      </c>
      <c r="M52" s="453">
        <v>4.2</v>
      </c>
      <c r="N52" s="427" t="s">
        <v>64</v>
      </c>
      <c r="O52" s="458">
        <v>10000</v>
      </c>
      <c r="P52" s="428">
        <v>75.599999999999994</v>
      </c>
      <c r="Q52" s="428"/>
      <c r="R52" s="428"/>
      <c r="S52" s="428">
        <v>90.72</v>
      </c>
      <c r="T52" s="429" t="s">
        <v>205</v>
      </c>
      <c r="U52" s="430">
        <v>499</v>
      </c>
      <c r="V52" s="428">
        <f t="shared" si="2"/>
        <v>258.10344827586209</v>
      </c>
      <c r="W52" s="431">
        <f t="shared" si="3"/>
        <v>0.35148697394789574</v>
      </c>
      <c r="X52" s="432">
        <f t="shared" si="4"/>
        <v>0.64851302605210426</v>
      </c>
      <c r="Y52" s="433">
        <v>0.3</v>
      </c>
      <c r="Z52" s="424"/>
      <c r="AA52" s="427"/>
      <c r="AB52" s="425"/>
      <c r="AC52" s="425"/>
      <c r="AD52" s="425"/>
      <c r="BA52" s="424">
        <v>1</v>
      </c>
      <c r="BB52" s="441"/>
      <c r="BC52" s="441"/>
      <c r="BD52" s="441"/>
      <c r="BE52" s="441"/>
      <c r="BF52" s="441"/>
      <c r="BG52" s="441"/>
      <c r="BH52" s="441"/>
      <c r="BI52" s="441"/>
      <c r="BJ52" s="420">
        <v>8</v>
      </c>
      <c r="BK52" s="420">
        <f t="shared" si="9"/>
        <v>1</v>
      </c>
      <c r="BL52" s="434">
        <f t="shared" si="10"/>
        <v>0.125</v>
      </c>
      <c r="BM52" s="435"/>
      <c r="BN52" s="435"/>
      <c r="BO52" s="435"/>
      <c r="BP52" s="435"/>
      <c r="BQ52" s="435"/>
      <c r="BR52" s="435"/>
      <c r="BS52" s="436" t="s">
        <v>191</v>
      </c>
      <c r="BT52" s="463">
        <f t="shared" si="5"/>
        <v>0</v>
      </c>
      <c r="BU52" s="463"/>
      <c r="BV52" s="436"/>
      <c r="CJ52" s="436"/>
      <c r="CK52" s="436"/>
      <c r="CL52" s="436"/>
      <c r="CM52" s="436"/>
      <c r="CN52" s="436"/>
      <c r="CO52" s="436"/>
      <c r="CP52" s="437"/>
      <c r="CQ52" s="437"/>
      <c r="CR52" s="438"/>
      <c r="CS52" s="438"/>
      <c r="CT52" s="438"/>
      <c r="CU52" s="438"/>
      <c r="CV52" s="438"/>
      <c r="CW52" s="438"/>
      <c r="CX52" s="438"/>
      <c r="CY52" s="438"/>
      <c r="CZ52" s="438"/>
      <c r="DA52" s="438"/>
    </row>
    <row r="53" spans="1:105" ht="76.5">
      <c r="A53" s="424">
        <v>40</v>
      </c>
      <c r="B53" s="440" t="s">
        <v>75</v>
      </c>
      <c r="C53" s="441" t="s">
        <v>176</v>
      </c>
      <c r="D53" s="440"/>
      <c r="E53" s="420">
        <v>7506110694076</v>
      </c>
      <c r="F53" s="420" t="s">
        <v>206</v>
      </c>
      <c r="G53" s="421" t="s">
        <v>207</v>
      </c>
      <c r="H53" s="442" t="s">
        <v>60</v>
      </c>
      <c r="I53" s="423" t="s">
        <v>204</v>
      </c>
      <c r="J53" s="424" t="s">
        <v>62</v>
      </c>
      <c r="K53" s="425" t="s">
        <v>63</v>
      </c>
      <c r="L53" s="421">
        <v>1</v>
      </c>
      <c r="M53" s="453">
        <v>2</v>
      </c>
      <c r="N53" s="427" t="s">
        <v>64</v>
      </c>
      <c r="O53" s="458">
        <v>10000</v>
      </c>
      <c r="P53" s="428">
        <v>36</v>
      </c>
      <c r="Q53" s="428"/>
      <c r="R53" s="428"/>
      <c r="S53" s="428">
        <v>43.2</v>
      </c>
      <c r="T53" s="429" t="s">
        <v>208</v>
      </c>
      <c r="U53" s="430">
        <v>229</v>
      </c>
      <c r="V53" s="428">
        <f t="shared" si="2"/>
        <v>118.44827586206897</v>
      </c>
      <c r="W53" s="431">
        <f t="shared" si="3"/>
        <v>0.3647161572052402</v>
      </c>
      <c r="X53" s="432">
        <f t="shared" si="4"/>
        <v>0.6352838427947598</v>
      </c>
      <c r="Y53" s="433">
        <v>0.3</v>
      </c>
      <c r="Z53" s="424" t="s">
        <v>66</v>
      </c>
      <c r="AA53" s="427" t="s">
        <v>99</v>
      </c>
      <c r="AB53" s="425"/>
      <c r="AC53" s="425"/>
      <c r="AD53" s="425"/>
      <c r="BA53" s="424">
        <v>1</v>
      </c>
      <c r="BB53" s="441"/>
      <c r="BC53" s="441"/>
      <c r="BD53" s="441"/>
      <c r="BE53" s="441"/>
      <c r="BF53" s="441"/>
      <c r="BG53" s="441"/>
      <c r="BH53" s="441"/>
      <c r="BI53" s="441"/>
      <c r="BJ53" s="420">
        <v>8</v>
      </c>
      <c r="BK53" s="420">
        <f t="shared" si="9"/>
        <v>1</v>
      </c>
      <c r="BL53" s="434">
        <f t="shared" si="10"/>
        <v>0.125</v>
      </c>
      <c r="BM53" s="435"/>
      <c r="BN53" s="435"/>
      <c r="BO53" s="435"/>
      <c r="BP53" s="435"/>
      <c r="BQ53" s="435"/>
      <c r="BR53" s="435"/>
      <c r="BS53" s="436" t="s">
        <v>191</v>
      </c>
      <c r="BT53" s="463">
        <f t="shared" si="5"/>
        <v>0</v>
      </c>
      <c r="BU53" s="463"/>
      <c r="BV53" s="436"/>
      <c r="CJ53" s="436"/>
      <c r="CK53" s="436"/>
      <c r="CL53" s="436"/>
      <c r="CM53" s="436"/>
      <c r="CN53" s="436"/>
      <c r="CO53" s="436"/>
      <c r="CP53" s="437"/>
      <c r="CQ53" s="437"/>
      <c r="CR53" s="438"/>
      <c r="CS53" s="438"/>
      <c r="CT53" s="438"/>
      <c r="CU53" s="438"/>
      <c r="CV53" s="438"/>
      <c r="CW53" s="438"/>
      <c r="CX53" s="438"/>
      <c r="CY53" s="438"/>
      <c r="CZ53" s="438"/>
      <c r="DA53" s="438"/>
    </row>
    <row r="54" spans="1:105" ht="38.25">
      <c r="A54" s="424">
        <v>41</v>
      </c>
      <c r="B54" s="440" t="s">
        <v>75</v>
      </c>
      <c r="C54" s="441" t="s">
        <v>176</v>
      </c>
      <c r="D54" s="440"/>
      <c r="E54" s="420">
        <v>7502327992769</v>
      </c>
      <c r="F54" s="420" t="s">
        <v>209</v>
      </c>
      <c r="G54" s="421" t="s">
        <v>210</v>
      </c>
      <c r="H54" s="459" t="s">
        <v>60</v>
      </c>
      <c r="I54" s="423" t="s">
        <v>204</v>
      </c>
      <c r="J54" s="424" t="s">
        <v>62</v>
      </c>
      <c r="K54" s="425" t="s">
        <v>63</v>
      </c>
      <c r="L54" s="421">
        <v>1</v>
      </c>
      <c r="M54" s="453"/>
      <c r="N54" s="427" t="s">
        <v>64</v>
      </c>
      <c r="O54" s="427">
        <v>20000</v>
      </c>
      <c r="P54" s="428">
        <v>16.88</v>
      </c>
      <c r="Q54" s="428"/>
      <c r="R54" s="428"/>
      <c r="S54" s="428">
        <v>22.34</v>
      </c>
      <c r="T54" s="429" t="s">
        <v>211</v>
      </c>
      <c r="U54" s="430">
        <v>89</v>
      </c>
      <c r="V54" s="428">
        <f t="shared" si="2"/>
        <v>46.03448275862069</v>
      </c>
      <c r="W54" s="431">
        <f t="shared" si="3"/>
        <v>0.4852883895131086</v>
      </c>
      <c r="X54" s="432">
        <f t="shared" si="4"/>
        <v>0.5147116104868914</v>
      </c>
      <c r="Y54" s="433">
        <v>0.4</v>
      </c>
      <c r="Z54" s="424"/>
      <c r="AA54" s="427"/>
      <c r="AB54" s="425"/>
      <c r="AC54" s="425" t="s">
        <v>212</v>
      </c>
      <c r="AD54" s="425"/>
      <c r="BA54" s="424">
        <v>1</v>
      </c>
      <c r="BB54" s="441"/>
      <c r="BC54" s="441"/>
      <c r="BD54" s="441"/>
      <c r="BE54" s="441"/>
      <c r="BF54" s="441"/>
      <c r="BG54" s="441"/>
      <c r="BH54" s="441"/>
      <c r="BI54" s="441"/>
      <c r="BJ54" s="420">
        <v>8</v>
      </c>
      <c r="BK54" s="420">
        <f t="shared" si="9"/>
        <v>1</v>
      </c>
      <c r="BL54" s="434">
        <f t="shared" si="10"/>
        <v>0.125</v>
      </c>
      <c r="BM54" s="435"/>
      <c r="BN54" s="435"/>
      <c r="BO54" s="435"/>
      <c r="BP54" s="435"/>
      <c r="BQ54" s="435"/>
      <c r="BR54" s="435"/>
      <c r="BS54" s="436" t="s">
        <v>213</v>
      </c>
      <c r="BT54" s="463">
        <f t="shared" si="5"/>
        <v>0</v>
      </c>
      <c r="BU54" s="463"/>
      <c r="BV54" s="436" t="s">
        <v>109</v>
      </c>
      <c r="CJ54" s="436"/>
      <c r="CK54" s="436"/>
      <c r="CL54" s="436"/>
      <c r="CM54" s="436"/>
      <c r="CN54" s="436"/>
      <c r="CO54" s="436"/>
      <c r="CP54" s="437"/>
      <c r="CQ54" s="437"/>
      <c r="CR54" s="438"/>
      <c r="CS54" s="438"/>
      <c r="CT54" s="438"/>
      <c r="CU54" s="438"/>
      <c r="CV54" s="438"/>
      <c r="CW54" s="438"/>
      <c r="CX54" s="438"/>
      <c r="CY54" s="438"/>
      <c r="CZ54" s="438"/>
      <c r="DA54" s="438"/>
    </row>
    <row r="55" spans="1:105" ht="63.75">
      <c r="A55" s="424">
        <v>42</v>
      </c>
      <c r="B55" s="440" t="s">
        <v>75</v>
      </c>
      <c r="C55" s="441" t="s">
        <v>176</v>
      </c>
      <c r="D55" s="440"/>
      <c r="E55" s="420">
        <v>7502327992776</v>
      </c>
      <c r="F55" s="420" t="s">
        <v>214</v>
      </c>
      <c r="G55" s="421" t="s">
        <v>215</v>
      </c>
      <c r="H55" s="459" t="s">
        <v>60</v>
      </c>
      <c r="I55" s="423" t="s">
        <v>204</v>
      </c>
      <c r="J55" s="424" t="s">
        <v>62</v>
      </c>
      <c r="K55" s="425" t="s">
        <v>63</v>
      </c>
      <c r="L55" s="421">
        <v>1</v>
      </c>
      <c r="M55" s="453"/>
      <c r="N55" s="427" t="s">
        <v>64</v>
      </c>
      <c r="O55" s="427">
        <v>20000</v>
      </c>
      <c r="P55" s="428">
        <v>16.88</v>
      </c>
      <c r="Q55" s="428"/>
      <c r="R55" s="428"/>
      <c r="S55" s="428">
        <v>22.34</v>
      </c>
      <c r="T55" s="429" t="s">
        <v>216</v>
      </c>
      <c r="U55" s="430">
        <v>89</v>
      </c>
      <c r="V55" s="428">
        <f t="shared" si="2"/>
        <v>46.03448275862069</v>
      </c>
      <c r="W55" s="431">
        <f t="shared" si="3"/>
        <v>0.4852883895131086</v>
      </c>
      <c r="X55" s="432">
        <f t="shared" si="4"/>
        <v>0.5147116104868914</v>
      </c>
      <c r="Y55" s="433">
        <v>0.4</v>
      </c>
      <c r="Z55" s="424"/>
      <c r="AA55" s="427"/>
      <c r="AB55" s="425"/>
      <c r="AC55" s="425" t="s">
        <v>212</v>
      </c>
      <c r="AD55" s="425"/>
      <c r="BA55" s="424">
        <v>1</v>
      </c>
      <c r="BB55" s="441"/>
      <c r="BC55" s="441"/>
      <c r="BD55" s="441"/>
      <c r="BE55" s="441"/>
      <c r="BF55" s="441"/>
      <c r="BG55" s="441"/>
      <c r="BH55" s="441"/>
      <c r="BI55" s="441"/>
      <c r="BJ55" s="420">
        <v>8</v>
      </c>
      <c r="BK55" s="420">
        <f t="shared" si="9"/>
        <v>1</v>
      </c>
      <c r="BL55" s="434">
        <f t="shared" si="10"/>
        <v>0.125</v>
      </c>
      <c r="BM55" s="435"/>
      <c r="BN55" s="435"/>
      <c r="BO55" s="435"/>
      <c r="BP55" s="435"/>
      <c r="BQ55" s="435"/>
      <c r="BR55" s="435"/>
      <c r="BS55" s="436" t="s">
        <v>213</v>
      </c>
      <c r="BT55" s="463">
        <f t="shared" si="5"/>
        <v>0</v>
      </c>
      <c r="BU55" s="463"/>
      <c r="BV55" s="436" t="s">
        <v>109</v>
      </c>
      <c r="CJ55" s="436"/>
      <c r="CK55" s="436"/>
      <c r="CL55" s="436"/>
      <c r="CM55" s="436"/>
      <c r="CN55" s="436"/>
      <c r="CO55" s="436"/>
      <c r="CP55" s="437"/>
      <c r="CQ55" s="437"/>
      <c r="CR55" s="438"/>
      <c r="CS55" s="438"/>
      <c r="CT55" s="438"/>
      <c r="CU55" s="438"/>
      <c r="CV55" s="438"/>
      <c r="CW55" s="438"/>
      <c r="CX55" s="438"/>
      <c r="CY55" s="438"/>
      <c r="CZ55" s="438"/>
      <c r="DA55" s="438"/>
    </row>
    <row r="56" spans="1:105" ht="51">
      <c r="A56" s="424">
        <v>43</v>
      </c>
      <c r="B56" s="440" t="s">
        <v>75</v>
      </c>
      <c r="C56" s="441" t="s">
        <v>176</v>
      </c>
      <c r="D56" s="440"/>
      <c r="E56" s="420">
        <v>7502327992783</v>
      </c>
      <c r="F56" s="420" t="s">
        <v>217</v>
      </c>
      <c r="G56" s="421" t="s">
        <v>218</v>
      </c>
      <c r="H56" s="459" t="s">
        <v>60</v>
      </c>
      <c r="I56" s="423" t="s">
        <v>204</v>
      </c>
      <c r="J56" s="424" t="s">
        <v>62</v>
      </c>
      <c r="K56" s="425" t="s">
        <v>63</v>
      </c>
      <c r="L56" s="421">
        <v>1</v>
      </c>
      <c r="M56" s="453"/>
      <c r="N56" s="427" t="s">
        <v>64</v>
      </c>
      <c r="O56" s="427">
        <v>20000</v>
      </c>
      <c r="P56" s="428">
        <v>16.88</v>
      </c>
      <c r="Q56" s="428"/>
      <c r="R56" s="428"/>
      <c r="S56" s="428">
        <v>22.34</v>
      </c>
      <c r="T56" s="429" t="s">
        <v>219</v>
      </c>
      <c r="U56" s="430">
        <v>79</v>
      </c>
      <c r="V56" s="428">
        <f t="shared" si="2"/>
        <v>40.862068965517246</v>
      </c>
      <c r="W56" s="431">
        <f t="shared" si="3"/>
        <v>0.54671729957805903</v>
      </c>
      <c r="X56" s="432">
        <f t="shared" si="4"/>
        <v>0.45328270042194097</v>
      </c>
      <c r="Y56" s="433">
        <v>0.4</v>
      </c>
      <c r="Z56" s="424"/>
      <c r="AA56" s="427"/>
      <c r="AB56" s="425"/>
      <c r="AC56" s="425" t="s">
        <v>212</v>
      </c>
      <c r="AD56" s="425"/>
      <c r="BA56" s="424">
        <v>1</v>
      </c>
      <c r="BB56" s="441"/>
      <c r="BC56" s="441"/>
      <c r="BD56" s="441"/>
      <c r="BE56" s="441"/>
      <c r="BF56" s="441"/>
      <c r="BG56" s="441"/>
      <c r="BH56" s="441"/>
      <c r="BI56" s="441"/>
      <c r="BJ56" s="420">
        <v>8</v>
      </c>
      <c r="BK56" s="420">
        <f t="shared" si="9"/>
        <v>1</v>
      </c>
      <c r="BL56" s="434">
        <f t="shared" si="10"/>
        <v>0.125</v>
      </c>
      <c r="BM56" s="435"/>
      <c r="BN56" s="435"/>
      <c r="BO56" s="435"/>
      <c r="BP56" s="435"/>
      <c r="BQ56" s="435"/>
      <c r="BR56" s="435"/>
      <c r="BS56" s="436" t="s">
        <v>213</v>
      </c>
      <c r="BT56" s="463">
        <f t="shared" si="5"/>
        <v>0</v>
      </c>
      <c r="BU56" s="463"/>
      <c r="BV56" s="436" t="s">
        <v>109</v>
      </c>
      <c r="CJ56" s="436"/>
      <c r="CK56" s="436"/>
      <c r="CL56" s="436"/>
      <c r="CM56" s="436"/>
      <c r="CN56" s="436"/>
      <c r="CO56" s="436"/>
      <c r="CP56" s="437"/>
      <c r="CQ56" s="437"/>
      <c r="CR56" s="438"/>
      <c r="CS56" s="438"/>
      <c r="CT56" s="438"/>
      <c r="CU56" s="438"/>
      <c r="CV56" s="438"/>
      <c r="CW56" s="438"/>
      <c r="CX56" s="438"/>
      <c r="CY56" s="438"/>
      <c r="CZ56" s="438"/>
      <c r="DA56" s="438"/>
    </row>
    <row r="57" spans="1:105" ht="51">
      <c r="A57" s="424">
        <v>46</v>
      </c>
      <c r="B57" s="440" t="s">
        <v>75</v>
      </c>
      <c r="C57" s="441" t="s">
        <v>176</v>
      </c>
      <c r="D57" s="440"/>
      <c r="E57" s="420">
        <v>7506110694014</v>
      </c>
      <c r="F57" s="420" t="s">
        <v>220</v>
      </c>
      <c r="G57" s="421" t="s">
        <v>221</v>
      </c>
      <c r="H57" s="442" t="s">
        <v>60</v>
      </c>
      <c r="I57" s="423" t="s">
        <v>222</v>
      </c>
      <c r="J57" s="424" t="s">
        <v>62</v>
      </c>
      <c r="K57" s="425" t="s">
        <v>63</v>
      </c>
      <c r="L57" s="421">
        <v>1</v>
      </c>
      <c r="M57" s="453"/>
      <c r="N57" s="427" t="s">
        <v>64</v>
      </c>
      <c r="O57" s="427">
        <v>20000</v>
      </c>
      <c r="P57" s="428">
        <v>0</v>
      </c>
      <c r="Q57" s="428"/>
      <c r="R57" s="428"/>
      <c r="S57" s="428">
        <v>0</v>
      </c>
      <c r="T57" s="429" t="s">
        <v>223</v>
      </c>
      <c r="U57" s="430">
        <v>79</v>
      </c>
      <c r="V57" s="428">
        <f t="shared" si="2"/>
        <v>40.862068965517246</v>
      </c>
      <c r="W57" s="431">
        <f t="shared" si="3"/>
        <v>0</v>
      </c>
      <c r="X57" s="432">
        <f t="shared" si="4"/>
        <v>1</v>
      </c>
      <c r="Y57" s="433">
        <v>0.4</v>
      </c>
      <c r="Z57" s="424" t="s">
        <v>66</v>
      </c>
      <c r="AA57" s="427" t="s">
        <v>99</v>
      </c>
      <c r="AB57" s="425"/>
      <c r="AC57" s="425"/>
      <c r="AD57" s="425"/>
      <c r="BA57" s="424">
        <v>1</v>
      </c>
      <c r="BB57" s="441"/>
      <c r="BC57" s="441"/>
      <c r="BD57" s="441"/>
      <c r="BE57" s="441"/>
      <c r="BF57" s="441"/>
      <c r="BG57" s="441"/>
      <c r="BH57" s="441"/>
      <c r="BI57" s="441"/>
      <c r="BJ57" s="420">
        <v>8</v>
      </c>
      <c r="BK57" s="420">
        <f t="shared" si="9"/>
        <v>1</v>
      </c>
      <c r="BL57" s="434">
        <f t="shared" si="10"/>
        <v>0.125</v>
      </c>
      <c r="BM57" s="435"/>
      <c r="BN57" s="435"/>
      <c r="BO57" s="435"/>
      <c r="BP57" s="435"/>
      <c r="BQ57" s="435"/>
      <c r="BR57" s="435"/>
      <c r="BS57" s="436"/>
      <c r="BT57" s="463">
        <f t="shared" si="5"/>
        <v>0</v>
      </c>
      <c r="BU57" s="463"/>
      <c r="BV57" s="436"/>
      <c r="CJ57" s="436"/>
      <c r="CK57" s="436"/>
      <c r="CL57" s="436"/>
      <c r="CM57" s="436"/>
      <c r="CN57" s="436"/>
      <c r="CO57" s="436"/>
      <c r="CP57" s="437"/>
      <c r="CQ57" s="437"/>
      <c r="CR57" s="438"/>
      <c r="CS57" s="438"/>
      <c r="CT57" s="438"/>
      <c r="CU57" s="438"/>
      <c r="CV57" s="438"/>
      <c r="CW57" s="438"/>
      <c r="CX57" s="438"/>
      <c r="CY57" s="438"/>
      <c r="CZ57" s="438"/>
      <c r="DA57" s="438"/>
    </row>
    <row r="58" spans="1:105" ht="51">
      <c r="A58" s="424">
        <v>47</v>
      </c>
      <c r="B58" s="440" t="s">
        <v>75</v>
      </c>
      <c r="C58" s="441" t="s">
        <v>176</v>
      </c>
      <c r="D58" s="440"/>
      <c r="E58" s="420">
        <v>7506110694021</v>
      </c>
      <c r="F58" s="420" t="s">
        <v>224</v>
      </c>
      <c r="G58" s="421" t="s">
        <v>225</v>
      </c>
      <c r="H58" s="442" t="s">
        <v>60</v>
      </c>
      <c r="I58" s="423" t="s">
        <v>222</v>
      </c>
      <c r="J58" s="424" t="s">
        <v>62</v>
      </c>
      <c r="K58" s="425" t="s">
        <v>63</v>
      </c>
      <c r="L58" s="421">
        <v>1</v>
      </c>
      <c r="M58" s="453"/>
      <c r="N58" s="427" t="s">
        <v>64</v>
      </c>
      <c r="O58" s="427">
        <v>20000</v>
      </c>
      <c r="P58" s="428">
        <v>0</v>
      </c>
      <c r="Q58" s="428"/>
      <c r="R58" s="428"/>
      <c r="S58" s="428">
        <v>0</v>
      </c>
      <c r="T58" s="429" t="s">
        <v>223</v>
      </c>
      <c r="U58" s="430">
        <v>79</v>
      </c>
      <c r="V58" s="428">
        <f t="shared" si="2"/>
        <v>40.862068965517246</v>
      </c>
      <c r="W58" s="431">
        <f t="shared" si="3"/>
        <v>0</v>
      </c>
      <c r="X58" s="432">
        <f t="shared" si="4"/>
        <v>1</v>
      </c>
      <c r="Y58" s="433">
        <v>0.4</v>
      </c>
      <c r="Z58" s="424" t="s">
        <v>66</v>
      </c>
      <c r="AA58" s="427" t="s">
        <v>99</v>
      </c>
      <c r="AB58" s="425"/>
      <c r="AC58" s="425"/>
      <c r="AD58" s="425"/>
      <c r="BA58" s="424">
        <v>1</v>
      </c>
      <c r="BB58" s="441"/>
      <c r="BC58" s="441"/>
      <c r="BD58" s="441"/>
      <c r="BE58" s="441"/>
      <c r="BF58" s="441"/>
      <c r="BG58" s="441"/>
      <c r="BH58" s="441"/>
      <c r="BI58" s="441"/>
      <c r="BJ58" s="420">
        <v>8</v>
      </c>
      <c r="BK58" s="420">
        <f t="shared" si="9"/>
        <v>1</v>
      </c>
      <c r="BL58" s="434">
        <f t="shared" si="10"/>
        <v>0.125</v>
      </c>
      <c r="BM58" s="435"/>
      <c r="BN58" s="435"/>
      <c r="BO58" s="435"/>
      <c r="BP58" s="435"/>
      <c r="BQ58" s="435"/>
      <c r="BR58" s="435"/>
      <c r="BS58" s="436">
        <v>0</v>
      </c>
      <c r="BT58" s="463">
        <f t="shared" si="5"/>
        <v>0</v>
      </c>
      <c r="BU58" s="463"/>
      <c r="BV58" s="436"/>
      <c r="CJ58" s="436"/>
      <c r="CK58" s="436"/>
      <c r="CL58" s="436"/>
      <c r="CM58" s="436"/>
      <c r="CN58" s="436"/>
      <c r="CO58" s="436"/>
      <c r="CP58" s="437"/>
      <c r="CQ58" s="437"/>
      <c r="CR58" s="438"/>
      <c r="CS58" s="438"/>
      <c r="CT58" s="438"/>
      <c r="CU58" s="438"/>
      <c r="CV58" s="438"/>
      <c r="CW58" s="438"/>
      <c r="CX58" s="438"/>
      <c r="CY58" s="438"/>
      <c r="CZ58" s="438"/>
      <c r="DA58" s="438"/>
    </row>
    <row r="59" spans="1:105" ht="51">
      <c r="A59" s="424">
        <v>48</v>
      </c>
      <c r="B59" s="440" t="s">
        <v>75</v>
      </c>
      <c r="C59" s="441" t="s">
        <v>176</v>
      </c>
      <c r="D59" s="440"/>
      <c r="E59" s="420"/>
      <c r="F59" s="420" t="s">
        <v>226</v>
      </c>
      <c r="G59" s="421" t="s">
        <v>227</v>
      </c>
      <c r="H59" s="442" t="s">
        <v>60</v>
      </c>
      <c r="I59" s="448" t="s">
        <v>228</v>
      </c>
      <c r="J59" s="424" t="s">
        <v>62</v>
      </c>
      <c r="K59" s="425" t="s">
        <v>63</v>
      </c>
      <c r="L59" s="421">
        <v>1</v>
      </c>
      <c r="M59" s="453"/>
      <c r="N59" s="427" t="s">
        <v>64</v>
      </c>
      <c r="O59" s="427">
        <v>20000</v>
      </c>
      <c r="P59" s="428">
        <v>0</v>
      </c>
      <c r="Q59" s="428"/>
      <c r="R59" s="428"/>
      <c r="S59" s="428">
        <v>0</v>
      </c>
      <c r="T59" s="429" t="s">
        <v>229</v>
      </c>
      <c r="U59" s="430">
        <v>119</v>
      </c>
      <c r="V59" s="428">
        <f t="shared" si="2"/>
        <v>61.551724137931032</v>
      </c>
      <c r="W59" s="431">
        <f t="shared" si="3"/>
        <v>0</v>
      </c>
      <c r="X59" s="432">
        <f t="shared" si="4"/>
        <v>1</v>
      </c>
      <c r="Y59" s="433">
        <v>0.4</v>
      </c>
      <c r="Z59" s="424"/>
      <c r="AA59" s="449"/>
      <c r="AB59" s="421"/>
      <c r="AC59" s="421"/>
      <c r="AD59" s="421"/>
      <c r="BA59" s="424">
        <v>1</v>
      </c>
      <c r="BB59" s="424"/>
      <c r="BC59" s="424"/>
      <c r="BD59" s="424"/>
      <c r="BE59" s="424"/>
      <c r="BF59" s="424"/>
      <c r="BG59" s="424"/>
      <c r="BH59" s="424"/>
      <c r="BI59" s="424"/>
      <c r="BJ59" s="420">
        <v>8</v>
      </c>
      <c r="BK59" s="420">
        <f t="shared" si="9"/>
        <v>1</v>
      </c>
      <c r="BL59" s="434">
        <f t="shared" si="10"/>
        <v>0.125</v>
      </c>
      <c r="BM59" s="435"/>
      <c r="BN59" s="435"/>
      <c r="BO59" s="435"/>
      <c r="BP59" s="435"/>
      <c r="BQ59" s="435"/>
      <c r="BR59" s="435"/>
      <c r="BS59" s="436">
        <v>0</v>
      </c>
      <c r="BT59" s="463">
        <f t="shared" si="5"/>
        <v>0</v>
      </c>
      <c r="BU59" s="463"/>
      <c r="BV59" s="436"/>
      <c r="CJ59" s="436"/>
      <c r="CK59" s="436"/>
      <c r="CL59" s="436"/>
      <c r="CM59" s="436"/>
      <c r="CN59" s="436"/>
      <c r="CO59" s="436"/>
      <c r="CP59" s="437"/>
      <c r="CQ59" s="437"/>
      <c r="CR59" s="438"/>
      <c r="CS59" s="438"/>
      <c r="CT59" s="438"/>
      <c r="CU59" s="438"/>
      <c r="CV59" s="438"/>
      <c r="CW59" s="438"/>
      <c r="CX59" s="438"/>
      <c r="CY59" s="438"/>
      <c r="CZ59" s="438"/>
      <c r="DA59" s="438"/>
    </row>
    <row r="60" spans="1:105" ht="63.75">
      <c r="A60" s="424">
        <v>49</v>
      </c>
      <c r="B60" s="440" t="s">
        <v>75</v>
      </c>
      <c r="C60" s="441" t="s">
        <v>176</v>
      </c>
      <c r="D60" s="440"/>
      <c r="E60" s="420"/>
      <c r="F60" s="420"/>
      <c r="G60" s="421" t="s">
        <v>230</v>
      </c>
      <c r="H60" s="442" t="s">
        <v>60</v>
      </c>
      <c r="I60" s="423" t="s">
        <v>204</v>
      </c>
      <c r="J60" s="424" t="s">
        <v>62</v>
      </c>
      <c r="K60" s="425" t="s">
        <v>63</v>
      </c>
      <c r="L60" s="421">
        <v>1</v>
      </c>
      <c r="M60" s="453"/>
      <c r="N60" s="427" t="s">
        <v>64</v>
      </c>
      <c r="O60" s="427">
        <v>10000</v>
      </c>
      <c r="P60" s="428">
        <v>0</v>
      </c>
      <c r="Q60" s="428"/>
      <c r="R60" s="428"/>
      <c r="S60" s="428">
        <v>0</v>
      </c>
      <c r="T60" s="429" t="s">
        <v>231</v>
      </c>
      <c r="U60" s="430">
        <v>699</v>
      </c>
      <c r="V60" s="428">
        <f t="shared" si="2"/>
        <v>361.55172413793105</v>
      </c>
      <c r="W60" s="431">
        <f t="shared" si="3"/>
        <v>0</v>
      </c>
      <c r="X60" s="432">
        <f t="shared" si="4"/>
        <v>1</v>
      </c>
      <c r="Y60" s="433">
        <v>0.4</v>
      </c>
      <c r="Z60" s="424"/>
      <c r="AA60" s="449"/>
      <c r="AB60" s="421"/>
      <c r="AC60" s="421"/>
      <c r="AD60" s="421"/>
      <c r="BA60" s="424">
        <v>1</v>
      </c>
      <c r="BB60" s="424"/>
      <c r="BC60" s="424"/>
      <c r="BD60" s="424"/>
      <c r="BE60" s="424"/>
      <c r="BF60" s="424"/>
      <c r="BG60" s="424"/>
      <c r="BH60" s="424"/>
      <c r="BI60" s="424"/>
      <c r="BJ60" s="420">
        <v>8</v>
      </c>
      <c r="BK60" s="420">
        <f t="shared" si="9"/>
        <v>1</v>
      </c>
      <c r="BL60" s="434">
        <f t="shared" si="10"/>
        <v>0.125</v>
      </c>
      <c r="BM60" s="435"/>
      <c r="BN60" s="435"/>
      <c r="BO60" s="435"/>
      <c r="BP60" s="435"/>
      <c r="BQ60" s="435"/>
      <c r="BR60" s="435"/>
      <c r="BS60" s="436">
        <v>0</v>
      </c>
      <c r="BT60" s="463">
        <f t="shared" si="5"/>
        <v>0</v>
      </c>
      <c r="BU60" s="463"/>
      <c r="BV60" s="436"/>
      <c r="CJ60" s="436"/>
      <c r="CK60" s="436"/>
      <c r="CL60" s="436"/>
      <c r="CM60" s="436"/>
      <c r="CN60" s="436"/>
      <c r="CO60" s="436"/>
      <c r="CP60" s="437"/>
      <c r="CQ60" s="437"/>
      <c r="CR60" s="438"/>
      <c r="CS60" s="438"/>
      <c r="CT60" s="438"/>
      <c r="CU60" s="438"/>
      <c r="CV60" s="438"/>
      <c r="CW60" s="438"/>
      <c r="CX60" s="438"/>
      <c r="CY60" s="438"/>
      <c r="CZ60" s="438"/>
      <c r="DA60" s="438"/>
    </row>
    <row r="61" spans="1:105" ht="51">
      <c r="A61" s="424">
        <v>50</v>
      </c>
      <c r="B61" s="440" t="s">
        <v>75</v>
      </c>
      <c r="C61" s="441" t="s">
        <v>176</v>
      </c>
      <c r="D61" s="440"/>
      <c r="E61" s="420"/>
      <c r="F61" s="420"/>
      <c r="G61" s="421" t="s">
        <v>232</v>
      </c>
      <c r="H61" s="442" t="s">
        <v>60</v>
      </c>
      <c r="I61" s="423" t="s">
        <v>204</v>
      </c>
      <c r="J61" s="424" t="s">
        <v>62</v>
      </c>
      <c r="K61" s="425" t="s">
        <v>63</v>
      </c>
      <c r="L61" s="421">
        <v>1</v>
      </c>
      <c r="M61" s="453"/>
      <c r="N61" s="427" t="s">
        <v>64</v>
      </c>
      <c r="O61" s="427">
        <v>10000</v>
      </c>
      <c r="P61" s="428">
        <v>0</v>
      </c>
      <c r="Q61" s="428"/>
      <c r="R61" s="428"/>
      <c r="S61" s="428">
        <v>0</v>
      </c>
      <c r="T61" s="429" t="s">
        <v>233</v>
      </c>
      <c r="U61" s="430">
        <v>599</v>
      </c>
      <c r="V61" s="428">
        <f t="shared" si="2"/>
        <v>309.82758620689657</v>
      </c>
      <c r="W61" s="431">
        <f t="shared" si="3"/>
        <v>0</v>
      </c>
      <c r="X61" s="432">
        <f t="shared" si="4"/>
        <v>1</v>
      </c>
      <c r="Y61" s="433">
        <v>0.4</v>
      </c>
      <c r="Z61" s="424"/>
      <c r="AA61" s="449"/>
      <c r="AB61" s="421"/>
      <c r="AC61" s="421"/>
      <c r="AD61" s="421"/>
      <c r="BA61" s="424">
        <v>1</v>
      </c>
      <c r="BB61" s="424"/>
      <c r="BC61" s="424"/>
      <c r="BD61" s="424"/>
      <c r="BE61" s="424"/>
      <c r="BF61" s="424"/>
      <c r="BG61" s="424"/>
      <c r="BH61" s="424"/>
      <c r="BI61" s="424"/>
      <c r="BJ61" s="420">
        <v>8</v>
      </c>
      <c r="BK61" s="420">
        <f t="shared" si="9"/>
        <v>1</v>
      </c>
      <c r="BL61" s="434">
        <f t="shared" si="10"/>
        <v>0.125</v>
      </c>
      <c r="BM61" s="435"/>
      <c r="BN61" s="435"/>
      <c r="BO61" s="435"/>
      <c r="BP61" s="435"/>
      <c r="BQ61" s="435"/>
      <c r="BR61" s="435"/>
      <c r="BS61" s="436">
        <v>0</v>
      </c>
      <c r="BT61" s="463">
        <f t="shared" si="5"/>
        <v>0</v>
      </c>
      <c r="BU61" s="463"/>
      <c r="BV61" s="436"/>
      <c r="CJ61" s="436"/>
      <c r="CK61" s="436"/>
      <c r="CL61" s="436"/>
      <c r="CM61" s="436"/>
      <c r="CN61" s="436"/>
      <c r="CO61" s="436"/>
      <c r="CP61" s="437"/>
      <c r="CQ61" s="437"/>
      <c r="CR61" s="438"/>
      <c r="CS61" s="438"/>
      <c r="CT61" s="438"/>
      <c r="CU61" s="438"/>
      <c r="CV61" s="438"/>
      <c r="CW61" s="438"/>
      <c r="CX61" s="438"/>
      <c r="CY61" s="438"/>
      <c r="CZ61" s="438"/>
      <c r="DA61" s="438"/>
    </row>
    <row r="62" spans="1:105" ht="76.5">
      <c r="A62" s="424">
        <v>51</v>
      </c>
      <c r="B62" s="440" t="s">
        <v>75</v>
      </c>
      <c r="C62" s="441" t="s">
        <v>176</v>
      </c>
      <c r="D62" s="440"/>
      <c r="E62" s="420"/>
      <c r="F62" s="420"/>
      <c r="G62" s="421" t="s">
        <v>234</v>
      </c>
      <c r="H62" s="442" t="s">
        <v>60</v>
      </c>
      <c r="I62" s="423" t="s">
        <v>204</v>
      </c>
      <c r="J62" s="424" t="s">
        <v>62</v>
      </c>
      <c r="K62" s="425" t="s">
        <v>63</v>
      </c>
      <c r="L62" s="421">
        <v>1</v>
      </c>
      <c r="M62" s="453">
        <v>0.42</v>
      </c>
      <c r="N62" s="427" t="s">
        <v>64</v>
      </c>
      <c r="O62" s="427">
        <v>10000</v>
      </c>
      <c r="P62" s="428">
        <v>7.56</v>
      </c>
      <c r="Q62" s="428">
        <v>0.5292</v>
      </c>
      <c r="R62" s="428">
        <v>0.16178400000000001</v>
      </c>
      <c r="S62" s="452">
        <v>8.2509840000000008</v>
      </c>
      <c r="T62" s="429" t="s">
        <v>235</v>
      </c>
      <c r="U62" s="430">
        <v>599</v>
      </c>
      <c r="V62" s="428">
        <f t="shared" si="2"/>
        <v>309.82758620689657</v>
      </c>
      <c r="W62" s="431">
        <f t="shared" si="3"/>
        <v>2.6630888814691153E-2</v>
      </c>
      <c r="X62" s="432">
        <f t="shared" si="4"/>
        <v>0.97336911118530889</v>
      </c>
      <c r="Y62" s="433">
        <v>0.4</v>
      </c>
      <c r="Z62" s="424"/>
      <c r="AA62" s="449"/>
      <c r="AB62" s="421"/>
      <c r="AC62" s="421"/>
      <c r="AD62" s="421"/>
      <c r="BA62" s="424">
        <v>1</v>
      </c>
      <c r="BB62" s="424"/>
      <c r="BC62" s="424"/>
      <c r="BD62" s="424"/>
      <c r="BE62" s="424"/>
      <c r="BF62" s="424"/>
      <c r="BG62" s="424"/>
      <c r="BH62" s="424"/>
      <c r="BI62" s="424"/>
      <c r="BJ62" s="420">
        <v>8</v>
      </c>
      <c r="BK62" s="420">
        <f t="shared" si="9"/>
        <v>1</v>
      </c>
      <c r="BL62" s="434">
        <f t="shared" si="10"/>
        <v>0.125</v>
      </c>
      <c r="BM62" s="435"/>
      <c r="BN62" s="435"/>
      <c r="BO62" s="435"/>
      <c r="BP62" s="435"/>
      <c r="BQ62" s="435"/>
      <c r="BR62" s="435"/>
      <c r="BS62" s="436">
        <v>0</v>
      </c>
      <c r="BT62" s="463">
        <f t="shared" si="5"/>
        <v>0</v>
      </c>
      <c r="BU62" s="463"/>
      <c r="BV62" s="436"/>
      <c r="CJ62" s="436"/>
      <c r="CK62" s="436"/>
      <c r="CL62" s="436"/>
      <c r="CM62" s="436"/>
      <c r="CN62" s="436"/>
      <c r="CO62" s="436"/>
      <c r="CP62" s="437"/>
      <c r="CQ62" s="437"/>
      <c r="CR62" s="438"/>
      <c r="CS62" s="438"/>
      <c r="CT62" s="438"/>
      <c r="CU62" s="438"/>
      <c r="CV62" s="438"/>
      <c r="CW62" s="438"/>
      <c r="CX62" s="438"/>
      <c r="CY62" s="438"/>
      <c r="CZ62" s="438"/>
      <c r="DA62" s="438"/>
    </row>
    <row r="63" spans="1:105" ht="12.75">
      <c r="A63" s="424">
        <v>52</v>
      </c>
      <c r="B63" s="440" t="s">
        <v>75</v>
      </c>
      <c r="C63" s="441" t="s">
        <v>176</v>
      </c>
      <c r="D63" s="440"/>
      <c r="E63" s="420"/>
      <c r="F63" s="420" t="s">
        <v>236</v>
      </c>
      <c r="G63" s="421" t="s">
        <v>237</v>
      </c>
      <c r="H63" s="442"/>
      <c r="I63" s="423"/>
      <c r="J63" s="424"/>
      <c r="K63" s="425" t="s">
        <v>63</v>
      </c>
      <c r="L63" s="421">
        <v>1</v>
      </c>
      <c r="M63" s="443"/>
      <c r="N63" s="427" t="s">
        <v>64</v>
      </c>
      <c r="O63" s="427">
        <v>20002</v>
      </c>
      <c r="P63" s="428">
        <v>0</v>
      </c>
      <c r="Q63" s="428"/>
      <c r="R63" s="428"/>
      <c r="S63" s="428">
        <v>16.53</v>
      </c>
      <c r="T63" s="428">
        <v>249</v>
      </c>
      <c r="U63" s="430">
        <v>89</v>
      </c>
      <c r="V63" s="428">
        <f t="shared" si="2"/>
        <v>46.03448275862069</v>
      </c>
      <c r="W63" s="431">
        <f t="shared" si="3"/>
        <v>0.35907865168539327</v>
      </c>
      <c r="X63" s="432">
        <f t="shared" si="4"/>
        <v>0.64092134831460679</v>
      </c>
      <c r="Y63" s="433">
        <v>0.4</v>
      </c>
      <c r="Z63" s="424"/>
      <c r="AA63" s="427"/>
      <c r="AB63" s="425"/>
      <c r="AC63" s="425"/>
      <c r="AD63" s="425"/>
      <c r="BA63" s="424">
        <v>1</v>
      </c>
      <c r="BB63" s="441"/>
      <c r="BC63" s="441"/>
      <c r="BD63" s="441"/>
      <c r="BE63" s="441"/>
      <c r="BF63" s="441"/>
      <c r="BG63" s="441"/>
      <c r="BH63" s="441"/>
      <c r="BI63" s="441"/>
      <c r="BJ63" s="420">
        <v>8</v>
      </c>
      <c r="BK63" s="420">
        <f t="shared" si="9"/>
        <v>1</v>
      </c>
      <c r="BL63" s="434">
        <f t="shared" si="10"/>
        <v>0.125</v>
      </c>
      <c r="BM63" s="435"/>
      <c r="BN63" s="435"/>
      <c r="BO63" s="435"/>
      <c r="BP63" s="435"/>
      <c r="BQ63" s="435"/>
      <c r="BR63" s="435"/>
      <c r="BS63" s="436">
        <v>0</v>
      </c>
      <c r="BT63" s="463">
        <f t="shared" si="5"/>
        <v>0</v>
      </c>
      <c r="BU63" s="463"/>
      <c r="BV63" s="436"/>
      <c r="CJ63" s="436"/>
      <c r="CK63" s="436"/>
      <c r="CL63" s="436"/>
      <c r="CM63" s="436"/>
      <c r="CN63" s="436"/>
      <c r="CO63" s="436"/>
      <c r="CP63" s="437"/>
      <c r="CQ63" s="437"/>
      <c r="CR63" s="438"/>
      <c r="CS63" s="438"/>
      <c r="CT63" s="438"/>
      <c r="CU63" s="438"/>
      <c r="CV63" s="438"/>
      <c r="CW63" s="438"/>
      <c r="CX63" s="438"/>
      <c r="CY63" s="438"/>
      <c r="CZ63" s="438"/>
      <c r="DA63" s="438"/>
    </row>
    <row r="64" spans="1:105" ht="12.75">
      <c r="A64" s="424">
        <v>53</v>
      </c>
      <c r="B64" s="440" t="s">
        <v>75</v>
      </c>
      <c r="C64" s="441" t="s">
        <v>176</v>
      </c>
      <c r="D64" s="440"/>
      <c r="E64" s="420"/>
      <c r="F64" s="420" t="s">
        <v>238</v>
      </c>
      <c r="G64" s="421" t="s">
        <v>239</v>
      </c>
      <c r="H64" s="442"/>
      <c r="I64" s="423"/>
      <c r="J64" s="424"/>
      <c r="K64" s="425" t="s">
        <v>63</v>
      </c>
      <c r="L64" s="421">
        <v>1</v>
      </c>
      <c r="M64" s="443"/>
      <c r="N64" s="427" t="s">
        <v>64</v>
      </c>
      <c r="O64" s="427">
        <v>20003</v>
      </c>
      <c r="P64" s="428">
        <v>0</v>
      </c>
      <c r="Q64" s="428"/>
      <c r="R64" s="428"/>
      <c r="S64" s="428">
        <v>17.89</v>
      </c>
      <c r="T64" s="428">
        <v>249</v>
      </c>
      <c r="U64" s="430">
        <v>89</v>
      </c>
      <c r="V64" s="428">
        <f t="shared" si="2"/>
        <v>46.03448275862069</v>
      </c>
      <c r="W64" s="431">
        <f t="shared" si="3"/>
        <v>0.38862172284644197</v>
      </c>
      <c r="X64" s="432">
        <f t="shared" si="4"/>
        <v>0.61137827715355808</v>
      </c>
      <c r="Y64" s="433">
        <v>0.4</v>
      </c>
      <c r="Z64" s="424"/>
      <c r="AA64" s="427"/>
      <c r="AB64" s="425"/>
      <c r="AC64" s="425"/>
      <c r="AD64" s="425"/>
      <c r="BA64" s="424">
        <v>1</v>
      </c>
      <c r="BB64" s="441"/>
      <c r="BC64" s="441"/>
      <c r="BD64" s="441"/>
      <c r="BE64" s="441"/>
      <c r="BF64" s="441"/>
      <c r="BG64" s="441"/>
      <c r="BH64" s="441"/>
      <c r="BI64" s="441"/>
      <c r="BJ64" s="420">
        <v>8</v>
      </c>
      <c r="BK64" s="420">
        <f t="shared" si="9"/>
        <v>1</v>
      </c>
      <c r="BL64" s="434">
        <f t="shared" si="10"/>
        <v>0.125</v>
      </c>
      <c r="BM64" s="435"/>
      <c r="BN64" s="435"/>
      <c r="BO64" s="435"/>
      <c r="BP64" s="435"/>
      <c r="BQ64" s="435"/>
      <c r="BR64" s="435"/>
      <c r="BS64" s="436">
        <v>0</v>
      </c>
      <c r="BT64" s="463">
        <f t="shared" si="5"/>
        <v>0</v>
      </c>
      <c r="BU64" s="463"/>
      <c r="BV64" s="436"/>
      <c r="CJ64" s="436"/>
      <c r="CK64" s="436"/>
      <c r="CL64" s="436"/>
      <c r="CM64" s="436"/>
      <c r="CN64" s="436"/>
      <c r="CO64" s="436"/>
      <c r="CP64" s="437"/>
      <c r="CQ64" s="437"/>
      <c r="CR64" s="438"/>
      <c r="CS64" s="438"/>
      <c r="CT64" s="438"/>
      <c r="CU64" s="438"/>
      <c r="CV64" s="438"/>
      <c r="CW64" s="438"/>
      <c r="CX64" s="438"/>
      <c r="CY64" s="438"/>
      <c r="CZ64" s="438"/>
      <c r="DA64" s="438"/>
    </row>
    <row r="65" spans="1:105" ht="12.75">
      <c r="A65" s="424">
        <v>54</v>
      </c>
      <c r="B65" s="440" t="s">
        <v>75</v>
      </c>
      <c r="C65" s="441" t="s">
        <v>176</v>
      </c>
      <c r="D65" s="440"/>
      <c r="E65" s="420"/>
      <c r="F65" s="420" t="s">
        <v>240</v>
      </c>
      <c r="G65" s="421" t="s">
        <v>241</v>
      </c>
      <c r="H65" s="442"/>
      <c r="I65" s="423"/>
      <c r="J65" s="424"/>
      <c r="K65" s="425" t="s">
        <v>63</v>
      </c>
      <c r="L65" s="421">
        <v>1</v>
      </c>
      <c r="M65" s="443"/>
      <c r="N65" s="427" t="s">
        <v>64</v>
      </c>
      <c r="O65" s="427">
        <v>20005</v>
      </c>
      <c r="P65" s="428">
        <v>0</v>
      </c>
      <c r="Q65" s="428"/>
      <c r="R65" s="428"/>
      <c r="S65" s="428">
        <v>17.89</v>
      </c>
      <c r="T65" s="428">
        <v>249</v>
      </c>
      <c r="U65" s="430">
        <v>89</v>
      </c>
      <c r="V65" s="428">
        <f t="shared" si="2"/>
        <v>46.03448275862069</v>
      </c>
      <c r="W65" s="431">
        <f t="shared" si="3"/>
        <v>0.38862172284644197</v>
      </c>
      <c r="X65" s="432">
        <f t="shared" si="4"/>
        <v>0.61137827715355808</v>
      </c>
      <c r="Y65" s="433">
        <v>0.4</v>
      </c>
      <c r="Z65" s="424"/>
      <c r="AA65" s="427"/>
      <c r="AB65" s="425"/>
      <c r="AC65" s="425"/>
      <c r="AD65" s="425"/>
      <c r="BA65" s="424">
        <v>1</v>
      </c>
      <c r="BB65" s="441"/>
      <c r="BC65" s="441"/>
      <c r="BD65" s="441"/>
      <c r="BE65" s="441"/>
      <c r="BF65" s="441"/>
      <c r="BG65" s="441"/>
      <c r="BH65" s="441"/>
      <c r="BI65" s="441"/>
      <c r="BJ65" s="420">
        <v>8</v>
      </c>
      <c r="BK65" s="420">
        <f t="shared" si="9"/>
        <v>1</v>
      </c>
      <c r="BL65" s="434">
        <f t="shared" si="10"/>
        <v>0.125</v>
      </c>
      <c r="BM65" s="435"/>
      <c r="BN65" s="435"/>
      <c r="BO65" s="435"/>
      <c r="BP65" s="435"/>
      <c r="BQ65" s="435"/>
      <c r="BR65" s="435"/>
      <c r="BS65" s="436">
        <v>0</v>
      </c>
      <c r="BT65" s="463">
        <f t="shared" si="5"/>
        <v>0</v>
      </c>
      <c r="BU65" s="463"/>
      <c r="BV65" s="436"/>
      <c r="CJ65" s="436"/>
      <c r="CK65" s="436"/>
      <c r="CL65" s="436"/>
      <c r="CM65" s="436"/>
      <c r="CN65" s="436"/>
      <c r="CO65" s="436"/>
      <c r="CP65" s="437"/>
      <c r="CQ65" s="437"/>
      <c r="CR65" s="438"/>
      <c r="CS65" s="438"/>
      <c r="CT65" s="438"/>
      <c r="CU65" s="438"/>
      <c r="CV65" s="438"/>
      <c r="CW65" s="438"/>
      <c r="CX65" s="438"/>
      <c r="CY65" s="438"/>
      <c r="CZ65" s="438"/>
      <c r="DA65" s="438"/>
    </row>
    <row r="66" spans="1:105" ht="12.75">
      <c r="A66" s="424">
        <v>55</v>
      </c>
      <c r="B66" s="440" t="s">
        <v>75</v>
      </c>
      <c r="C66" s="441" t="s">
        <v>176</v>
      </c>
      <c r="D66" s="440"/>
      <c r="E66" s="420"/>
      <c r="F66" s="420" t="s">
        <v>242</v>
      </c>
      <c r="G66" s="421" t="s">
        <v>243</v>
      </c>
      <c r="H66" s="460"/>
      <c r="I66" s="423"/>
      <c r="J66" s="424"/>
      <c r="K66" s="425" t="s">
        <v>63</v>
      </c>
      <c r="L66" s="421">
        <v>1</v>
      </c>
      <c r="M66" s="443"/>
      <c r="N66" s="427" t="s">
        <v>64</v>
      </c>
      <c r="O66" s="427">
        <v>20006</v>
      </c>
      <c r="P66" s="428">
        <v>0</v>
      </c>
      <c r="Q66" s="428"/>
      <c r="R66" s="428"/>
      <c r="S66" s="428">
        <v>17.89</v>
      </c>
      <c r="T66" s="428">
        <v>249</v>
      </c>
      <c r="U66" s="430">
        <v>89</v>
      </c>
      <c r="V66" s="428">
        <f t="shared" si="2"/>
        <v>46.03448275862069</v>
      </c>
      <c r="W66" s="431">
        <f t="shared" si="3"/>
        <v>0.38862172284644197</v>
      </c>
      <c r="X66" s="432">
        <f t="shared" si="4"/>
        <v>0.61137827715355808</v>
      </c>
      <c r="Y66" s="433">
        <v>0.4</v>
      </c>
      <c r="Z66" s="424"/>
      <c r="AA66" s="427"/>
      <c r="AB66" s="425"/>
      <c r="AC66" s="425"/>
      <c r="AD66" s="425"/>
      <c r="BA66" s="424">
        <v>1</v>
      </c>
      <c r="BB66" s="441"/>
      <c r="BC66" s="441"/>
      <c r="BD66" s="441"/>
      <c r="BE66" s="441"/>
      <c r="BF66" s="441"/>
      <c r="BG66" s="441"/>
      <c r="BH66" s="441"/>
      <c r="BI66" s="441"/>
      <c r="BJ66" s="420">
        <v>8</v>
      </c>
      <c r="BK66" s="420">
        <f t="shared" si="9"/>
        <v>1</v>
      </c>
      <c r="BL66" s="434">
        <f t="shared" si="10"/>
        <v>0.125</v>
      </c>
      <c r="BM66" s="435"/>
      <c r="BN66" s="435"/>
      <c r="BO66" s="435"/>
      <c r="BP66" s="435"/>
      <c r="BQ66" s="435"/>
      <c r="BR66" s="435"/>
      <c r="BS66" s="436">
        <v>0</v>
      </c>
      <c r="BT66" s="463">
        <f t="shared" si="5"/>
        <v>0</v>
      </c>
      <c r="BU66" s="463"/>
      <c r="BV66" s="436"/>
      <c r="CJ66" s="436"/>
      <c r="CK66" s="436"/>
      <c r="CL66" s="436"/>
      <c r="CM66" s="436"/>
      <c r="CN66" s="436"/>
      <c r="CO66" s="436"/>
      <c r="CP66" s="437"/>
      <c r="CQ66" s="437"/>
      <c r="CR66" s="438"/>
      <c r="CS66" s="438"/>
      <c r="CT66" s="438"/>
      <c r="CU66" s="438"/>
      <c r="CV66" s="438"/>
      <c r="CW66" s="438"/>
      <c r="CX66" s="438"/>
      <c r="CY66" s="438"/>
      <c r="CZ66" s="438"/>
      <c r="DA66" s="438"/>
    </row>
    <row r="67" spans="1:105" ht="25.5">
      <c r="A67" s="424">
        <v>56</v>
      </c>
      <c r="B67" s="440" t="s">
        <v>75</v>
      </c>
      <c r="C67" s="441" t="s">
        <v>176</v>
      </c>
      <c r="D67" s="440"/>
      <c r="E67" s="420"/>
      <c r="F67" s="420" t="s">
        <v>244</v>
      </c>
      <c r="G67" s="421" t="s">
        <v>245</v>
      </c>
      <c r="H67" s="442"/>
      <c r="I67" s="423"/>
      <c r="J67" s="424"/>
      <c r="K67" s="425" t="s">
        <v>63</v>
      </c>
      <c r="L67" s="421">
        <v>1</v>
      </c>
      <c r="M67" s="443"/>
      <c r="N67" s="427" t="s">
        <v>64</v>
      </c>
      <c r="O67" s="427">
        <v>20008</v>
      </c>
      <c r="P67" s="428">
        <v>0</v>
      </c>
      <c r="Q67" s="428"/>
      <c r="R67" s="428"/>
      <c r="S67" s="428">
        <v>15.9</v>
      </c>
      <c r="T67" s="428">
        <v>249</v>
      </c>
      <c r="U67" s="430">
        <v>79</v>
      </c>
      <c r="V67" s="428">
        <f t="shared" si="2"/>
        <v>40.862068965517246</v>
      </c>
      <c r="W67" s="431">
        <f t="shared" si="3"/>
        <v>0.38911392405063289</v>
      </c>
      <c r="X67" s="432">
        <f t="shared" si="4"/>
        <v>0.61088607594936706</v>
      </c>
      <c r="Y67" s="433">
        <v>0.4</v>
      </c>
      <c r="Z67" s="424"/>
      <c r="AA67" s="427"/>
      <c r="AB67" s="425"/>
      <c r="AC67" s="425"/>
      <c r="AD67" s="425"/>
      <c r="BA67" s="424">
        <v>1</v>
      </c>
      <c r="BB67" s="441"/>
      <c r="BC67" s="441"/>
      <c r="BD67" s="441"/>
      <c r="BE67" s="441"/>
      <c r="BF67" s="441"/>
      <c r="BG67" s="441"/>
      <c r="BH67" s="441"/>
      <c r="BI67" s="441"/>
      <c r="BJ67" s="420">
        <v>8</v>
      </c>
      <c r="BK67" s="420">
        <f t="shared" si="9"/>
        <v>1</v>
      </c>
      <c r="BL67" s="434">
        <f t="shared" si="10"/>
        <v>0.125</v>
      </c>
      <c r="BM67" s="435"/>
      <c r="BN67" s="435"/>
      <c r="BO67" s="435"/>
      <c r="BP67" s="435"/>
      <c r="BQ67" s="435"/>
      <c r="BR67" s="435"/>
      <c r="BS67" s="436">
        <v>0</v>
      </c>
      <c r="BT67" s="463">
        <f t="shared" si="5"/>
        <v>0</v>
      </c>
      <c r="BU67" s="463"/>
      <c r="BV67" s="436"/>
      <c r="CJ67" s="436"/>
      <c r="CK67" s="436"/>
      <c r="CL67" s="436"/>
      <c r="CM67" s="436"/>
      <c r="CN67" s="436"/>
      <c r="CO67" s="436"/>
      <c r="CP67" s="437"/>
      <c r="CQ67" s="437"/>
      <c r="CR67" s="438"/>
      <c r="CS67" s="438"/>
      <c r="CT67" s="438"/>
      <c r="CU67" s="438"/>
      <c r="CV67" s="438"/>
      <c r="CW67" s="438"/>
      <c r="CX67" s="438"/>
      <c r="CY67" s="438"/>
      <c r="CZ67" s="438"/>
      <c r="DA67" s="438"/>
    </row>
    <row r="68" spans="1:105" ht="12.75">
      <c r="A68" s="424">
        <v>57</v>
      </c>
      <c r="B68" s="440" t="s">
        <v>75</v>
      </c>
      <c r="C68" s="441" t="s">
        <v>176</v>
      </c>
      <c r="D68" s="440"/>
      <c r="E68" s="420"/>
      <c r="F68" s="420" t="s">
        <v>246</v>
      </c>
      <c r="G68" s="421" t="s">
        <v>247</v>
      </c>
      <c r="H68" s="442"/>
      <c r="I68" s="423"/>
      <c r="J68" s="424"/>
      <c r="K68" s="425" t="s">
        <v>63</v>
      </c>
      <c r="L68" s="421">
        <v>1</v>
      </c>
      <c r="M68" s="443"/>
      <c r="N68" s="427" t="s">
        <v>64</v>
      </c>
      <c r="O68" s="427">
        <v>20009</v>
      </c>
      <c r="P68" s="428">
        <v>0</v>
      </c>
      <c r="Q68" s="428"/>
      <c r="R68" s="428"/>
      <c r="S68" s="428">
        <v>15.9</v>
      </c>
      <c r="T68" s="428">
        <v>249</v>
      </c>
      <c r="U68" s="430">
        <v>79</v>
      </c>
      <c r="V68" s="428">
        <f t="shared" si="2"/>
        <v>40.862068965517246</v>
      </c>
      <c r="W68" s="431">
        <f t="shared" si="3"/>
        <v>0.38911392405063289</v>
      </c>
      <c r="X68" s="432">
        <f t="shared" si="4"/>
        <v>0.61088607594936706</v>
      </c>
      <c r="Y68" s="433">
        <v>0.4</v>
      </c>
      <c r="Z68" s="424"/>
      <c r="AA68" s="427"/>
      <c r="AB68" s="425"/>
      <c r="AC68" s="425"/>
      <c r="AD68" s="425"/>
      <c r="BA68" s="424">
        <v>1</v>
      </c>
      <c r="BB68" s="441"/>
      <c r="BC68" s="441"/>
      <c r="BD68" s="441"/>
      <c r="BE68" s="441"/>
      <c r="BF68" s="441"/>
      <c r="BG68" s="441"/>
      <c r="BH68" s="441"/>
      <c r="BI68" s="441"/>
      <c r="BJ68" s="420">
        <v>8</v>
      </c>
      <c r="BK68" s="420">
        <f t="shared" si="9"/>
        <v>1</v>
      </c>
      <c r="BL68" s="434">
        <f t="shared" si="10"/>
        <v>0.125</v>
      </c>
      <c r="BM68" s="435"/>
      <c r="BN68" s="435"/>
      <c r="BO68" s="435"/>
      <c r="BP68" s="435"/>
      <c r="BQ68" s="435"/>
      <c r="BR68" s="435"/>
      <c r="BS68" s="436">
        <v>0</v>
      </c>
      <c r="BT68" s="463">
        <f t="shared" si="5"/>
        <v>0</v>
      </c>
      <c r="BU68" s="463"/>
      <c r="BV68" s="436"/>
      <c r="CJ68" s="436"/>
      <c r="CK68" s="436"/>
      <c r="CL68" s="436"/>
      <c r="CM68" s="436"/>
      <c r="CN68" s="436"/>
      <c r="CO68" s="436"/>
      <c r="CP68" s="437"/>
      <c r="CQ68" s="437"/>
      <c r="CR68" s="438"/>
      <c r="CS68" s="438"/>
      <c r="CT68" s="438"/>
      <c r="CU68" s="438"/>
      <c r="CV68" s="438"/>
      <c r="CW68" s="438"/>
      <c r="CX68" s="438"/>
      <c r="CY68" s="438"/>
      <c r="CZ68" s="438"/>
      <c r="DA68" s="438"/>
    </row>
  </sheetData>
  <mergeCells count="1">
    <mergeCell ref="CJ14:DA14"/>
  </mergeCells>
  <conditionalFormatting sqref="W17:W68">
    <cfRule type="cellIs" dxfId="19" priority="2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A114"/>
  <sheetViews>
    <sheetView topLeftCell="A12" zoomScale="29" zoomScaleNormal="40" workbookViewId="0">
      <pane ySplit="5" topLeftCell="A17" activePane="bottomLeft" state="frozen"/>
      <selection pane="bottomLeft" activeCell="CJ21" sqref="CJ21"/>
      <selection activeCell="A17" sqref="A17"/>
    </sheetView>
  </sheetViews>
  <sheetFormatPr defaultColWidth="11.5703125" defaultRowHeight="27" customHeight="1"/>
  <cols>
    <col min="1" max="1" width="30.5703125" bestFit="1" customWidth="1"/>
    <col min="2" max="3" width="47.28515625" customWidth="1"/>
    <col min="4" max="4" width="26.28515625" bestFit="1" customWidth="1"/>
    <col min="5" max="5" width="39.42578125" bestFit="1" customWidth="1"/>
    <col min="6" max="6" width="41.5703125" bestFit="1" customWidth="1"/>
    <col min="7" max="7" width="11.5703125" customWidth="1"/>
    <col min="8" max="8" width="23.7109375" hidden="1" customWidth="1"/>
    <col min="9" max="9" width="29.42578125" hidden="1" customWidth="1"/>
    <col min="10" max="10" width="16.85546875" hidden="1" customWidth="1"/>
    <col min="11" max="11" width="63.5703125" hidden="1" customWidth="1"/>
    <col min="12" max="12" width="35.85546875" hidden="1" customWidth="1"/>
    <col min="13" max="13" width="44.7109375" hidden="1" customWidth="1"/>
    <col min="14" max="14" width="255.5703125" hidden="1" customWidth="1"/>
    <col min="15" max="15" width="64.5703125" hidden="1" customWidth="1"/>
    <col min="16" max="16" width="34.140625" style="350" hidden="1" customWidth="1"/>
    <col min="17" max="17" width="26.85546875" hidden="1" customWidth="1"/>
    <col min="18" max="18" width="74" hidden="1" customWidth="1"/>
    <col min="19" max="19" width="75.5703125" hidden="1" customWidth="1"/>
    <col min="20" max="20" width="26.28515625" hidden="1" customWidth="1"/>
    <col min="21" max="21" width="47.28515625" hidden="1" customWidth="1"/>
    <col min="22" max="23" width="56.28515625" hidden="1" customWidth="1"/>
    <col min="24" max="24" width="55.140625" hidden="1" customWidth="1"/>
    <col min="25" max="25" width="63.5703125" hidden="1" customWidth="1"/>
    <col min="26" max="26" width="34.7109375" hidden="1" customWidth="1"/>
    <col min="27" max="27" width="66.5703125" hidden="1" customWidth="1"/>
    <col min="28" max="28" width="30" hidden="1" customWidth="1"/>
    <col min="29" max="29" width="40.42578125" hidden="1" customWidth="1"/>
    <col min="30" max="30" width="44.140625" hidden="1" customWidth="1"/>
    <col min="31" max="31" width="15.85546875" hidden="1" customWidth="1"/>
    <col min="32" max="32" width="18.5703125" hidden="1" customWidth="1"/>
    <col min="33" max="33" width="66.85546875" style="272" hidden="1" customWidth="1"/>
    <col min="34" max="36" width="35.28515625" customWidth="1"/>
    <col min="37" max="37" width="155.5703125" customWidth="1"/>
    <col min="38" max="38" width="56.28515625" customWidth="1"/>
    <col min="39" max="39" width="63.5703125" customWidth="1"/>
    <col min="40" max="40" width="36.85546875" customWidth="1"/>
    <col min="41" max="41" width="66.5703125" customWidth="1"/>
    <col min="42" max="42" width="31.140625" customWidth="1"/>
    <col min="43" max="52" width="11.5703125" customWidth="1"/>
    <col min="53" max="64" width="22.42578125" customWidth="1"/>
    <col min="65" max="69" width="22.42578125" style="168" customWidth="1"/>
    <col min="70" max="72" width="43.140625" style="277" customWidth="1"/>
    <col min="73" max="87" width="11.5703125" customWidth="1"/>
    <col min="88" max="89" width="35.42578125" style="279" customWidth="1"/>
    <col min="90" max="90" width="40.42578125" style="279" customWidth="1"/>
    <col min="91" max="93" width="35.42578125" style="279" customWidth="1"/>
    <col min="94" max="105" width="35.42578125" style="266" customWidth="1"/>
    <col min="16384" max="16384" width="11.5703125" bestFit="1" customWidth="1"/>
  </cols>
  <sheetData>
    <row r="1" spans="1:105" s="168" customFormat="1" ht="35.25">
      <c r="A1" s="307"/>
      <c r="B1" s="308" t="s">
        <v>13</v>
      </c>
      <c r="C1" s="309" t="s">
        <v>248</v>
      </c>
      <c r="D1" s="177"/>
      <c r="E1" s="178"/>
      <c r="F1" s="177"/>
      <c r="G1" s="177"/>
      <c r="H1" s="179"/>
      <c r="I1" s="177"/>
      <c r="J1" s="177"/>
      <c r="K1" s="177"/>
      <c r="L1" s="177"/>
      <c r="M1" s="180"/>
      <c r="N1" s="180"/>
      <c r="O1" s="177"/>
      <c r="P1" s="346"/>
      <c r="Q1" s="180"/>
      <c r="R1" s="180"/>
      <c r="S1" s="180"/>
      <c r="T1" s="180"/>
      <c r="U1" s="180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L1" s="182"/>
      <c r="AM1" s="183"/>
      <c r="AN1" s="183"/>
      <c r="AO1" s="183"/>
      <c r="AP1" s="183"/>
      <c r="BA1" s="182"/>
      <c r="BB1" s="183"/>
      <c r="BC1" s="183"/>
      <c r="BD1" s="183"/>
      <c r="BE1" s="183"/>
      <c r="BF1" s="183"/>
      <c r="BG1" s="183"/>
      <c r="BH1" s="183"/>
      <c r="BI1" s="183"/>
      <c r="BJ1" s="183"/>
      <c r="BK1" s="183"/>
      <c r="BL1" s="183"/>
      <c r="BM1" s="183"/>
      <c r="BN1" s="183"/>
      <c r="BO1" s="183"/>
      <c r="BP1" s="183"/>
      <c r="BQ1" s="183"/>
      <c r="BR1" s="276"/>
      <c r="BS1" s="276"/>
      <c r="BT1" s="276"/>
      <c r="CJ1" s="165"/>
      <c r="CK1" s="165"/>
      <c r="CL1" s="165"/>
      <c r="CM1" s="165"/>
      <c r="CN1" s="165"/>
      <c r="CO1" s="165"/>
      <c r="CP1" s="165"/>
      <c r="CQ1" s="165"/>
      <c r="CR1" s="165"/>
      <c r="CS1" s="165"/>
      <c r="CT1" s="165"/>
      <c r="CU1" s="165"/>
      <c r="CV1" s="165"/>
      <c r="CW1" s="165"/>
      <c r="CX1" s="165"/>
      <c r="CY1" s="165"/>
      <c r="CZ1" s="165"/>
      <c r="DA1" s="165"/>
    </row>
    <row r="2" spans="1:105" s="168" customFormat="1" ht="35.25">
      <c r="A2" s="396" t="s">
        <v>249</v>
      </c>
      <c r="B2" s="396"/>
      <c r="C2" s="310"/>
      <c r="D2" s="177"/>
      <c r="E2" s="178"/>
      <c r="F2" s="177"/>
      <c r="G2" s="177"/>
      <c r="H2" s="179"/>
      <c r="I2" s="177"/>
      <c r="J2" s="177"/>
      <c r="K2" s="177"/>
      <c r="L2" s="177"/>
      <c r="M2" s="180"/>
      <c r="N2" s="180"/>
      <c r="O2" s="177"/>
      <c r="P2" s="346"/>
      <c r="Q2" s="180"/>
      <c r="R2" s="180"/>
      <c r="S2" s="180"/>
      <c r="T2" s="180"/>
      <c r="U2" s="180"/>
      <c r="V2" s="181"/>
      <c r="W2" s="181"/>
      <c r="X2" s="181"/>
      <c r="Y2" s="181"/>
      <c r="Z2" s="181"/>
      <c r="AA2" s="181"/>
      <c r="AB2" s="181"/>
      <c r="AC2" s="181"/>
      <c r="AD2" s="181"/>
      <c r="AE2" s="181"/>
      <c r="AF2" s="181"/>
      <c r="AG2" s="181"/>
      <c r="AH2" s="181"/>
      <c r="AI2" s="181"/>
      <c r="AJ2" s="181"/>
      <c r="AL2" s="182"/>
      <c r="AM2" s="183"/>
      <c r="AN2" s="183"/>
      <c r="AO2" s="183"/>
      <c r="AP2" s="183"/>
      <c r="BA2" s="182"/>
      <c r="BB2" s="183"/>
      <c r="BC2" s="183"/>
      <c r="BD2" s="183"/>
      <c r="BE2" s="183"/>
      <c r="BF2" s="183"/>
      <c r="BG2" s="183"/>
      <c r="BH2" s="183"/>
      <c r="BI2" s="183"/>
      <c r="BJ2" s="183"/>
      <c r="BK2" s="183"/>
      <c r="BL2" s="183"/>
      <c r="BM2" s="183"/>
      <c r="BN2" s="183"/>
      <c r="BO2" s="183"/>
      <c r="BP2" s="183"/>
      <c r="BQ2" s="183"/>
      <c r="BR2" s="276"/>
      <c r="BS2" s="276"/>
      <c r="BT2" s="276"/>
      <c r="CJ2" s="165"/>
      <c r="CK2" s="165"/>
      <c r="CL2" s="165"/>
      <c r="CM2" s="165"/>
      <c r="CN2" s="165"/>
      <c r="CO2" s="165"/>
      <c r="CP2" s="165"/>
      <c r="CQ2" s="165"/>
      <c r="CR2" s="165"/>
      <c r="CS2" s="165"/>
      <c r="CT2" s="165"/>
      <c r="CU2" s="165"/>
      <c r="CV2" s="165"/>
      <c r="CW2" s="165"/>
      <c r="CX2" s="165"/>
      <c r="CY2" s="165"/>
      <c r="CZ2" s="165"/>
      <c r="DA2" s="165"/>
    </row>
    <row r="3" spans="1:105" s="168" customFormat="1" ht="35.25">
      <c r="A3" s="311" t="s">
        <v>250</v>
      </c>
      <c r="B3" s="312">
        <v>46113</v>
      </c>
      <c r="C3" s="313">
        <v>46133</v>
      </c>
      <c r="D3" s="177"/>
      <c r="E3" s="178"/>
      <c r="F3" s="177"/>
      <c r="G3" s="177"/>
      <c r="H3" s="179"/>
      <c r="I3" s="177"/>
      <c r="J3" s="177"/>
      <c r="K3" s="177"/>
      <c r="L3" s="177"/>
      <c r="M3" s="180"/>
      <c r="N3" s="180"/>
      <c r="O3" s="177"/>
      <c r="P3" s="346"/>
      <c r="Q3" s="180"/>
      <c r="R3" s="180"/>
      <c r="S3" s="180"/>
      <c r="T3" s="180"/>
      <c r="U3" s="180"/>
      <c r="V3" s="181"/>
      <c r="W3" s="181"/>
      <c r="X3" s="181"/>
      <c r="Y3" s="181"/>
      <c r="Z3" s="181"/>
      <c r="AA3" s="181"/>
      <c r="AB3" s="181"/>
      <c r="AC3" s="181"/>
      <c r="AD3" s="181"/>
      <c r="AE3" s="181"/>
      <c r="AF3" s="181"/>
      <c r="AG3" s="181"/>
      <c r="AH3" s="181"/>
      <c r="AI3" s="181"/>
      <c r="AJ3" s="181"/>
      <c r="AL3" s="182"/>
      <c r="AM3" s="183"/>
      <c r="AN3" s="183"/>
      <c r="AO3" s="183"/>
      <c r="AP3" s="183"/>
      <c r="BA3" s="182"/>
      <c r="BB3" s="183"/>
      <c r="BC3" s="183"/>
      <c r="BD3" s="183"/>
      <c r="BE3" s="183"/>
      <c r="BF3" s="183"/>
      <c r="BG3" s="183"/>
      <c r="BH3" s="183"/>
      <c r="BI3" s="183"/>
      <c r="BJ3" s="183"/>
      <c r="BK3" s="183"/>
      <c r="BL3" s="183"/>
      <c r="BM3" s="183"/>
      <c r="BN3" s="183"/>
      <c r="BO3" s="183"/>
      <c r="BP3" s="183"/>
      <c r="BQ3" s="183"/>
      <c r="BR3" s="276"/>
      <c r="BS3" s="276"/>
      <c r="BT3" s="276"/>
      <c r="CJ3" s="165"/>
      <c r="CK3" s="165"/>
      <c r="CL3" s="165"/>
      <c r="CM3" s="165"/>
      <c r="CN3" s="165"/>
      <c r="CO3" s="165"/>
      <c r="CP3" s="165"/>
      <c r="CQ3" s="165"/>
      <c r="CR3" s="165"/>
      <c r="CS3" s="165"/>
      <c r="CT3" s="165"/>
      <c r="CU3" s="165"/>
      <c r="CV3" s="165"/>
      <c r="CW3" s="165"/>
      <c r="CX3" s="165"/>
      <c r="CY3" s="165"/>
      <c r="CZ3" s="165"/>
      <c r="DA3" s="165"/>
    </row>
    <row r="4" spans="1:105" s="168" customFormat="1" ht="35.25">
      <c r="A4" s="311" t="s">
        <v>251</v>
      </c>
      <c r="B4" s="312">
        <f>+B3+2</f>
        <v>46115</v>
      </c>
      <c r="C4" s="314">
        <f>+C3+2</f>
        <v>46135</v>
      </c>
      <c r="D4" s="177"/>
      <c r="E4" s="178"/>
      <c r="F4" s="177"/>
      <c r="G4" s="177"/>
      <c r="H4" s="179"/>
      <c r="I4" s="177"/>
      <c r="J4" s="177"/>
      <c r="K4" s="177"/>
      <c r="L4" s="177"/>
      <c r="M4" s="180"/>
      <c r="N4" s="180"/>
      <c r="O4" s="177"/>
      <c r="P4" s="346"/>
      <c r="Q4" s="180"/>
      <c r="R4" s="180"/>
      <c r="S4" s="180"/>
      <c r="T4" s="180"/>
      <c r="U4" s="180"/>
      <c r="V4" s="181"/>
      <c r="W4" s="181"/>
      <c r="X4" s="181"/>
      <c r="Y4" s="181"/>
      <c r="Z4" s="181"/>
      <c r="AA4" s="181"/>
      <c r="AB4" s="181"/>
      <c r="AC4" s="181"/>
      <c r="AD4" s="181"/>
      <c r="AE4" s="181"/>
      <c r="AF4" s="181"/>
      <c r="AG4" s="181"/>
      <c r="AH4" s="181"/>
      <c r="AI4" s="181"/>
      <c r="AJ4" s="181"/>
      <c r="AL4" s="182"/>
      <c r="AM4" s="183"/>
      <c r="AN4" s="183"/>
      <c r="AO4" s="183"/>
      <c r="AP4" s="183"/>
      <c r="BA4" s="182"/>
      <c r="BB4" s="183"/>
      <c r="BC4" s="183"/>
      <c r="BD4" s="183"/>
      <c r="BE4" s="183"/>
      <c r="BF4" s="183"/>
      <c r="BG4" s="183"/>
      <c r="BH4" s="183"/>
      <c r="BI4" s="183"/>
      <c r="BJ4" s="183"/>
      <c r="BK4" s="183"/>
      <c r="BL4" s="183"/>
      <c r="BM4" s="183"/>
      <c r="BN4" s="183"/>
      <c r="BO4" s="183"/>
      <c r="BP4" s="183"/>
      <c r="BQ4" s="183"/>
      <c r="BR4" s="276"/>
      <c r="BS4" s="276"/>
      <c r="BT4" s="276"/>
      <c r="CJ4" s="165"/>
      <c r="CK4" s="165"/>
      <c r="CL4" s="165"/>
      <c r="CM4" s="165"/>
      <c r="CN4" s="165"/>
      <c r="CO4" s="165"/>
      <c r="CP4" s="165"/>
      <c r="CQ4" s="165"/>
      <c r="CR4" s="165"/>
      <c r="CS4" s="165"/>
      <c r="CT4" s="165"/>
      <c r="CU4" s="165"/>
      <c r="CV4" s="165"/>
      <c r="CW4" s="165"/>
      <c r="CX4" s="165"/>
      <c r="CY4" s="165"/>
      <c r="CZ4" s="165"/>
      <c r="DA4" s="165"/>
    </row>
    <row r="5" spans="1:105" s="168" customFormat="1" ht="35.25">
      <c r="A5" s="311" t="s">
        <v>252</v>
      </c>
      <c r="B5" s="312">
        <f>+B4+7</f>
        <v>46122</v>
      </c>
      <c r="C5" s="314">
        <f>+C4+7</f>
        <v>46142</v>
      </c>
      <c r="D5" s="177"/>
      <c r="E5" s="178"/>
      <c r="F5" s="177"/>
      <c r="G5" s="177"/>
      <c r="H5" s="179"/>
      <c r="I5" s="177"/>
      <c r="J5" s="177"/>
      <c r="K5" s="177"/>
      <c r="L5" s="177"/>
      <c r="M5" s="180"/>
      <c r="N5" s="180"/>
      <c r="O5" s="177"/>
      <c r="P5" s="346"/>
      <c r="Q5" s="180"/>
      <c r="R5" s="180"/>
      <c r="S5" s="180"/>
      <c r="T5" s="180"/>
      <c r="U5" s="180"/>
      <c r="V5" s="181"/>
      <c r="W5" s="181"/>
      <c r="X5" s="181"/>
      <c r="Y5" s="181"/>
      <c r="Z5" s="181"/>
      <c r="AA5" s="181"/>
      <c r="AB5" s="181"/>
      <c r="AC5" s="181"/>
      <c r="AD5" s="181"/>
      <c r="AE5" s="181"/>
      <c r="AF5" s="181"/>
      <c r="AG5" s="181"/>
      <c r="AH5" s="181"/>
      <c r="AI5" s="181"/>
      <c r="AJ5" s="181"/>
      <c r="AL5" s="182"/>
      <c r="AM5" s="183"/>
      <c r="AN5" s="183"/>
      <c r="AO5" s="183"/>
      <c r="AP5" s="183"/>
      <c r="BA5" s="182"/>
      <c r="BB5" s="183"/>
      <c r="BC5" s="183"/>
      <c r="BD5" s="183"/>
      <c r="BE5" s="183"/>
      <c r="BF5" s="183"/>
      <c r="BG5" s="183"/>
      <c r="BH5" s="183"/>
      <c r="BI5" s="183"/>
      <c r="BJ5" s="183"/>
      <c r="BK5" s="183"/>
      <c r="BL5" s="183"/>
      <c r="BM5" s="183"/>
      <c r="BN5" s="183"/>
      <c r="BO5" s="183"/>
      <c r="BP5" s="183"/>
      <c r="BQ5" s="183"/>
      <c r="BR5" s="276"/>
      <c r="BS5" s="276"/>
      <c r="BT5" s="276"/>
      <c r="CJ5" s="165"/>
      <c r="CK5" s="165"/>
      <c r="CL5" s="165"/>
      <c r="CM5" s="165"/>
      <c r="CN5" s="165"/>
      <c r="CO5" s="165"/>
      <c r="CP5" s="165"/>
      <c r="CQ5" s="165"/>
      <c r="CR5" s="165"/>
      <c r="CS5" s="165"/>
      <c r="CT5" s="165"/>
      <c r="CU5" s="165"/>
      <c r="CV5" s="165"/>
      <c r="CW5" s="165"/>
      <c r="CX5" s="165"/>
      <c r="CY5" s="165"/>
      <c r="CZ5" s="165"/>
      <c r="DA5" s="165"/>
    </row>
    <row r="6" spans="1:105" s="168" customFormat="1" ht="35.25">
      <c r="A6" s="311" t="s">
        <v>253</v>
      </c>
      <c r="B6" s="312">
        <f>+B5+5</f>
        <v>46127</v>
      </c>
      <c r="C6" s="314">
        <f>+C5+5</f>
        <v>46147</v>
      </c>
      <c r="D6" s="177"/>
      <c r="E6" s="178"/>
      <c r="F6" s="177"/>
      <c r="G6" s="177"/>
      <c r="H6" s="179"/>
      <c r="I6" s="177"/>
      <c r="J6" s="177"/>
      <c r="K6" s="177"/>
      <c r="L6" s="177"/>
      <c r="M6" s="180"/>
      <c r="N6" s="180"/>
      <c r="O6" s="177"/>
      <c r="P6" s="346"/>
      <c r="Q6" s="180"/>
      <c r="R6" s="180"/>
      <c r="S6" s="180"/>
      <c r="T6" s="180"/>
      <c r="U6" s="180"/>
      <c r="V6" s="181"/>
      <c r="W6" s="181"/>
      <c r="X6" s="181"/>
      <c r="Y6" s="181"/>
      <c r="Z6" s="181"/>
      <c r="AA6" s="181"/>
      <c r="AB6" s="181"/>
      <c r="AC6" s="181"/>
      <c r="AD6" s="181"/>
      <c r="AE6" s="181"/>
      <c r="AF6" s="181"/>
      <c r="AG6" s="181"/>
      <c r="AH6" s="181"/>
      <c r="AI6" s="181"/>
      <c r="AJ6" s="181"/>
      <c r="AL6" s="182"/>
      <c r="AM6" s="183"/>
      <c r="AN6" s="183"/>
      <c r="AO6" s="183"/>
      <c r="AP6" s="183"/>
      <c r="BA6" s="182"/>
      <c r="BB6" s="183"/>
      <c r="BC6" s="183"/>
      <c r="BD6" s="183"/>
      <c r="BE6" s="183"/>
      <c r="BF6" s="183"/>
      <c r="BG6" s="183"/>
      <c r="BH6" s="183"/>
      <c r="BI6" s="183"/>
      <c r="BJ6" s="183"/>
      <c r="BK6" s="183"/>
      <c r="BL6" s="183"/>
      <c r="BM6" s="183"/>
      <c r="BN6" s="183"/>
      <c r="BO6" s="183"/>
      <c r="BP6" s="183"/>
      <c r="BQ6" s="183"/>
      <c r="BR6" s="276"/>
      <c r="BS6" s="276"/>
      <c r="BT6" s="276"/>
      <c r="CJ6" s="165"/>
      <c r="CK6" s="165"/>
      <c r="CL6" s="165"/>
      <c r="CM6" s="165"/>
      <c r="CN6" s="165"/>
      <c r="CO6" s="165"/>
      <c r="CP6" s="165"/>
      <c r="CQ6" s="165"/>
      <c r="CR6" s="165"/>
      <c r="CS6" s="165"/>
      <c r="CT6" s="165"/>
      <c r="CU6" s="165"/>
      <c r="CV6" s="165"/>
      <c r="CW6" s="165"/>
      <c r="CX6" s="165"/>
      <c r="CY6" s="165"/>
      <c r="CZ6" s="165"/>
      <c r="DA6" s="165"/>
    </row>
    <row r="7" spans="1:105" s="168" customFormat="1" ht="35.25">
      <c r="A7" s="311" t="s">
        <v>254</v>
      </c>
      <c r="B7" s="312">
        <f>+B6+2</f>
        <v>46129</v>
      </c>
      <c r="C7" s="314">
        <f>+C6+2</f>
        <v>46149</v>
      </c>
      <c r="D7" s="177"/>
      <c r="E7" s="178"/>
      <c r="F7" s="177"/>
      <c r="G7" s="177"/>
      <c r="H7" s="179"/>
      <c r="I7" s="177"/>
      <c r="J7" s="177"/>
      <c r="K7" s="177"/>
      <c r="L7" s="177"/>
      <c r="M7" s="180"/>
      <c r="N7" s="180"/>
      <c r="O7" s="177"/>
      <c r="P7" s="346"/>
      <c r="Q7" s="180"/>
      <c r="R7" s="180"/>
      <c r="S7" s="180"/>
      <c r="T7" s="180"/>
      <c r="U7" s="180"/>
      <c r="V7" s="181"/>
      <c r="W7" s="181"/>
      <c r="X7" s="181"/>
      <c r="Y7" s="181"/>
      <c r="Z7" s="181"/>
      <c r="AA7" s="181"/>
      <c r="AB7" s="181"/>
      <c r="AC7" s="181"/>
      <c r="AD7" s="181"/>
      <c r="AE7" s="181"/>
      <c r="AF7" s="181"/>
      <c r="AG7" s="181"/>
      <c r="AH7" s="181"/>
      <c r="AI7" s="181"/>
      <c r="AJ7" s="181"/>
      <c r="AL7" s="182"/>
      <c r="AM7" s="183"/>
      <c r="AN7" s="183"/>
      <c r="AO7" s="183"/>
      <c r="AP7" s="183"/>
      <c r="BA7" s="182"/>
      <c r="BB7" s="183"/>
      <c r="BC7" s="183"/>
      <c r="BD7" s="183"/>
      <c r="BE7" s="183"/>
      <c r="BF7" s="183"/>
      <c r="BG7" s="183"/>
      <c r="BH7" s="183"/>
      <c r="BI7" s="183"/>
      <c r="BJ7" s="183"/>
      <c r="BK7" s="183"/>
      <c r="BL7" s="183"/>
      <c r="BM7" s="183"/>
      <c r="BN7" s="183"/>
      <c r="BO7" s="183"/>
      <c r="BP7" s="183"/>
      <c r="BQ7" s="183"/>
      <c r="BR7" s="276"/>
      <c r="BS7" s="276"/>
      <c r="BT7" s="276"/>
      <c r="CJ7" s="165"/>
      <c r="CK7" s="165"/>
      <c r="CL7" s="165"/>
      <c r="CM7" s="165"/>
      <c r="CN7" s="165"/>
      <c r="CO7" s="165"/>
      <c r="CP7" s="165"/>
      <c r="CQ7" s="165"/>
      <c r="CR7" s="165"/>
      <c r="CS7" s="165"/>
      <c r="CT7" s="165"/>
      <c r="CU7" s="165"/>
      <c r="CV7" s="165"/>
      <c r="CW7" s="165"/>
      <c r="CX7" s="165"/>
      <c r="CY7" s="165"/>
      <c r="CZ7" s="165"/>
      <c r="DA7" s="165"/>
    </row>
    <row r="8" spans="1:105" s="168" customFormat="1" ht="35.25">
      <c r="A8" s="311" t="s">
        <v>255</v>
      </c>
      <c r="B8" s="312">
        <f>+B7+45</f>
        <v>46174</v>
      </c>
      <c r="C8" s="314">
        <f>+C7+45</f>
        <v>46194</v>
      </c>
      <c r="D8" s="177"/>
      <c r="E8" s="178"/>
      <c r="F8" s="177"/>
      <c r="G8" s="177"/>
      <c r="H8" s="179"/>
      <c r="I8" s="177"/>
      <c r="J8" s="177"/>
      <c r="K8" s="177"/>
      <c r="L8" s="177"/>
      <c r="M8" s="180"/>
      <c r="N8" s="180"/>
      <c r="O8" s="177"/>
      <c r="P8" s="346"/>
      <c r="Q8" s="180"/>
      <c r="R8" s="180"/>
      <c r="S8" s="180"/>
      <c r="T8" s="180"/>
      <c r="U8" s="180"/>
      <c r="V8" s="181"/>
      <c r="W8" s="181"/>
      <c r="X8" s="181"/>
      <c r="Y8" s="181"/>
      <c r="Z8" s="181"/>
      <c r="AA8" s="181"/>
      <c r="AB8" s="181"/>
      <c r="AC8" s="181"/>
      <c r="AD8" s="181"/>
      <c r="AE8" s="181"/>
      <c r="AF8" s="181"/>
      <c r="AG8" s="181"/>
      <c r="AH8" s="181"/>
      <c r="AI8" s="181"/>
      <c r="AJ8" s="181"/>
      <c r="AL8" s="182"/>
      <c r="AM8" s="183"/>
      <c r="AN8" s="183"/>
      <c r="AO8" s="183"/>
      <c r="AP8" s="183"/>
      <c r="BA8" s="182"/>
      <c r="BB8" s="183"/>
      <c r="BC8" s="183"/>
      <c r="BD8" s="183"/>
      <c r="BE8" s="183"/>
      <c r="BF8" s="183"/>
      <c r="BG8" s="183"/>
      <c r="BH8" s="183"/>
      <c r="BI8" s="183"/>
      <c r="BJ8" s="183"/>
      <c r="BK8" s="183"/>
      <c r="BL8" s="183"/>
      <c r="BM8" s="183"/>
      <c r="BN8" s="183"/>
      <c r="BO8" s="183"/>
      <c r="BP8" s="183"/>
      <c r="BQ8" s="183"/>
      <c r="BR8" s="276"/>
      <c r="BS8" s="276"/>
      <c r="BT8" s="276"/>
      <c r="CJ8" s="165"/>
      <c r="CK8" s="165"/>
      <c r="CL8" s="165"/>
      <c r="CM8" s="165"/>
      <c r="CN8" s="165"/>
      <c r="CO8" s="165"/>
      <c r="CP8" s="165"/>
      <c r="CQ8" s="165"/>
      <c r="CR8" s="165"/>
      <c r="CS8" s="165"/>
      <c r="CT8" s="165"/>
      <c r="CU8" s="165"/>
      <c r="CV8" s="165"/>
      <c r="CW8" s="165"/>
      <c r="CX8" s="165"/>
      <c r="CY8" s="165"/>
      <c r="CZ8" s="165"/>
      <c r="DA8" s="165"/>
    </row>
    <row r="9" spans="1:105" s="168" customFormat="1" ht="35.25">
      <c r="A9" s="311" t="s">
        <v>256</v>
      </c>
      <c r="B9" s="312">
        <f>+B7+40</f>
        <v>46169</v>
      </c>
      <c r="C9" s="314">
        <f>+C7+40</f>
        <v>46189</v>
      </c>
      <c r="D9" s="177"/>
      <c r="E9" s="178"/>
      <c r="F9" s="177"/>
      <c r="G9" s="177"/>
      <c r="H9" s="179"/>
      <c r="I9" s="177"/>
      <c r="J9" s="177"/>
      <c r="K9" s="177"/>
      <c r="L9" s="177"/>
      <c r="M9" s="180"/>
      <c r="N9" s="180"/>
      <c r="O9" s="177"/>
      <c r="P9" s="346"/>
      <c r="Q9" s="180"/>
      <c r="R9" s="180"/>
      <c r="S9" s="180"/>
      <c r="T9" s="180"/>
      <c r="U9" s="180"/>
      <c r="V9" s="181"/>
      <c r="W9" s="181"/>
      <c r="X9" s="181"/>
      <c r="Y9" s="181"/>
      <c r="Z9" s="181"/>
      <c r="AA9" s="181"/>
      <c r="AB9" s="181"/>
      <c r="AC9" s="181"/>
      <c r="AD9" s="181"/>
      <c r="AE9" s="181"/>
      <c r="AF9" s="181"/>
      <c r="AG9" s="181"/>
      <c r="AH9" s="181"/>
      <c r="AI9" s="181"/>
      <c r="AJ9" s="181"/>
      <c r="AL9" s="182"/>
      <c r="AM9" s="183"/>
      <c r="AN9" s="183"/>
      <c r="AO9" s="183"/>
      <c r="AP9" s="183"/>
      <c r="BA9" s="182"/>
      <c r="BB9" s="183"/>
      <c r="BC9" s="183"/>
      <c r="BD9" s="183"/>
      <c r="BE9" s="183"/>
      <c r="BF9" s="183"/>
      <c r="BG9" s="183"/>
      <c r="BH9" s="183"/>
      <c r="BI9" s="183"/>
      <c r="BJ9" s="183"/>
      <c r="BK9" s="183"/>
      <c r="BL9" s="183"/>
      <c r="BM9" s="183"/>
      <c r="BN9" s="183"/>
      <c r="BO9" s="183"/>
      <c r="BP9" s="183"/>
      <c r="BQ9" s="183"/>
      <c r="BR9" s="276"/>
      <c r="BS9" s="276"/>
      <c r="BT9" s="276"/>
      <c r="CJ9" s="165"/>
      <c r="CK9" s="165"/>
      <c r="CL9" s="165"/>
      <c r="CM9" s="165"/>
      <c r="CN9" s="165"/>
      <c r="CO9" s="165"/>
      <c r="CP9" s="165"/>
      <c r="CQ9" s="165"/>
      <c r="CR9" s="165"/>
      <c r="CS9" s="165"/>
      <c r="CT9" s="165"/>
      <c r="CU9" s="165"/>
      <c r="CV9" s="165"/>
      <c r="CW9" s="165"/>
      <c r="CX9" s="165"/>
      <c r="CY9" s="165"/>
      <c r="CZ9" s="165"/>
      <c r="DA9" s="165"/>
    </row>
    <row r="10" spans="1:105" s="168" customFormat="1" ht="35.25">
      <c r="A10" s="311" t="s">
        <v>257</v>
      </c>
      <c r="B10" s="312">
        <f>+B9+65</f>
        <v>46234</v>
      </c>
      <c r="C10" s="314">
        <f>+C9+65</f>
        <v>46254</v>
      </c>
      <c r="D10" s="177"/>
      <c r="E10" s="178"/>
      <c r="F10" s="177"/>
      <c r="G10" s="177"/>
      <c r="H10" s="179"/>
      <c r="I10" s="177"/>
      <c r="J10" s="177"/>
      <c r="K10" s="177"/>
      <c r="L10" s="177"/>
      <c r="M10" s="180"/>
      <c r="N10" s="180"/>
      <c r="O10" s="177"/>
      <c r="P10" s="346"/>
      <c r="Q10" s="180"/>
      <c r="R10" s="180"/>
      <c r="S10" s="180"/>
      <c r="T10" s="180"/>
      <c r="U10" s="180"/>
      <c r="V10" s="181"/>
      <c r="W10" s="181"/>
      <c r="X10" s="181"/>
      <c r="Y10" s="181"/>
      <c r="Z10" s="181"/>
      <c r="AA10" s="181"/>
      <c r="AB10" s="181"/>
      <c r="AC10" s="181"/>
      <c r="AD10" s="181"/>
      <c r="AE10" s="181"/>
      <c r="AF10" s="181"/>
      <c r="AG10" s="181"/>
      <c r="AH10" s="181"/>
      <c r="AI10" s="181"/>
      <c r="AJ10" s="181"/>
      <c r="AL10" s="182"/>
      <c r="AM10" s="183"/>
      <c r="AN10" s="183"/>
      <c r="AO10" s="183"/>
      <c r="AP10" s="183"/>
      <c r="BA10" s="182"/>
      <c r="BB10" s="183"/>
      <c r="BC10" s="183"/>
      <c r="BD10" s="183"/>
      <c r="BE10" s="183"/>
      <c r="BF10" s="183"/>
      <c r="BG10" s="183"/>
      <c r="BH10" s="183"/>
      <c r="BI10" s="183"/>
      <c r="BJ10" s="183"/>
      <c r="BK10" s="183"/>
      <c r="BL10" s="183"/>
      <c r="BM10" s="183"/>
      <c r="BN10" s="183"/>
      <c r="BO10" s="183"/>
      <c r="BP10" s="183"/>
      <c r="BQ10" s="183"/>
      <c r="BR10" s="276"/>
      <c r="BS10" s="276"/>
      <c r="BT10" s="276"/>
      <c r="CJ10" s="165"/>
      <c r="CK10" s="165"/>
      <c r="CL10" s="165"/>
      <c r="CM10" s="165"/>
      <c r="CN10" s="165"/>
      <c r="CO10" s="165"/>
      <c r="CP10" s="165"/>
      <c r="CQ10" s="165"/>
      <c r="CR10" s="165"/>
      <c r="CS10" s="165"/>
      <c r="CT10" s="165"/>
      <c r="CU10" s="165"/>
      <c r="CV10" s="165"/>
      <c r="CW10" s="165"/>
      <c r="CX10" s="165"/>
      <c r="CY10" s="165"/>
      <c r="CZ10" s="165"/>
      <c r="DA10" s="165"/>
    </row>
    <row r="11" spans="1:105" s="168" customFormat="1" ht="35.25">
      <c r="A11" s="315" t="s">
        <v>258</v>
      </c>
      <c r="B11" s="316">
        <f>+B10+14</f>
        <v>46248</v>
      </c>
      <c r="C11" s="317">
        <f>+C10+14</f>
        <v>46268</v>
      </c>
      <c r="D11" s="177"/>
      <c r="E11" s="178"/>
      <c r="F11" s="177"/>
      <c r="G11" s="177"/>
      <c r="H11" s="179"/>
      <c r="I11" s="177"/>
      <c r="J11" s="177"/>
      <c r="K11" s="177"/>
      <c r="L11" s="177"/>
      <c r="M11" s="180"/>
      <c r="N11" s="180"/>
      <c r="O11" s="177"/>
      <c r="P11" s="346"/>
      <c r="Q11" s="180"/>
      <c r="R11" s="180"/>
      <c r="S11" s="180"/>
      <c r="T11" s="180"/>
      <c r="U11" s="180"/>
      <c r="V11" s="181"/>
      <c r="W11" s="181"/>
      <c r="X11" s="181"/>
      <c r="Y11" s="181"/>
      <c r="Z11" s="181"/>
      <c r="AA11" s="181"/>
      <c r="AB11" s="181"/>
      <c r="AC11" s="181"/>
      <c r="AD11" s="181"/>
      <c r="AE11" s="181"/>
      <c r="AF11" s="181"/>
      <c r="AG11" s="181"/>
      <c r="AH11" s="181"/>
      <c r="AI11" s="181"/>
      <c r="AJ11" s="181"/>
      <c r="AL11" s="182"/>
      <c r="AM11" s="183"/>
      <c r="AN11" s="183"/>
      <c r="AO11" s="183"/>
      <c r="AP11" s="183"/>
      <c r="BA11" s="182"/>
      <c r="BB11" s="183"/>
      <c r="BC11" s="183"/>
      <c r="BD11" s="183"/>
      <c r="BE11" s="183"/>
      <c r="BF11" s="183"/>
      <c r="BG11" s="183"/>
      <c r="BH11" s="183"/>
      <c r="BI11" s="183"/>
      <c r="BJ11" s="183"/>
      <c r="BK11" s="183"/>
      <c r="BL11" s="183"/>
      <c r="BM11" s="183"/>
      <c r="BN11" s="183"/>
      <c r="BO11" s="183"/>
      <c r="BP11" s="183"/>
      <c r="BQ11" s="183"/>
      <c r="BR11" s="276"/>
      <c r="BS11" s="276"/>
      <c r="BT11" s="276"/>
      <c r="CJ11" s="165"/>
      <c r="CK11" s="165"/>
      <c r="CL11" s="165"/>
      <c r="CM11" s="165"/>
      <c r="CN11" s="165"/>
      <c r="CO11" s="165"/>
      <c r="CP11" s="165"/>
      <c r="CQ11" s="165"/>
      <c r="CR11" s="165"/>
      <c r="CS11" s="165"/>
      <c r="CT11" s="165"/>
      <c r="CU11" s="165"/>
      <c r="CV11" s="165"/>
      <c r="CW11" s="165"/>
      <c r="CX11" s="165"/>
      <c r="CY11" s="165"/>
      <c r="CZ11" s="165"/>
      <c r="DA11" s="165"/>
    </row>
    <row r="12" spans="1:105" s="168" customFormat="1" ht="35.25">
      <c r="A12" s="177"/>
      <c r="B12" s="181"/>
      <c r="C12" s="181"/>
      <c r="D12" s="177"/>
      <c r="E12" s="178"/>
      <c r="F12" s="177"/>
      <c r="G12" s="177"/>
      <c r="H12" s="179"/>
      <c r="I12" s="177"/>
      <c r="J12" s="177"/>
      <c r="K12" s="177"/>
      <c r="L12" s="177"/>
      <c r="M12" s="180"/>
      <c r="N12" s="180"/>
      <c r="O12" s="177"/>
      <c r="P12" s="346"/>
      <c r="Q12" s="180"/>
      <c r="R12" s="180"/>
      <c r="S12" s="180"/>
      <c r="T12" s="180"/>
      <c r="U12" s="180"/>
      <c r="V12" s="181"/>
      <c r="W12" s="181"/>
      <c r="X12" s="181"/>
      <c r="Y12" s="181"/>
      <c r="Z12" s="181"/>
      <c r="AA12" s="181"/>
      <c r="AB12" s="181"/>
      <c r="AC12" s="181"/>
      <c r="AD12" s="181"/>
      <c r="AE12" s="181"/>
      <c r="AF12" s="181"/>
      <c r="AG12" s="181"/>
      <c r="AH12" s="181"/>
      <c r="AI12" s="181"/>
      <c r="AJ12" s="181"/>
      <c r="AL12" s="182"/>
      <c r="AM12" s="183"/>
      <c r="AN12" s="183"/>
      <c r="AO12" s="183"/>
      <c r="AP12" s="183"/>
      <c r="BA12" s="182"/>
      <c r="BB12" s="183"/>
      <c r="BC12" s="183"/>
      <c r="BD12" s="183"/>
      <c r="BE12" s="183"/>
      <c r="BF12" s="183"/>
      <c r="BG12" s="183"/>
      <c r="BH12" s="183"/>
      <c r="BI12" s="183"/>
      <c r="BJ12" s="183"/>
      <c r="BK12" s="183"/>
      <c r="BL12" s="183"/>
      <c r="BM12" s="183"/>
      <c r="BN12" s="183"/>
      <c r="BO12" s="183"/>
      <c r="BP12" s="183"/>
      <c r="BQ12" s="183"/>
      <c r="BR12" s="276"/>
      <c r="BS12" s="276"/>
      <c r="BT12" s="276"/>
      <c r="CJ12" s="165"/>
      <c r="CK12" s="165"/>
      <c r="CL12" s="165"/>
      <c r="CM12" s="165"/>
      <c r="CN12" s="165"/>
      <c r="CO12" s="165"/>
      <c r="CP12" s="165"/>
      <c r="CQ12" s="165"/>
      <c r="CR12" s="165"/>
      <c r="CS12" s="165"/>
      <c r="CT12" s="165"/>
      <c r="CU12" s="165"/>
      <c r="CV12" s="165"/>
      <c r="CW12" s="165"/>
      <c r="CX12" s="165"/>
      <c r="CY12" s="165"/>
      <c r="CZ12" s="165"/>
      <c r="DA12" s="165"/>
    </row>
    <row r="13" spans="1:105" s="168" customFormat="1" ht="35.25">
      <c r="A13" s="177"/>
      <c r="B13" s="181"/>
      <c r="C13" s="181"/>
      <c r="D13" s="177"/>
      <c r="E13" s="178"/>
      <c r="F13" s="177"/>
      <c r="G13" s="177"/>
      <c r="H13" s="179"/>
      <c r="I13" s="177"/>
      <c r="J13" s="177"/>
      <c r="K13" s="177"/>
      <c r="L13" s="177"/>
      <c r="M13" s="180"/>
      <c r="N13" s="180"/>
      <c r="O13" s="177"/>
      <c r="P13" s="346"/>
      <c r="Q13" s="180"/>
      <c r="R13" s="180"/>
      <c r="S13" s="180"/>
      <c r="T13" s="180"/>
      <c r="U13" s="180"/>
      <c r="V13" s="181"/>
      <c r="W13" s="181"/>
      <c r="X13" s="181"/>
      <c r="Y13" s="181"/>
      <c r="Z13" s="181"/>
      <c r="AA13" s="181"/>
      <c r="AB13" s="181"/>
      <c r="AC13" s="181"/>
      <c r="AD13" s="181"/>
      <c r="AE13" s="181"/>
      <c r="AF13" s="181"/>
      <c r="AG13" s="181"/>
      <c r="AH13" s="181"/>
      <c r="AI13" s="181"/>
      <c r="AJ13" s="181"/>
      <c r="AL13" s="182"/>
      <c r="AM13" s="183"/>
      <c r="AN13" s="183"/>
      <c r="AO13" s="183"/>
      <c r="AP13" s="183"/>
      <c r="BA13" s="182"/>
      <c r="BB13" s="183"/>
      <c r="BC13" s="183"/>
      <c r="BD13" s="183"/>
      <c r="BE13" s="183"/>
      <c r="BF13" s="183"/>
      <c r="BG13" s="183"/>
      <c r="BH13" s="183"/>
      <c r="BI13" s="183"/>
      <c r="BJ13" s="183"/>
      <c r="BK13" s="183"/>
      <c r="BL13" s="183"/>
      <c r="BM13" s="183"/>
      <c r="BN13" s="183"/>
      <c r="BO13" s="183"/>
      <c r="BP13" s="183"/>
      <c r="BQ13" s="183"/>
      <c r="BR13" s="276"/>
      <c r="BS13" s="276"/>
      <c r="BT13" s="276"/>
    </row>
    <row r="14" spans="1:105" s="168" customFormat="1" ht="35.1" customHeight="1">
      <c r="A14" s="177"/>
      <c r="B14" s="181"/>
      <c r="C14" s="181"/>
      <c r="D14" s="177"/>
      <c r="E14" s="178"/>
      <c r="F14" s="177"/>
      <c r="G14" s="177"/>
      <c r="H14" s="179"/>
      <c r="I14" s="177"/>
      <c r="J14" s="177"/>
      <c r="K14" s="177"/>
      <c r="L14" s="177"/>
      <c r="M14" s="180"/>
      <c r="N14" s="180"/>
      <c r="O14" s="177"/>
      <c r="P14" s="346"/>
      <c r="Q14" s="180"/>
      <c r="R14" s="180"/>
      <c r="S14" s="180"/>
      <c r="T14" s="180"/>
      <c r="U14" s="180"/>
      <c r="V14" s="181"/>
      <c r="W14" s="181"/>
      <c r="X14" s="181"/>
      <c r="Y14" s="181"/>
      <c r="Z14" s="181"/>
      <c r="AA14" s="181"/>
      <c r="AB14" s="181"/>
      <c r="AC14" s="181"/>
      <c r="AD14" s="181"/>
      <c r="AE14" s="181"/>
      <c r="AF14" s="181"/>
      <c r="AG14" s="181"/>
      <c r="AH14" s="181"/>
      <c r="AI14" s="181"/>
      <c r="AJ14" s="181"/>
      <c r="AL14" s="182"/>
      <c r="AM14" s="183"/>
      <c r="AN14" s="183"/>
      <c r="AO14" s="183"/>
      <c r="AP14" s="183"/>
      <c r="BA14" s="182"/>
      <c r="BB14" s="183"/>
      <c r="BC14" s="183"/>
      <c r="BD14" s="183"/>
      <c r="BE14" s="183"/>
      <c r="BF14" s="183"/>
      <c r="BG14" s="183"/>
      <c r="BH14" s="183"/>
      <c r="BI14" s="183"/>
      <c r="BJ14" s="183"/>
      <c r="BK14" s="183"/>
      <c r="BL14" s="183"/>
      <c r="BM14" s="183"/>
      <c r="BN14" s="183"/>
      <c r="BO14" s="183"/>
      <c r="BP14" s="183"/>
      <c r="BQ14" s="183"/>
      <c r="BR14" s="276"/>
      <c r="BS14" s="276"/>
      <c r="BT14" s="276"/>
      <c r="CJ14" s="394" t="s">
        <v>0</v>
      </c>
      <c r="CK14" s="395"/>
      <c r="CL14" s="395"/>
      <c r="CM14" s="395"/>
      <c r="CN14" s="395"/>
      <c r="CO14" s="395"/>
      <c r="CP14" s="395"/>
      <c r="CQ14" s="395"/>
      <c r="CR14" s="395"/>
      <c r="CS14" s="395"/>
      <c r="CT14" s="395"/>
      <c r="CU14" s="395"/>
      <c r="CV14" s="395"/>
      <c r="CW14" s="395"/>
      <c r="CX14" s="395"/>
      <c r="CY14" s="395"/>
      <c r="CZ14" s="395"/>
      <c r="DA14" s="395"/>
    </row>
    <row r="15" spans="1:105" s="168" customFormat="1" ht="63">
      <c r="A15" s="177"/>
      <c r="B15" s="181"/>
      <c r="C15" s="181"/>
      <c r="D15" s="177"/>
      <c r="E15" s="178"/>
      <c r="F15" s="177"/>
      <c r="G15" s="177"/>
      <c r="H15" s="179"/>
      <c r="I15" s="177"/>
      <c r="J15" s="177"/>
      <c r="K15" s="177"/>
      <c r="L15" s="177"/>
      <c r="M15" s="180"/>
      <c r="N15" s="180"/>
      <c r="O15" s="177"/>
      <c r="P15" s="346"/>
      <c r="Q15" s="180"/>
      <c r="R15" s="180"/>
      <c r="S15" s="180" t="s">
        <v>259</v>
      </c>
      <c r="T15" s="180"/>
      <c r="U15" s="180"/>
      <c r="V15" s="181"/>
      <c r="W15" s="181"/>
      <c r="X15" s="181"/>
      <c r="Y15" s="181"/>
      <c r="Z15" s="181"/>
      <c r="AA15" s="181"/>
      <c r="AB15" s="181"/>
      <c r="AC15" s="181"/>
      <c r="AD15" s="181"/>
      <c r="AE15" s="181"/>
      <c r="AF15" s="181"/>
      <c r="AG15" s="181"/>
      <c r="AH15" s="181"/>
      <c r="AI15" s="181"/>
      <c r="AJ15" s="181"/>
      <c r="AL15" s="188" t="s">
        <v>260</v>
      </c>
      <c r="AM15" s="188"/>
      <c r="AN15" s="188"/>
      <c r="AO15" s="188"/>
      <c r="AP15" s="188"/>
      <c r="BA15" s="397" t="s">
        <v>261</v>
      </c>
      <c r="BB15" s="397"/>
      <c r="BC15" s="397"/>
      <c r="BD15" s="397"/>
      <c r="BE15" s="397"/>
      <c r="BF15" s="397"/>
      <c r="BG15" s="397"/>
      <c r="BH15" s="397"/>
      <c r="BI15" s="397"/>
      <c r="BJ15" s="397"/>
      <c r="BK15" s="397"/>
      <c r="BL15" s="397"/>
      <c r="BM15" s="182"/>
      <c r="BN15" s="182"/>
      <c r="BO15" s="182"/>
      <c r="BP15" s="182"/>
      <c r="BQ15" s="182"/>
      <c r="BR15" s="277"/>
      <c r="BS15" s="277"/>
      <c r="BT15" s="277"/>
      <c r="CJ15" s="356" t="s">
        <v>1</v>
      </c>
      <c r="CK15" s="356"/>
      <c r="CL15" s="356" t="s">
        <v>2</v>
      </c>
      <c r="CM15" s="356"/>
      <c r="CN15" s="356" t="s">
        <v>3</v>
      </c>
      <c r="CO15" s="356"/>
      <c r="CP15" s="356" t="s">
        <v>4</v>
      </c>
      <c r="CQ15" s="356"/>
      <c r="CR15" s="356" t="s">
        <v>5</v>
      </c>
      <c r="CS15" s="356"/>
      <c r="CT15" s="356" t="s">
        <v>6</v>
      </c>
      <c r="CU15" s="356"/>
      <c r="CV15" s="356" t="s">
        <v>7</v>
      </c>
      <c r="CW15" s="356"/>
      <c r="CX15" s="356" t="s">
        <v>8</v>
      </c>
      <c r="CY15" s="356"/>
      <c r="CZ15" s="356" t="s">
        <v>9</v>
      </c>
      <c r="DA15" s="356"/>
    </row>
    <row r="16" spans="1:105" ht="115.5">
      <c r="A16" s="187" t="s">
        <v>10</v>
      </c>
      <c r="B16" s="176" t="s">
        <v>11</v>
      </c>
      <c r="C16" s="176" t="s">
        <v>12</v>
      </c>
      <c r="D16" s="171" t="s">
        <v>13</v>
      </c>
      <c r="E16" s="172" t="s">
        <v>14</v>
      </c>
      <c r="F16" s="171" t="s">
        <v>15</v>
      </c>
      <c r="G16" s="171" t="s">
        <v>16</v>
      </c>
      <c r="H16" s="173" t="s">
        <v>17</v>
      </c>
      <c r="I16" s="171" t="s">
        <v>18</v>
      </c>
      <c r="J16" s="171" t="s">
        <v>19</v>
      </c>
      <c r="K16" s="171" t="s">
        <v>20</v>
      </c>
      <c r="L16" s="171" t="s">
        <v>21</v>
      </c>
      <c r="M16" s="174" t="s">
        <v>262</v>
      </c>
      <c r="N16" s="175" t="s">
        <v>263</v>
      </c>
      <c r="O16" s="171" t="s">
        <v>264</v>
      </c>
      <c r="P16" s="347" t="s">
        <v>265</v>
      </c>
      <c r="Q16" s="175" t="s">
        <v>23</v>
      </c>
      <c r="R16" s="175" t="s">
        <v>24</v>
      </c>
      <c r="S16" s="175" t="s">
        <v>25</v>
      </c>
      <c r="T16" s="175" t="s">
        <v>26</v>
      </c>
      <c r="U16" s="175" t="s">
        <v>27</v>
      </c>
      <c r="V16" s="176" t="s">
        <v>28</v>
      </c>
      <c r="W16" s="176" t="s">
        <v>30</v>
      </c>
      <c r="X16" s="176" t="s">
        <v>266</v>
      </c>
      <c r="Y16" s="176" t="s">
        <v>31</v>
      </c>
      <c r="Z16" s="176" t="s">
        <v>267</v>
      </c>
      <c r="AA16" s="176" t="s">
        <v>33</v>
      </c>
      <c r="AB16" s="176" t="s">
        <v>34</v>
      </c>
      <c r="AC16" s="176" t="s">
        <v>268</v>
      </c>
      <c r="AD16" s="176" t="s">
        <v>269</v>
      </c>
      <c r="AE16" s="176" t="s">
        <v>270</v>
      </c>
      <c r="AF16" s="176" t="s">
        <v>271</v>
      </c>
      <c r="AG16" s="162" t="s">
        <v>38</v>
      </c>
      <c r="AH16" s="162" t="s">
        <v>39</v>
      </c>
      <c r="AI16" s="273"/>
      <c r="AJ16" s="273"/>
      <c r="AK16" s="269"/>
      <c r="AL16" s="13" t="s">
        <v>30</v>
      </c>
      <c r="AM16" s="13" t="s">
        <v>31</v>
      </c>
      <c r="AN16" s="13" t="s">
        <v>32</v>
      </c>
      <c r="AO16" s="13" t="s">
        <v>33</v>
      </c>
      <c r="AP16" s="13" t="s">
        <v>272</v>
      </c>
      <c r="BA16" s="1" t="s">
        <v>273</v>
      </c>
      <c r="BB16" s="1" t="s">
        <v>274</v>
      </c>
      <c r="BC16" s="1" t="s">
        <v>42</v>
      </c>
      <c r="BD16" s="1" t="s">
        <v>275</v>
      </c>
      <c r="BE16" s="1" t="s">
        <v>44</v>
      </c>
      <c r="BF16" s="1" t="s">
        <v>276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319" t="s">
        <v>50</v>
      </c>
      <c r="BM16" s="165"/>
      <c r="BN16" s="165"/>
      <c r="BO16" s="165"/>
      <c r="BP16" s="165"/>
      <c r="BQ16" s="165"/>
      <c r="BR16" s="293" t="s">
        <v>38</v>
      </c>
      <c r="BS16" s="1" t="s">
        <v>39</v>
      </c>
      <c r="BT16" s="1" t="s">
        <v>53</v>
      </c>
      <c r="CJ16" s="357" t="s">
        <v>54</v>
      </c>
      <c r="CK16" s="357" t="s">
        <v>55</v>
      </c>
      <c r="CL16" s="357" t="s">
        <v>54</v>
      </c>
      <c r="CM16" s="357" t="s">
        <v>55</v>
      </c>
      <c r="CN16" s="357" t="s">
        <v>54</v>
      </c>
      <c r="CO16" s="357" t="s">
        <v>55</v>
      </c>
      <c r="CP16" s="357" t="s">
        <v>54</v>
      </c>
      <c r="CQ16" s="357" t="s">
        <v>55</v>
      </c>
      <c r="CR16" s="357" t="s">
        <v>54</v>
      </c>
      <c r="CS16" s="357" t="s">
        <v>55</v>
      </c>
      <c r="CT16" s="357" t="s">
        <v>54</v>
      </c>
      <c r="CU16" s="357" t="s">
        <v>55</v>
      </c>
      <c r="CV16" s="357" t="s">
        <v>54</v>
      </c>
      <c r="CW16" s="357" t="s">
        <v>55</v>
      </c>
      <c r="CX16" s="357" t="s">
        <v>54</v>
      </c>
      <c r="CY16" s="357" t="s">
        <v>55</v>
      </c>
      <c r="CZ16" s="357" t="s">
        <v>54</v>
      </c>
      <c r="DA16" s="357" t="s">
        <v>55</v>
      </c>
    </row>
    <row r="17" spans="1:105" ht="195.95" customHeight="1">
      <c r="A17" s="16">
        <v>1</v>
      </c>
      <c r="B17" s="17">
        <v>46248</v>
      </c>
      <c r="C17" s="17" t="s">
        <v>277</v>
      </c>
      <c r="D17" s="17" t="s">
        <v>77</v>
      </c>
      <c r="E17" s="18">
        <v>7502327990857</v>
      </c>
      <c r="F17" s="16" t="s">
        <v>278</v>
      </c>
      <c r="G17" s="19" t="s">
        <v>279</v>
      </c>
      <c r="H17" s="20" t="s">
        <v>60</v>
      </c>
      <c r="I17" s="16" t="s">
        <v>280</v>
      </c>
      <c r="J17" s="19" t="s">
        <v>249</v>
      </c>
      <c r="K17" s="19" t="s">
        <v>281</v>
      </c>
      <c r="L17" s="16">
        <v>1</v>
      </c>
      <c r="M17" s="21" t="s">
        <v>282</v>
      </c>
      <c r="N17" s="22" t="s">
        <v>283</v>
      </c>
      <c r="O17" s="16" t="s">
        <v>284</v>
      </c>
      <c r="P17" s="348" t="s">
        <v>285</v>
      </c>
      <c r="Q17" s="23" t="s">
        <v>286</v>
      </c>
      <c r="R17" s="23">
        <v>10000</v>
      </c>
      <c r="S17" s="24" t="e">
        <f>P17*S15</f>
        <v>#VALUE!</v>
      </c>
      <c r="T17" s="24" t="e">
        <f t="shared" ref="T17:T46" si="0">+S17*0.25</f>
        <v>#VALUE!</v>
      </c>
      <c r="U17" s="24" t="e">
        <f t="shared" ref="U17:U22" si="1">(S17+T17)*0.044</f>
        <v>#VALUE!</v>
      </c>
      <c r="V17" s="25" t="e">
        <f t="shared" ref="V17:V48" si="2">S17+T17+U17</f>
        <v>#VALUE!</v>
      </c>
      <c r="W17" s="26">
        <v>249</v>
      </c>
      <c r="X17" s="24">
        <f t="shared" ref="X17:X48" si="3">W17/1.16</f>
        <v>214.65517241379311</v>
      </c>
      <c r="Y17" s="24">
        <f t="shared" ref="Y17:Y48" si="4">X17*0.6</f>
        <v>128.79310344827587</v>
      </c>
      <c r="Z17" s="27" t="e">
        <f t="shared" ref="Z17:Z48" si="5">V17/Y17</f>
        <v>#VALUE!</v>
      </c>
      <c r="AA17" s="27" t="e">
        <f t="shared" ref="AA17:AA48" si="6">1-(V17/Y17)</f>
        <v>#VALUE!</v>
      </c>
      <c r="AB17" s="28">
        <f t="shared" ref="AB17:AB48" si="7">1-(Y17/(W17/1.16))</f>
        <v>0.4</v>
      </c>
      <c r="AC17" s="29" t="s">
        <v>287</v>
      </c>
      <c r="AD17" s="16"/>
      <c r="AE17" s="19">
        <v>6</v>
      </c>
      <c r="AF17" s="19">
        <v>48</v>
      </c>
      <c r="AG17" s="36" t="s">
        <v>288</v>
      </c>
      <c r="AH17" s="466">
        <v>46308</v>
      </c>
      <c r="AI17" s="274"/>
      <c r="AJ17" s="274"/>
      <c r="AL17" s="30">
        <v>161.85</v>
      </c>
      <c r="AM17" s="31">
        <f t="shared" ref="AM17:AM48" si="8">+AL17/1.16</f>
        <v>139.52586206896552</v>
      </c>
      <c r="AN17" s="32" t="e">
        <f t="shared" ref="AN17:AN48" ca="1" si="9">+V18/AM17</f>
        <v>#VALUE!</v>
      </c>
      <c r="AO17" s="32" t="e">
        <f t="shared" ref="AO17:AO48" ca="1" si="10">1-V18/AM17</f>
        <v>#VALUE!</v>
      </c>
      <c r="AP17" s="33">
        <f t="shared" ref="AP17:AP48" si="11">1-(AM17/(AL17/1.16))</f>
        <v>0</v>
      </c>
      <c r="BA17" s="3">
        <v>1</v>
      </c>
      <c r="BB17" s="3">
        <v>1</v>
      </c>
      <c r="BC17" s="3">
        <v>1</v>
      </c>
      <c r="BD17" s="3">
        <v>1</v>
      </c>
      <c r="BE17" s="3"/>
      <c r="BF17" s="3"/>
      <c r="BG17" s="3"/>
      <c r="BH17" s="3"/>
      <c r="BI17" s="3"/>
      <c r="BJ17" s="3">
        <v>8</v>
      </c>
      <c r="BK17" s="3">
        <f t="shared" ref="BK17:BK48" si="12">SUM(BA17:BI17)</f>
        <v>4</v>
      </c>
      <c r="BL17" s="292">
        <f t="shared" ref="BL17:BL48" si="13">+BK17/BJ17</f>
        <v>0.5</v>
      </c>
      <c r="BM17" s="295"/>
      <c r="BN17" s="295"/>
      <c r="BO17" s="295"/>
      <c r="BP17" s="295"/>
      <c r="BQ17" s="295"/>
      <c r="BR17" s="320" t="s">
        <v>289</v>
      </c>
      <c r="BS17" s="278"/>
      <c r="BT17" s="278" t="s">
        <v>129</v>
      </c>
      <c r="CJ17" s="358">
        <v>46188</v>
      </c>
      <c r="CK17" s="358"/>
      <c r="CL17" s="278"/>
      <c r="CM17" s="278"/>
      <c r="CN17" s="278"/>
      <c r="CO17" s="278"/>
      <c r="CP17" s="268"/>
      <c r="CQ17" s="268"/>
      <c r="CR17" s="267"/>
      <c r="CS17" s="267"/>
      <c r="CT17" s="267"/>
      <c r="CU17" s="267"/>
      <c r="CV17" s="267"/>
      <c r="CW17" s="267"/>
      <c r="CX17" s="267"/>
      <c r="CY17" s="267"/>
      <c r="CZ17" s="267"/>
      <c r="DA17" s="267"/>
    </row>
    <row r="18" spans="1:105" ht="409.6">
      <c r="A18" s="16">
        <v>2</v>
      </c>
      <c r="B18" s="17">
        <v>46248</v>
      </c>
      <c r="C18" s="17" t="s">
        <v>277</v>
      </c>
      <c r="D18" s="17" t="s">
        <v>77</v>
      </c>
      <c r="E18" s="18">
        <v>7502327990864</v>
      </c>
      <c r="F18" s="16" t="s">
        <v>290</v>
      </c>
      <c r="G18" s="19" t="s">
        <v>291</v>
      </c>
      <c r="H18" s="20" t="s">
        <v>60</v>
      </c>
      <c r="I18" s="16" t="s">
        <v>280</v>
      </c>
      <c r="J18" s="19" t="s">
        <v>249</v>
      </c>
      <c r="K18" s="19" t="s">
        <v>281</v>
      </c>
      <c r="L18" s="16">
        <v>1</v>
      </c>
      <c r="M18" s="21" t="s">
        <v>282</v>
      </c>
      <c r="N18" s="22" t="s">
        <v>292</v>
      </c>
      <c r="O18" s="16" t="s">
        <v>284</v>
      </c>
      <c r="P18" s="348" t="s">
        <v>285</v>
      </c>
      <c r="Q18" s="23" t="s">
        <v>286</v>
      </c>
      <c r="R18" s="23">
        <v>10000</v>
      </c>
      <c r="S18" s="24" t="e">
        <f t="shared" ref="S18:S46" ca="1" si="14">+P18*$T$25</f>
        <v>#VALUE!</v>
      </c>
      <c r="T18" s="24" t="e">
        <f t="shared" ca="1" si="0"/>
        <v>#VALUE!</v>
      </c>
      <c r="U18" s="24" t="e">
        <f t="shared" ca="1" si="1"/>
        <v>#VALUE!</v>
      </c>
      <c r="V18" s="25" t="e">
        <f t="shared" ca="1" si="2"/>
        <v>#VALUE!</v>
      </c>
      <c r="W18" s="26">
        <v>249</v>
      </c>
      <c r="X18" s="24">
        <f t="shared" si="3"/>
        <v>214.65517241379311</v>
      </c>
      <c r="Y18" s="24">
        <f t="shared" si="4"/>
        <v>128.79310344827587</v>
      </c>
      <c r="Z18" s="27" t="e">
        <f t="shared" ca="1" si="5"/>
        <v>#VALUE!</v>
      </c>
      <c r="AA18" s="27" t="e">
        <f t="shared" ca="1" si="6"/>
        <v>#VALUE!</v>
      </c>
      <c r="AB18" s="28">
        <f t="shared" si="7"/>
        <v>0.4</v>
      </c>
      <c r="AC18" s="29" t="s">
        <v>287</v>
      </c>
      <c r="AD18" s="16"/>
      <c r="AE18" s="19">
        <v>6</v>
      </c>
      <c r="AF18" s="19">
        <v>48</v>
      </c>
      <c r="AG18" s="36" t="s">
        <v>288</v>
      </c>
      <c r="AH18" s="467">
        <v>46308</v>
      </c>
      <c r="AI18" s="274"/>
      <c r="AJ18" s="274"/>
      <c r="AL18" s="30">
        <v>161.85</v>
      </c>
      <c r="AM18" s="31">
        <f t="shared" si="8"/>
        <v>139.52586206896552</v>
      </c>
      <c r="AN18" s="32" t="e">
        <f t="shared" ca="1" si="9"/>
        <v>#VALUE!</v>
      </c>
      <c r="AO18" s="32" t="e">
        <f t="shared" ca="1" si="10"/>
        <v>#VALUE!</v>
      </c>
      <c r="AP18" s="33">
        <f t="shared" si="11"/>
        <v>0</v>
      </c>
      <c r="BA18" s="3">
        <v>1</v>
      </c>
      <c r="BB18" s="3">
        <v>1</v>
      </c>
      <c r="BC18" s="3">
        <v>1</v>
      </c>
      <c r="BD18" s="3">
        <v>1</v>
      </c>
      <c r="BE18" s="3"/>
      <c r="BF18" s="3"/>
      <c r="BG18" s="3"/>
      <c r="BH18" s="3"/>
      <c r="BI18" s="3"/>
      <c r="BJ18" s="3">
        <v>8</v>
      </c>
      <c r="BK18" s="3">
        <f t="shared" si="12"/>
        <v>4</v>
      </c>
      <c r="BL18" s="292">
        <f t="shared" si="13"/>
        <v>0.5</v>
      </c>
      <c r="BM18" s="295"/>
      <c r="BN18" s="295"/>
      <c r="BO18" s="295"/>
      <c r="BP18" s="295"/>
      <c r="BQ18" s="295"/>
      <c r="BR18" s="320" t="s">
        <v>289</v>
      </c>
      <c r="BS18" s="278"/>
      <c r="BT18" s="278" t="s">
        <v>129</v>
      </c>
      <c r="CJ18" s="358">
        <v>46188</v>
      </c>
      <c r="CK18" s="278"/>
      <c r="CL18" s="278"/>
      <c r="CM18" s="278"/>
      <c r="CN18" s="278"/>
      <c r="CO18" s="278"/>
      <c r="CP18" s="268"/>
      <c r="CQ18" s="268"/>
      <c r="CR18" s="267"/>
      <c r="CS18" s="267"/>
      <c r="CT18" s="267"/>
      <c r="CU18" s="267"/>
      <c r="CV18" s="267"/>
      <c r="CW18" s="267"/>
      <c r="CX18" s="267"/>
      <c r="CY18" s="267"/>
      <c r="CZ18" s="267"/>
      <c r="DA18" s="267"/>
    </row>
    <row r="19" spans="1:105" ht="409.6">
      <c r="A19" s="16">
        <v>3</v>
      </c>
      <c r="B19" s="17">
        <v>46248</v>
      </c>
      <c r="C19" s="17" t="s">
        <v>277</v>
      </c>
      <c r="D19" s="17" t="s">
        <v>77</v>
      </c>
      <c r="E19" s="18">
        <v>7502327990871</v>
      </c>
      <c r="F19" s="16" t="s">
        <v>293</v>
      </c>
      <c r="G19" s="19" t="s">
        <v>294</v>
      </c>
      <c r="H19" s="20" t="s">
        <v>60</v>
      </c>
      <c r="I19" s="16" t="s">
        <v>280</v>
      </c>
      <c r="J19" s="19" t="s">
        <v>249</v>
      </c>
      <c r="K19" s="19" t="s">
        <v>281</v>
      </c>
      <c r="L19" s="16">
        <v>1</v>
      </c>
      <c r="M19" s="21" t="s">
        <v>282</v>
      </c>
      <c r="N19" s="22" t="s">
        <v>295</v>
      </c>
      <c r="O19" s="16" t="s">
        <v>284</v>
      </c>
      <c r="P19" s="348" t="s">
        <v>285</v>
      </c>
      <c r="Q19" s="23" t="s">
        <v>286</v>
      </c>
      <c r="R19" s="23">
        <v>10000</v>
      </c>
      <c r="S19" s="24" t="e">
        <f t="shared" ca="1" si="14"/>
        <v>#VALUE!</v>
      </c>
      <c r="T19" s="24" t="e">
        <f t="shared" ca="1" si="0"/>
        <v>#VALUE!</v>
      </c>
      <c r="U19" s="24" t="e">
        <f t="shared" ca="1" si="1"/>
        <v>#VALUE!</v>
      </c>
      <c r="V19" s="25" t="e">
        <f t="shared" ca="1" si="2"/>
        <v>#VALUE!</v>
      </c>
      <c r="W19" s="26">
        <v>249</v>
      </c>
      <c r="X19" s="24">
        <f t="shared" si="3"/>
        <v>214.65517241379311</v>
      </c>
      <c r="Y19" s="24">
        <f t="shared" si="4"/>
        <v>128.79310344827587</v>
      </c>
      <c r="Z19" s="27" t="e">
        <f t="shared" ca="1" si="5"/>
        <v>#VALUE!</v>
      </c>
      <c r="AA19" s="27" t="e">
        <f t="shared" ca="1" si="6"/>
        <v>#VALUE!</v>
      </c>
      <c r="AB19" s="28">
        <f t="shared" si="7"/>
        <v>0.4</v>
      </c>
      <c r="AC19" s="29" t="s">
        <v>287</v>
      </c>
      <c r="AD19" s="16"/>
      <c r="AE19" s="19">
        <v>6</v>
      </c>
      <c r="AF19" s="19">
        <v>48</v>
      </c>
      <c r="AG19" s="36" t="s">
        <v>288</v>
      </c>
      <c r="AH19" s="467">
        <v>46308</v>
      </c>
      <c r="AI19" s="274"/>
      <c r="AJ19" s="274"/>
      <c r="AL19" s="30">
        <v>161.85</v>
      </c>
      <c r="AM19" s="31">
        <f t="shared" si="8"/>
        <v>139.52586206896552</v>
      </c>
      <c r="AN19" s="32" t="e">
        <f t="shared" ca="1" si="9"/>
        <v>#VALUE!</v>
      </c>
      <c r="AO19" s="32" t="e">
        <f t="shared" ca="1" si="10"/>
        <v>#VALUE!</v>
      </c>
      <c r="AP19" s="33">
        <f t="shared" si="11"/>
        <v>0</v>
      </c>
      <c r="BA19" s="3">
        <v>1</v>
      </c>
      <c r="BB19" s="3">
        <v>1</v>
      </c>
      <c r="BC19" s="3">
        <v>1</v>
      </c>
      <c r="BD19" s="3">
        <v>1</v>
      </c>
      <c r="BE19" s="3"/>
      <c r="BF19" s="3"/>
      <c r="BG19" s="3"/>
      <c r="BH19" s="3"/>
      <c r="BI19" s="3"/>
      <c r="BJ19" s="3">
        <v>8</v>
      </c>
      <c r="BK19" s="3">
        <f t="shared" si="12"/>
        <v>4</v>
      </c>
      <c r="BL19" s="292">
        <f t="shared" si="13"/>
        <v>0.5</v>
      </c>
      <c r="BM19" s="295"/>
      <c r="BN19" s="295"/>
      <c r="BO19" s="295"/>
      <c r="BP19" s="295"/>
      <c r="BQ19" s="295"/>
      <c r="BR19" s="320" t="s">
        <v>289</v>
      </c>
      <c r="BS19" s="278"/>
      <c r="BT19" s="278" t="s">
        <v>129</v>
      </c>
      <c r="CJ19" s="358">
        <v>46188</v>
      </c>
      <c r="CK19" s="278"/>
      <c r="CL19" s="278"/>
      <c r="CM19" s="278"/>
      <c r="CN19" s="278"/>
      <c r="CO19" s="278"/>
      <c r="CP19" s="268"/>
      <c r="CQ19" s="268"/>
      <c r="CR19" s="267"/>
      <c r="CS19" s="267"/>
      <c r="CT19" s="267"/>
      <c r="CU19" s="267"/>
      <c r="CV19" s="267"/>
      <c r="CW19" s="267"/>
      <c r="CX19" s="267"/>
      <c r="CY19" s="267"/>
      <c r="CZ19" s="267"/>
      <c r="DA19" s="267"/>
    </row>
    <row r="20" spans="1:105" ht="409.6">
      <c r="A20" s="16">
        <v>4</v>
      </c>
      <c r="B20" s="17">
        <v>46248</v>
      </c>
      <c r="C20" s="17" t="s">
        <v>277</v>
      </c>
      <c r="D20" s="17" t="s">
        <v>77</v>
      </c>
      <c r="E20" s="18">
        <v>7502327990888</v>
      </c>
      <c r="F20" s="16" t="s">
        <v>296</v>
      </c>
      <c r="G20" s="19" t="s">
        <v>297</v>
      </c>
      <c r="H20" s="20" t="s">
        <v>60</v>
      </c>
      <c r="I20" s="16" t="s">
        <v>280</v>
      </c>
      <c r="J20" s="19" t="s">
        <v>249</v>
      </c>
      <c r="K20" s="19" t="s">
        <v>281</v>
      </c>
      <c r="L20" s="16">
        <v>1</v>
      </c>
      <c r="M20" s="21" t="s">
        <v>282</v>
      </c>
      <c r="N20" s="22" t="s">
        <v>298</v>
      </c>
      <c r="O20" s="16" t="s">
        <v>284</v>
      </c>
      <c r="P20" s="348" t="s">
        <v>285</v>
      </c>
      <c r="Q20" s="23" t="s">
        <v>286</v>
      </c>
      <c r="R20" s="23">
        <v>10000</v>
      </c>
      <c r="S20" s="24" t="e">
        <f t="shared" ca="1" si="14"/>
        <v>#VALUE!</v>
      </c>
      <c r="T20" s="24" t="e">
        <f t="shared" ca="1" si="0"/>
        <v>#VALUE!</v>
      </c>
      <c r="U20" s="24" t="e">
        <f t="shared" ca="1" si="1"/>
        <v>#VALUE!</v>
      </c>
      <c r="V20" s="25" t="e">
        <f t="shared" ca="1" si="2"/>
        <v>#VALUE!</v>
      </c>
      <c r="W20" s="26">
        <v>249</v>
      </c>
      <c r="X20" s="24">
        <f t="shared" si="3"/>
        <v>214.65517241379311</v>
      </c>
      <c r="Y20" s="24">
        <f t="shared" si="4"/>
        <v>128.79310344827587</v>
      </c>
      <c r="Z20" s="27" t="e">
        <f t="shared" ca="1" si="5"/>
        <v>#VALUE!</v>
      </c>
      <c r="AA20" s="27" t="e">
        <f t="shared" ca="1" si="6"/>
        <v>#VALUE!</v>
      </c>
      <c r="AB20" s="28">
        <f t="shared" si="7"/>
        <v>0.4</v>
      </c>
      <c r="AC20" s="29" t="s">
        <v>287</v>
      </c>
      <c r="AD20" s="16"/>
      <c r="AE20" s="19">
        <v>6</v>
      </c>
      <c r="AF20" s="19">
        <v>48</v>
      </c>
      <c r="AG20" s="36" t="s">
        <v>288</v>
      </c>
      <c r="AH20" s="467">
        <v>46308</v>
      </c>
      <c r="AI20" s="274"/>
      <c r="AJ20" s="274"/>
      <c r="AL20" s="30">
        <v>161.85</v>
      </c>
      <c r="AM20" s="31">
        <f t="shared" si="8"/>
        <v>139.52586206896552</v>
      </c>
      <c r="AN20" s="32" t="e">
        <f t="shared" ca="1" si="9"/>
        <v>#VALUE!</v>
      </c>
      <c r="AO20" s="32" t="e">
        <f t="shared" ca="1" si="10"/>
        <v>#VALUE!</v>
      </c>
      <c r="AP20" s="33">
        <f t="shared" si="11"/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/>
      <c r="BG20" s="3"/>
      <c r="BH20" s="3"/>
      <c r="BI20" s="3"/>
      <c r="BJ20" s="3">
        <v>8</v>
      </c>
      <c r="BK20" s="3">
        <f t="shared" si="12"/>
        <v>4</v>
      </c>
      <c r="BL20" s="292">
        <f t="shared" si="13"/>
        <v>0.5</v>
      </c>
      <c r="BM20" s="295"/>
      <c r="BN20" s="295"/>
      <c r="BO20" s="295"/>
      <c r="BP20" s="295"/>
      <c r="BQ20" s="295"/>
      <c r="BR20" s="320" t="s">
        <v>289</v>
      </c>
      <c r="BS20" s="278"/>
      <c r="BT20" s="278" t="s">
        <v>129</v>
      </c>
      <c r="CJ20" s="358">
        <v>46188</v>
      </c>
      <c r="CK20" s="278"/>
      <c r="CL20" s="278"/>
      <c r="CM20" s="278"/>
      <c r="CN20" s="278"/>
      <c r="CO20" s="278"/>
      <c r="CP20" s="268"/>
      <c r="CQ20" s="268"/>
      <c r="CR20" s="267"/>
      <c r="CS20" s="267"/>
      <c r="CT20" s="267"/>
      <c r="CU20" s="267"/>
      <c r="CV20" s="267"/>
      <c r="CW20" s="267"/>
      <c r="CX20" s="267"/>
      <c r="CY20" s="267"/>
      <c r="CZ20" s="267"/>
      <c r="DA20" s="267"/>
    </row>
    <row r="21" spans="1:105" ht="409.6">
      <c r="A21" s="16">
        <v>5</v>
      </c>
      <c r="B21" s="17">
        <v>46248</v>
      </c>
      <c r="C21" s="17" t="s">
        <v>277</v>
      </c>
      <c r="D21" s="17" t="s">
        <v>77</v>
      </c>
      <c r="E21" s="18">
        <v>7502327990895</v>
      </c>
      <c r="F21" s="16" t="s">
        <v>299</v>
      </c>
      <c r="G21" s="19" t="s">
        <v>300</v>
      </c>
      <c r="H21" s="20" t="s">
        <v>60</v>
      </c>
      <c r="I21" s="16" t="s">
        <v>280</v>
      </c>
      <c r="J21" s="19" t="s">
        <v>249</v>
      </c>
      <c r="K21" s="19" t="s">
        <v>281</v>
      </c>
      <c r="L21" s="16">
        <v>1</v>
      </c>
      <c r="M21" s="21" t="s">
        <v>282</v>
      </c>
      <c r="N21" s="22" t="s">
        <v>301</v>
      </c>
      <c r="O21" s="16" t="s">
        <v>284</v>
      </c>
      <c r="P21" s="348" t="s">
        <v>285</v>
      </c>
      <c r="Q21" s="23" t="s">
        <v>286</v>
      </c>
      <c r="R21" s="23">
        <v>10000</v>
      </c>
      <c r="S21" s="24" t="e">
        <f t="shared" ca="1" si="14"/>
        <v>#VALUE!</v>
      </c>
      <c r="T21" s="24" t="e">
        <f t="shared" ca="1" si="0"/>
        <v>#VALUE!</v>
      </c>
      <c r="U21" s="24" t="e">
        <f t="shared" ca="1" si="1"/>
        <v>#VALUE!</v>
      </c>
      <c r="V21" s="25" t="e">
        <f t="shared" ca="1" si="2"/>
        <v>#VALUE!</v>
      </c>
      <c r="W21" s="26">
        <v>249</v>
      </c>
      <c r="X21" s="24">
        <f t="shared" si="3"/>
        <v>214.65517241379311</v>
      </c>
      <c r="Y21" s="24">
        <f t="shared" si="4"/>
        <v>128.79310344827587</v>
      </c>
      <c r="Z21" s="27" t="e">
        <f t="shared" ca="1" si="5"/>
        <v>#VALUE!</v>
      </c>
      <c r="AA21" s="27" t="e">
        <f t="shared" ca="1" si="6"/>
        <v>#VALUE!</v>
      </c>
      <c r="AB21" s="28">
        <f t="shared" si="7"/>
        <v>0.4</v>
      </c>
      <c r="AC21" s="29" t="s">
        <v>287</v>
      </c>
      <c r="AD21" s="16"/>
      <c r="AE21" s="19">
        <v>6</v>
      </c>
      <c r="AF21" s="19">
        <v>48</v>
      </c>
      <c r="AG21" s="36" t="s">
        <v>288</v>
      </c>
      <c r="AH21" s="467">
        <v>46308</v>
      </c>
      <c r="AI21" s="274"/>
      <c r="AJ21" s="274"/>
      <c r="AL21" s="30">
        <v>161.85</v>
      </c>
      <c r="AM21" s="31">
        <f t="shared" si="8"/>
        <v>139.52586206896552</v>
      </c>
      <c r="AN21" s="32" t="e">
        <f t="shared" ca="1" si="9"/>
        <v>#VALUE!</v>
      </c>
      <c r="AO21" s="32" t="e">
        <f t="shared" ca="1" si="10"/>
        <v>#VALUE!</v>
      </c>
      <c r="AP21" s="33">
        <f t="shared" si="11"/>
        <v>0</v>
      </c>
      <c r="BA21" s="3">
        <v>1</v>
      </c>
      <c r="BB21" s="3">
        <v>1</v>
      </c>
      <c r="BC21" s="3">
        <v>1</v>
      </c>
      <c r="BD21" s="3">
        <v>1</v>
      </c>
      <c r="BE21" s="3"/>
      <c r="BF21" s="3"/>
      <c r="BG21" s="3"/>
      <c r="BH21" s="3"/>
      <c r="BI21" s="3"/>
      <c r="BJ21" s="3">
        <v>8</v>
      </c>
      <c r="BK21" s="3">
        <f t="shared" si="12"/>
        <v>4</v>
      </c>
      <c r="BL21" s="292">
        <f t="shared" si="13"/>
        <v>0.5</v>
      </c>
      <c r="BM21" s="295"/>
      <c r="BN21" s="295"/>
      <c r="BO21" s="295"/>
      <c r="BP21" s="295"/>
      <c r="BQ21" s="295"/>
      <c r="BR21" s="320" t="s">
        <v>289</v>
      </c>
      <c r="BS21" s="278"/>
      <c r="BT21" s="278" t="s">
        <v>129</v>
      </c>
      <c r="CJ21" s="358">
        <v>46188</v>
      </c>
      <c r="CK21" s="278"/>
      <c r="CL21" s="278"/>
      <c r="CM21" s="278"/>
      <c r="CN21" s="278"/>
      <c r="CO21" s="278"/>
      <c r="CP21" s="268"/>
      <c r="CQ21" s="268"/>
      <c r="CR21" s="267"/>
      <c r="CS21" s="267"/>
      <c r="CT21" s="267"/>
      <c r="CU21" s="267"/>
      <c r="CV21" s="267"/>
      <c r="CW21" s="267"/>
      <c r="CX21" s="267"/>
      <c r="CY21" s="267"/>
      <c r="CZ21" s="267"/>
      <c r="DA21" s="267"/>
    </row>
    <row r="22" spans="1:105" ht="409.6">
      <c r="A22" s="16">
        <v>6</v>
      </c>
      <c r="B22" s="17">
        <v>46248</v>
      </c>
      <c r="C22" s="17" t="s">
        <v>277</v>
      </c>
      <c r="D22" s="17" t="s">
        <v>77</v>
      </c>
      <c r="E22" s="18">
        <v>7502327990901</v>
      </c>
      <c r="F22" s="16" t="s">
        <v>302</v>
      </c>
      <c r="G22" s="19" t="s">
        <v>303</v>
      </c>
      <c r="H22" s="20" t="s">
        <v>60</v>
      </c>
      <c r="I22" s="16" t="s">
        <v>280</v>
      </c>
      <c r="J22" s="19" t="s">
        <v>249</v>
      </c>
      <c r="K22" s="19" t="s">
        <v>281</v>
      </c>
      <c r="L22" s="16">
        <v>1</v>
      </c>
      <c r="M22" s="21" t="s">
        <v>282</v>
      </c>
      <c r="N22" s="22" t="s">
        <v>304</v>
      </c>
      <c r="O22" s="16" t="s">
        <v>284</v>
      </c>
      <c r="P22" s="348" t="s">
        <v>285</v>
      </c>
      <c r="Q22" s="23" t="s">
        <v>286</v>
      </c>
      <c r="R22" s="23">
        <v>10000</v>
      </c>
      <c r="S22" s="24" t="e">
        <f t="shared" ca="1" si="14"/>
        <v>#VALUE!</v>
      </c>
      <c r="T22" s="24" t="e">
        <f t="shared" ca="1" si="0"/>
        <v>#VALUE!</v>
      </c>
      <c r="U22" s="24" t="e">
        <f t="shared" ca="1" si="1"/>
        <v>#VALUE!</v>
      </c>
      <c r="V22" s="25" t="e">
        <f t="shared" ca="1" si="2"/>
        <v>#VALUE!</v>
      </c>
      <c r="W22" s="26">
        <v>249</v>
      </c>
      <c r="X22" s="24">
        <f t="shared" si="3"/>
        <v>214.65517241379311</v>
      </c>
      <c r="Y22" s="24">
        <f t="shared" si="4"/>
        <v>128.79310344827587</v>
      </c>
      <c r="Z22" s="27" t="e">
        <f t="shared" ca="1" si="5"/>
        <v>#VALUE!</v>
      </c>
      <c r="AA22" s="27" t="e">
        <f t="shared" ca="1" si="6"/>
        <v>#VALUE!</v>
      </c>
      <c r="AB22" s="28">
        <f t="shared" si="7"/>
        <v>0.4</v>
      </c>
      <c r="AC22" s="29" t="s">
        <v>287</v>
      </c>
      <c r="AD22" s="16"/>
      <c r="AE22" s="19">
        <v>6</v>
      </c>
      <c r="AF22" s="19">
        <v>48</v>
      </c>
      <c r="AG22" s="36" t="s">
        <v>288</v>
      </c>
      <c r="AH22" s="467">
        <v>46308</v>
      </c>
      <c r="AI22" s="274"/>
      <c r="AJ22" s="274"/>
      <c r="AL22" s="30">
        <v>161.85</v>
      </c>
      <c r="AM22" s="31">
        <f t="shared" si="8"/>
        <v>139.52586206896552</v>
      </c>
      <c r="AN22" s="32" t="e">
        <f t="shared" ca="1" si="9"/>
        <v>#VALUE!</v>
      </c>
      <c r="AO22" s="32" t="e">
        <f t="shared" ca="1" si="10"/>
        <v>#VALUE!</v>
      </c>
      <c r="AP22" s="33">
        <f t="shared" si="11"/>
        <v>0</v>
      </c>
      <c r="BA22" s="3">
        <v>1</v>
      </c>
      <c r="BB22" s="3">
        <v>1</v>
      </c>
      <c r="BC22" s="3">
        <v>1</v>
      </c>
      <c r="BD22" s="3">
        <v>1</v>
      </c>
      <c r="BE22" s="3"/>
      <c r="BF22" s="3"/>
      <c r="BG22" s="3"/>
      <c r="BH22" s="3"/>
      <c r="BI22" s="3"/>
      <c r="BJ22" s="3">
        <v>8</v>
      </c>
      <c r="BK22" s="3">
        <f t="shared" si="12"/>
        <v>4</v>
      </c>
      <c r="BL22" s="292">
        <f t="shared" si="13"/>
        <v>0.5</v>
      </c>
      <c r="BM22" s="295"/>
      <c r="BN22" s="295"/>
      <c r="BO22" s="295"/>
      <c r="BP22" s="295"/>
      <c r="BQ22" s="295"/>
      <c r="BR22" s="320" t="s">
        <v>289</v>
      </c>
      <c r="BS22" s="278"/>
      <c r="BT22" s="278" t="s">
        <v>129</v>
      </c>
      <c r="CJ22" s="358">
        <v>46188</v>
      </c>
      <c r="CK22" s="278"/>
      <c r="CL22" s="278"/>
      <c r="CM22" s="278"/>
      <c r="CN22" s="278"/>
      <c r="CO22" s="278"/>
      <c r="CP22" s="268"/>
      <c r="CQ22" s="268"/>
      <c r="CR22" s="267"/>
      <c r="CS22" s="267"/>
      <c r="CT22" s="267"/>
      <c r="CU22" s="267"/>
      <c r="CV22" s="267"/>
      <c r="CW22" s="267"/>
      <c r="CX22" s="267"/>
      <c r="CY22" s="267"/>
      <c r="CZ22" s="267"/>
      <c r="DA22" s="267"/>
    </row>
    <row r="23" spans="1:105" ht="409.6">
      <c r="A23" s="16">
        <v>11</v>
      </c>
      <c r="B23" s="17">
        <v>46248</v>
      </c>
      <c r="C23" s="17" t="s">
        <v>277</v>
      </c>
      <c r="D23" s="17" t="s">
        <v>77</v>
      </c>
      <c r="E23" s="18">
        <v>7502327990956</v>
      </c>
      <c r="F23" s="16" t="s">
        <v>305</v>
      </c>
      <c r="G23" s="19" t="s">
        <v>306</v>
      </c>
      <c r="H23" s="20" t="s">
        <v>60</v>
      </c>
      <c r="I23" s="16" t="s">
        <v>307</v>
      </c>
      <c r="J23" s="19" t="s">
        <v>249</v>
      </c>
      <c r="K23" s="19" t="s">
        <v>281</v>
      </c>
      <c r="L23" s="16">
        <v>1</v>
      </c>
      <c r="M23" s="21" t="s">
        <v>282</v>
      </c>
      <c r="N23" s="22" t="s">
        <v>308</v>
      </c>
      <c r="O23" s="16" t="s">
        <v>284</v>
      </c>
      <c r="P23" s="348" t="s">
        <v>309</v>
      </c>
      <c r="Q23" s="23" t="s">
        <v>286</v>
      </c>
      <c r="R23" s="23">
        <v>10000</v>
      </c>
      <c r="S23" s="24" t="e">
        <f t="shared" ca="1" si="14"/>
        <v>#VALUE!</v>
      </c>
      <c r="T23" s="24" t="e">
        <f t="shared" ca="1" si="0"/>
        <v>#VALUE!</v>
      </c>
      <c r="U23" s="24" t="e">
        <f t="shared" ref="U23:U33" ca="1" si="15">(S23+T23)*0.0257</f>
        <v>#VALUE!</v>
      </c>
      <c r="V23" s="25" t="e">
        <f t="shared" ca="1" si="2"/>
        <v>#VALUE!</v>
      </c>
      <c r="W23" s="34">
        <v>169</v>
      </c>
      <c r="X23" s="24">
        <f t="shared" si="3"/>
        <v>145.68965517241381</v>
      </c>
      <c r="Y23" s="24">
        <f t="shared" si="4"/>
        <v>87.413793103448285</v>
      </c>
      <c r="Z23" s="27" t="e">
        <f t="shared" ca="1" si="5"/>
        <v>#VALUE!</v>
      </c>
      <c r="AA23" s="27" t="e">
        <f t="shared" ca="1" si="6"/>
        <v>#VALUE!</v>
      </c>
      <c r="AB23" s="28">
        <f t="shared" si="7"/>
        <v>0.4</v>
      </c>
      <c r="AC23" s="29" t="s">
        <v>287</v>
      </c>
      <c r="AD23" s="16"/>
      <c r="AE23" s="19">
        <v>6</v>
      </c>
      <c r="AF23" s="19">
        <v>144</v>
      </c>
      <c r="AG23" s="36" t="s">
        <v>288</v>
      </c>
      <c r="AH23" s="467">
        <v>46308</v>
      </c>
      <c r="AI23" s="274"/>
      <c r="AJ23" s="274"/>
      <c r="AL23" s="30">
        <v>109.85</v>
      </c>
      <c r="AM23" s="31">
        <f t="shared" si="8"/>
        <v>94.698275862068968</v>
      </c>
      <c r="AN23" s="32" t="e">
        <f t="shared" ca="1" si="9"/>
        <v>#VALUE!</v>
      </c>
      <c r="AO23" s="32" t="e">
        <f t="shared" ca="1" si="10"/>
        <v>#VALUE!</v>
      </c>
      <c r="AP23" s="33">
        <f t="shared" si="11"/>
        <v>0</v>
      </c>
      <c r="BA23" s="3">
        <v>1</v>
      </c>
      <c r="BB23" s="3">
        <v>1</v>
      </c>
      <c r="BC23" s="3">
        <v>1</v>
      </c>
      <c r="BD23" s="3">
        <v>1</v>
      </c>
      <c r="BE23" s="3"/>
      <c r="BF23" s="3"/>
      <c r="BG23" s="3"/>
      <c r="BH23" s="3"/>
      <c r="BI23" s="3"/>
      <c r="BJ23" s="3">
        <v>8</v>
      </c>
      <c r="BK23" s="3">
        <f t="shared" si="12"/>
        <v>4</v>
      </c>
      <c r="BL23" s="292">
        <f t="shared" si="13"/>
        <v>0.5</v>
      </c>
      <c r="BM23" s="295"/>
      <c r="BN23" s="295"/>
      <c r="BO23" s="295"/>
      <c r="BP23" s="295"/>
      <c r="BQ23" s="295"/>
      <c r="BR23" s="320" t="s">
        <v>289</v>
      </c>
      <c r="BS23" s="278"/>
      <c r="BT23" s="278" t="s">
        <v>129</v>
      </c>
      <c r="CJ23" s="358">
        <v>46188</v>
      </c>
      <c r="CK23" s="278"/>
      <c r="CL23" s="278"/>
      <c r="CM23" s="278"/>
      <c r="CN23" s="278"/>
      <c r="CO23" s="278"/>
      <c r="CP23" s="268"/>
      <c r="CQ23" s="268"/>
      <c r="CR23" s="267"/>
      <c r="CS23" s="267"/>
      <c r="CT23" s="267"/>
      <c r="CU23" s="267"/>
      <c r="CV23" s="267"/>
      <c r="CW23" s="267"/>
      <c r="CX23" s="267"/>
      <c r="CY23" s="267"/>
      <c r="CZ23" s="267"/>
      <c r="DA23" s="267"/>
    </row>
    <row r="24" spans="1:105" ht="409.6">
      <c r="A24" s="16">
        <v>12</v>
      </c>
      <c r="B24" s="17">
        <v>46248</v>
      </c>
      <c r="C24" s="17" t="s">
        <v>277</v>
      </c>
      <c r="D24" s="17" t="s">
        <v>77</v>
      </c>
      <c r="E24" s="18">
        <v>7502327990963</v>
      </c>
      <c r="F24" s="16" t="s">
        <v>310</v>
      </c>
      <c r="G24" s="19" t="s">
        <v>311</v>
      </c>
      <c r="H24" s="20" t="s">
        <v>60</v>
      </c>
      <c r="I24" s="16" t="s">
        <v>307</v>
      </c>
      <c r="J24" s="19" t="s">
        <v>249</v>
      </c>
      <c r="K24" s="19" t="s">
        <v>281</v>
      </c>
      <c r="L24" s="16">
        <v>1</v>
      </c>
      <c r="M24" s="21" t="s">
        <v>282</v>
      </c>
      <c r="N24" s="22" t="s">
        <v>312</v>
      </c>
      <c r="O24" s="16" t="s">
        <v>284</v>
      </c>
      <c r="P24" s="348" t="s">
        <v>309</v>
      </c>
      <c r="Q24" s="23" t="s">
        <v>286</v>
      </c>
      <c r="R24" s="23">
        <v>10000</v>
      </c>
      <c r="S24" s="24" t="e">
        <f t="shared" ca="1" si="14"/>
        <v>#VALUE!</v>
      </c>
      <c r="T24" s="24" t="e">
        <f t="shared" ca="1" si="0"/>
        <v>#VALUE!</v>
      </c>
      <c r="U24" s="24" t="e">
        <f t="shared" ca="1" si="15"/>
        <v>#VALUE!</v>
      </c>
      <c r="V24" s="25" t="e">
        <f t="shared" ca="1" si="2"/>
        <v>#VALUE!</v>
      </c>
      <c r="W24" s="34">
        <v>169</v>
      </c>
      <c r="X24" s="24">
        <f t="shared" si="3"/>
        <v>145.68965517241381</v>
      </c>
      <c r="Y24" s="24">
        <f t="shared" si="4"/>
        <v>87.413793103448285</v>
      </c>
      <c r="Z24" s="27" t="e">
        <f t="shared" ca="1" si="5"/>
        <v>#VALUE!</v>
      </c>
      <c r="AA24" s="27" t="e">
        <f t="shared" ca="1" si="6"/>
        <v>#VALUE!</v>
      </c>
      <c r="AB24" s="28">
        <f t="shared" si="7"/>
        <v>0.4</v>
      </c>
      <c r="AC24" s="29" t="s">
        <v>287</v>
      </c>
      <c r="AD24" s="16"/>
      <c r="AE24" s="19">
        <v>6</v>
      </c>
      <c r="AF24" s="19">
        <v>144</v>
      </c>
      <c r="AG24" s="36" t="s">
        <v>288</v>
      </c>
      <c r="AH24" s="467">
        <v>46308</v>
      </c>
      <c r="AI24" s="274"/>
      <c r="AJ24" s="274"/>
      <c r="AL24" s="30">
        <v>109.85</v>
      </c>
      <c r="AM24" s="31">
        <f t="shared" si="8"/>
        <v>94.698275862068968</v>
      </c>
      <c r="AN24" s="32" t="e">
        <f t="shared" ca="1" si="9"/>
        <v>#VALUE!</v>
      </c>
      <c r="AO24" s="32" t="e">
        <f t="shared" ca="1" si="10"/>
        <v>#VALUE!</v>
      </c>
      <c r="AP24" s="33">
        <f t="shared" si="11"/>
        <v>0</v>
      </c>
      <c r="BA24" s="3">
        <v>1</v>
      </c>
      <c r="BB24" s="3">
        <v>1</v>
      </c>
      <c r="BC24" s="3">
        <v>1</v>
      </c>
      <c r="BD24" s="3">
        <v>1</v>
      </c>
      <c r="BE24" s="3"/>
      <c r="BF24" s="3"/>
      <c r="BG24" s="3"/>
      <c r="BH24" s="3"/>
      <c r="BI24" s="3"/>
      <c r="BJ24" s="3">
        <v>8</v>
      </c>
      <c r="BK24" s="3">
        <f t="shared" si="12"/>
        <v>4</v>
      </c>
      <c r="BL24" s="292">
        <f t="shared" si="13"/>
        <v>0.5</v>
      </c>
      <c r="BM24" s="295"/>
      <c r="BN24" s="295"/>
      <c r="BO24" s="295"/>
      <c r="BP24" s="295"/>
      <c r="BQ24" s="295"/>
      <c r="BR24" s="320" t="s">
        <v>289</v>
      </c>
      <c r="BS24" s="278"/>
      <c r="BT24" s="278" t="s">
        <v>129</v>
      </c>
      <c r="CJ24" s="358">
        <v>46188</v>
      </c>
      <c r="CK24" s="278"/>
      <c r="CL24" s="278"/>
      <c r="CM24" s="278"/>
      <c r="CN24" s="278"/>
      <c r="CO24" s="278"/>
      <c r="CP24" s="268"/>
      <c r="CQ24" s="268"/>
      <c r="CR24" s="267"/>
      <c r="CS24" s="267"/>
      <c r="CT24" s="267"/>
      <c r="CU24" s="267"/>
      <c r="CV24" s="267"/>
      <c r="CW24" s="267"/>
      <c r="CX24" s="267"/>
      <c r="CY24" s="267"/>
      <c r="CZ24" s="267"/>
      <c r="DA24" s="267"/>
    </row>
    <row r="25" spans="1:105" ht="409.6">
      <c r="A25" s="16">
        <v>13</v>
      </c>
      <c r="B25" s="17">
        <v>46248</v>
      </c>
      <c r="C25" s="17" t="s">
        <v>277</v>
      </c>
      <c r="D25" s="17" t="s">
        <v>77</v>
      </c>
      <c r="E25" s="18">
        <v>7502327990970</v>
      </c>
      <c r="F25" s="16" t="s">
        <v>313</v>
      </c>
      <c r="G25" s="19" t="s">
        <v>314</v>
      </c>
      <c r="H25" s="20" t="s">
        <v>60</v>
      </c>
      <c r="I25" s="16" t="s">
        <v>307</v>
      </c>
      <c r="J25" s="19" t="s">
        <v>249</v>
      </c>
      <c r="K25" s="19" t="s">
        <v>281</v>
      </c>
      <c r="L25" s="16">
        <v>1</v>
      </c>
      <c r="M25" s="21" t="s">
        <v>282</v>
      </c>
      <c r="N25" s="22" t="s">
        <v>312</v>
      </c>
      <c r="O25" s="16" t="s">
        <v>284</v>
      </c>
      <c r="P25" s="348" t="s">
        <v>309</v>
      </c>
      <c r="Q25" s="23" t="s">
        <v>286</v>
      </c>
      <c r="R25" s="23">
        <v>10000</v>
      </c>
      <c r="S25" s="24" t="e">
        <f t="shared" ca="1" si="14"/>
        <v>#VALUE!</v>
      </c>
      <c r="T25" s="24" t="e">
        <f t="shared" ca="1" si="0"/>
        <v>#VALUE!</v>
      </c>
      <c r="U25" s="24" t="e">
        <f t="shared" ca="1" si="15"/>
        <v>#VALUE!</v>
      </c>
      <c r="V25" s="25" t="e">
        <f t="shared" ca="1" si="2"/>
        <v>#VALUE!</v>
      </c>
      <c r="W25" s="34">
        <v>169</v>
      </c>
      <c r="X25" s="24">
        <f t="shared" si="3"/>
        <v>145.68965517241381</v>
      </c>
      <c r="Y25" s="24">
        <f t="shared" si="4"/>
        <v>87.413793103448285</v>
      </c>
      <c r="Z25" s="27" t="e">
        <f t="shared" ca="1" si="5"/>
        <v>#VALUE!</v>
      </c>
      <c r="AA25" s="27" t="e">
        <f t="shared" ca="1" si="6"/>
        <v>#VALUE!</v>
      </c>
      <c r="AB25" s="28">
        <f t="shared" si="7"/>
        <v>0.4</v>
      </c>
      <c r="AC25" s="29" t="s">
        <v>287</v>
      </c>
      <c r="AD25" s="16"/>
      <c r="AE25" s="19">
        <v>6</v>
      </c>
      <c r="AF25" s="19">
        <v>144</v>
      </c>
      <c r="AG25" s="36" t="s">
        <v>288</v>
      </c>
      <c r="AH25" s="467">
        <v>46308</v>
      </c>
      <c r="AI25" s="274"/>
      <c r="AJ25" s="274"/>
      <c r="AL25" s="30">
        <v>109.85</v>
      </c>
      <c r="AM25" s="31">
        <f t="shared" si="8"/>
        <v>94.698275862068968</v>
      </c>
      <c r="AN25" s="32" t="e">
        <f t="shared" ca="1" si="9"/>
        <v>#VALUE!</v>
      </c>
      <c r="AO25" s="32" t="e">
        <f t="shared" ca="1" si="10"/>
        <v>#VALUE!</v>
      </c>
      <c r="AP25" s="33">
        <f t="shared" si="11"/>
        <v>0</v>
      </c>
      <c r="BA25" s="3">
        <v>1</v>
      </c>
      <c r="BB25" s="3">
        <v>1</v>
      </c>
      <c r="BC25" s="3">
        <v>1</v>
      </c>
      <c r="BD25" s="3">
        <v>1</v>
      </c>
      <c r="BE25" s="3"/>
      <c r="BF25" s="3"/>
      <c r="BG25" s="3"/>
      <c r="BH25" s="3"/>
      <c r="BI25" s="3"/>
      <c r="BJ25" s="3">
        <v>8</v>
      </c>
      <c r="BK25" s="3">
        <f t="shared" si="12"/>
        <v>4</v>
      </c>
      <c r="BL25" s="292">
        <f t="shared" si="13"/>
        <v>0.5</v>
      </c>
      <c r="BM25" s="295"/>
      <c r="BN25" s="295"/>
      <c r="BO25" s="295"/>
      <c r="BP25" s="295"/>
      <c r="BQ25" s="295"/>
      <c r="BR25" s="320" t="s">
        <v>289</v>
      </c>
      <c r="BS25" s="278"/>
      <c r="BT25" s="278" t="s">
        <v>129</v>
      </c>
      <c r="CJ25" s="358">
        <v>46188</v>
      </c>
      <c r="CK25" s="278"/>
      <c r="CL25" s="278"/>
      <c r="CM25" s="278"/>
      <c r="CN25" s="278"/>
      <c r="CO25" s="278"/>
      <c r="CP25" s="268"/>
      <c r="CQ25" s="268"/>
      <c r="CR25" s="267"/>
      <c r="CS25" s="267"/>
      <c r="CT25" s="267"/>
      <c r="CU25" s="267"/>
      <c r="CV25" s="267"/>
      <c r="CW25" s="267"/>
      <c r="CX25" s="267"/>
      <c r="CY25" s="267"/>
      <c r="CZ25" s="267"/>
      <c r="DA25" s="267"/>
    </row>
    <row r="26" spans="1:105" ht="409.6">
      <c r="A26" s="16">
        <v>14</v>
      </c>
      <c r="B26" s="17">
        <v>46248</v>
      </c>
      <c r="C26" s="17" t="s">
        <v>277</v>
      </c>
      <c r="D26" s="17" t="s">
        <v>77</v>
      </c>
      <c r="E26" s="18">
        <v>7502327990987</v>
      </c>
      <c r="F26" s="16" t="s">
        <v>315</v>
      </c>
      <c r="G26" s="19" t="s">
        <v>316</v>
      </c>
      <c r="H26" s="20" t="s">
        <v>60</v>
      </c>
      <c r="I26" s="16" t="s">
        <v>307</v>
      </c>
      <c r="J26" s="19" t="s">
        <v>249</v>
      </c>
      <c r="K26" s="19" t="s">
        <v>281</v>
      </c>
      <c r="L26" s="16">
        <v>1</v>
      </c>
      <c r="M26" s="21" t="s">
        <v>282</v>
      </c>
      <c r="N26" s="22" t="s">
        <v>312</v>
      </c>
      <c r="O26" s="16" t="s">
        <v>284</v>
      </c>
      <c r="P26" s="348" t="s">
        <v>309</v>
      </c>
      <c r="Q26" s="23" t="s">
        <v>286</v>
      </c>
      <c r="R26" s="23">
        <v>10000</v>
      </c>
      <c r="S26" s="24" t="e">
        <f t="shared" ca="1" si="14"/>
        <v>#VALUE!</v>
      </c>
      <c r="T26" s="24" t="e">
        <f t="shared" ca="1" si="0"/>
        <v>#VALUE!</v>
      </c>
      <c r="U26" s="24" t="e">
        <f t="shared" ca="1" si="15"/>
        <v>#VALUE!</v>
      </c>
      <c r="V26" s="25" t="e">
        <f t="shared" ca="1" si="2"/>
        <v>#VALUE!</v>
      </c>
      <c r="W26" s="34">
        <v>169</v>
      </c>
      <c r="X26" s="24">
        <f t="shared" si="3"/>
        <v>145.68965517241381</v>
      </c>
      <c r="Y26" s="24">
        <f t="shared" si="4"/>
        <v>87.413793103448285</v>
      </c>
      <c r="Z26" s="27" t="e">
        <f t="shared" ca="1" si="5"/>
        <v>#VALUE!</v>
      </c>
      <c r="AA26" s="27" t="e">
        <f t="shared" ca="1" si="6"/>
        <v>#VALUE!</v>
      </c>
      <c r="AB26" s="28">
        <f t="shared" si="7"/>
        <v>0.4</v>
      </c>
      <c r="AC26" s="29" t="s">
        <v>287</v>
      </c>
      <c r="AD26" s="16"/>
      <c r="AE26" s="19">
        <v>6</v>
      </c>
      <c r="AF26" s="19">
        <v>144</v>
      </c>
      <c r="AG26" s="36" t="s">
        <v>288</v>
      </c>
      <c r="AH26" s="467">
        <v>46308</v>
      </c>
      <c r="AI26" s="274"/>
      <c r="AJ26" s="274"/>
      <c r="AL26" s="30">
        <v>109.85</v>
      </c>
      <c r="AM26" s="31">
        <f t="shared" si="8"/>
        <v>94.698275862068968</v>
      </c>
      <c r="AN26" s="32" t="e">
        <f t="shared" ca="1" si="9"/>
        <v>#VALUE!</v>
      </c>
      <c r="AO26" s="32" t="e">
        <f t="shared" ca="1" si="10"/>
        <v>#VALUE!</v>
      </c>
      <c r="AP26" s="33">
        <f t="shared" si="11"/>
        <v>0</v>
      </c>
      <c r="BA26" s="3">
        <v>1</v>
      </c>
      <c r="BB26" s="3">
        <v>1</v>
      </c>
      <c r="BC26" s="3">
        <v>1</v>
      </c>
      <c r="BD26" s="3">
        <v>1</v>
      </c>
      <c r="BE26" s="3"/>
      <c r="BF26" s="3"/>
      <c r="BG26" s="3"/>
      <c r="BH26" s="3"/>
      <c r="BI26" s="3"/>
      <c r="BJ26" s="3">
        <v>8</v>
      </c>
      <c r="BK26" s="3">
        <f t="shared" si="12"/>
        <v>4</v>
      </c>
      <c r="BL26" s="292">
        <f t="shared" si="13"/>
        <v>0.5</v>
      </c>
      <c r="BM26" s="295"/>
      <c r="BN26" s="295"/>
      <c r="BO26" s="295"/>
      <c r="BP26" s="295"/>
      <c r="BQ26" s="295"/>
      <c r="BR26" s="320" t="s">
        <v>289</v>
      </c>
      <c r="BS26" s="278"/>
      <c r="BT26" s="278" t="s">
        <v>129</v>
      </c>
      <c r="CJ26" s="358">
        <v>46188</v>
      </c>
      <c r="CK26" s="278"/>
      <c r="CL26" s="278"/>
      <c r="CM26" s="278"/>
      <c r="CN26" s="278"/>
      <c r="CO26" s="278"/>
      <c r="CP26" s="268"/>
      <c r="CQ26" s="268"/>
      <c r="CR26" s="267"/>
      <c r="CS26" s="267"/>
      <c r="CT26" s="267"/>
      <c r="CU26" s="267"/>
      <c r="CV26" s="267"/>
      <c r="CW26" s="267"/>
      <c r="CX26" s="267"/>
      <c r="CY26" s="267"/>
      <c r="CZ26" s="267"/>
      <c r="DA26" s="267"/>
    </row>
    <row r="27" spans="1:105" ht="409.6">
      <c r="A27" s="16">
        <v>15</v>
      </c>
      <c r="B27" s="17">
        <v>46248</v>
      </c>
      <c r="C27" s="17" t="s">
        <v>277</v>
      </c>
      <c r="D27" s="17" t="s">
        <v>77</v>
      </c>
      <c r="E27" s="18">
        <v>7502327990994</v>
      </c>
      <c r="F27" s="16" t="s">
        <v>317</v>
      </c>
      <c r="G27" s="19" t="s">
        <v>318</v>
      </c>
      <c r="H27" s="20" t="s">
        <v>60</v>
      </c>
      <c r="I27" s="16" t="s">
        <v>307</v>
      </c>
      <c r="J27" s="19" t="s">
        <v>249</v>
      </c>
      <c r="K27" s="19" t="s">
        <v>281</v>
      </c>
      <c r="L27" s="16">
        <v>1</v>
      </c>
      <c r="M27" s="21" t="s">
        <v>282</v>
      </c>
      <c r="N27" s="22" t="s">
        <v>312</v>
      </c>
      <c r="O27" s="16" t="s">
        <v>284</v>
      </c>
      <c r="P27" s="348" t="s">
        <v>309</v>
      </c>
      <c r="Q27" s="23" t="s">
        <v>286</v>
      </c>
      <c r="R27" s="23">
        <v>10000</v>
      </c>
      <c r="S27" s="24" t="e">
        <f t="shared" ca="1" si="14"/>
        <v>#VALUE!</v>
      </c>
      <c r="T27" s="24" t="e">
        <f t="shared" ca="1" si="0"/>
        <v>#VALUE!</v>
      </c>
      <c r="U27" s="24" t="e">
        <f t="shared" ca="1" si="15"/>
        <v>#VALUE!</v>
      </c>
      <c r="V27" s="25" t="e">
        <f t="shared" ca="1" si="2"/>
        <v>#VALUE!</v>
      </c>
      <c r="W27" s="34">
        <v>169</v>
      </c>
      <c r="X27" s="24">
        <f t="shared" si="3"/>
        <v>145.68965517241381</v>
      </c>
      <c r="Y27" s="24">
        <f t="shared" si="4"/>
        <v>87.413793103448285</v>
      </c>
      <c r="Z27" s="27" t="e">
        <f t="shared" ca="1" si="5"/>
        <v>#VALUE!</v>
      </c>
      <c r="AA27" s="27" t="e">
        <f t="shared" ca="1" si="6"/>
        <v>#VALUE!</v>
      </c>
      <c r="AB27" s="28">
        <f t="shared" si="7"/>
        <v>0.4</v>
      </c>
      <c r="AC27" s="29" t="s">
        <v>287</v>
      </c>
      <c r="AD27" s="16"/>
      <c r="AE27" s="19">
        <v>6</v>
      </c>
      <c r="AF27" s="19">
        <v>144</v>
      </c>
      <c r="AG27" s="36" t="s">
        <v>288</v>
      </c>
      <c r="AH27" s="467">
        <v>46308</v>
      </c>
      <c r="AI27" s="274"/>
      <c r="AJ27" s="274"/>
      <c r="AL27" s="30">
        <v>109.85</v>
      </c>
      <c r="AM27" s="31">
        <f t="shared" si="8"/>
        <v>94.698275862068968</v>
      </c>
      <c r="AN27" s="32" t="e">
        <f t="shared" ca="1" si="9"/>
        <v>#VALUE!</v>
      </c>
      <c r="AO27" s="32" t="e">
        <f t="shared" ca="1" si="10"/>
        <v>#VALUE!</v>
      </c>
      <c r="AP27" s="33">
        <f t="shared" si="11"/>
        <v>0</v>
      </c>
      <c r="BA27" s="3">
        <v>1</v>
      </c>
      <c r="BB27" s="3">
        <v>1</v>
      </c>
      <c r="BC27" s="3">
        <v>1</v>
      </c>
      <c r="BD27" s="3">
        <v>1</v>
      </c>
      <c r="BE27" s="3"/>
      <c r="BF27" s="3"/>
      <c r="BG27" s="3"/>
      <c r="BH27" s="3"/>
      <c r="BI27" s="3"/>
      <c r="BJ27" s="3">
        <v>8</v>
      </c>
      <c r="BK27" s="3">
        <f t="shared" si="12"/>
        <v>4</v>
      </c>
      <c r="BL27" s="292">
        <f t="shared" si="13"/>
        <v>0.5</v>
      </c>
      <c r="BM27" s="295"/>
      <c r="BN27" s="295"/>
      <c r="BO27" s="295"/>
      <c r="BP27" s="295"/>
      <c r="BQ27" s="295"/>
      <c r="BR27" s="320" t="s">
        <v>289</v>
      </c>
      <c r="BS27" s="278"/>
      <c r="BT27" s="278" t="s">
        <v>129</v>
      </c>
      <c r="CJ27" s="358">
        <v>46188</v>
      </c>
      <c r="CK27" s="278"/>
      <c r="CL27" s="278"/>
      <c r="CM27" s="278"/>
      <c r="CN27" s="278"/>
      <c r="CO27" s="278"/>
      <c r="CP27" s="268"/>
      <c r="CQ27" s="268"/>
      <c r="CR27" s="267"/>
      <c r="CS27" s="267"/>
      <c r="CT27" s="267"/>
      <c r="CU27" s="267"/>
      <c r="CV27" s="267"/>
      <c r="CW27" s="267"/>
      <c r="CX27" s="267"/>
      <c r="CY27" s="267"/>
      <c r="CZ27" s="267"/>
      <c r="DA27" s="267"/>
    </row>
    <row r="28" spans="1:105" ht="34.5">
      <c r="A28" s="16">
        <v>16</v>
      </c>
      <c r="B28" s="17">
        <v>46248</v>
      </c>
      <c r="C28" s="17" t="s">
        <v>277</v>
      </c>
      <c r="D28" s="17" t="s">
        <v>77</v>
      </c>
      <c r="E28" s="18">
        <v>7502327991007</v>
      </c>
      <c r="F28" s="16" t="s">
        <v>319</v>
      </c>
      <c r="G28" s="19" t="s">
        <v>320</v>
      </c>
      <c r="H28" s="20" t="s">
        <v>60</v>
      </c>
      <c r="I28" s="16" t="s">
        <v>307</v>
      </c>
      <c r="J28" s="19" t="s">
        <v>249</v>
      </c>
      <c r="K28" s="19" t="s">
        <v>281</v>
      </c>
      <c r="L28" s="16">
        <v>1</v>
      </c>
      <c r="M28" s="21" t="s">
        <v>282</v>
      </c>
      <c r="N28" s="22" t="s">
        <v>321</v>
      </c>
      <c r="O28" s="16" t="s">
        <v>284</v>
      </c>
      <c r="P28" s="348" t="s">
        <v>322</v>
      </c>
      <c r="Q28" s="23" t="s">
        <v>286</v>
      </c>
      <c r="R28" s="23">
        <v>10000</v>
      </c>
      <c r="S28" s="24" t="e">
        <f t="shared" ca="1" si="14"/>
        <v>#VALUE!</v>
      </c>
      <c r="T28" s="24" t="e">
        <f t="shared" ca="1" si="0"/>
        <v>#VALUE!</v>
      </c>
      <c r="U28" s="24" t="e">
        <f t="shared" ca="1" si="15"/>
        <v>#VALUE!</v>
      </c>
      <c r="V28" s="25" t="e">
        <f t="shared" ca="1" si="2"/>
        <v>#VALUE!</v>
      </c>
      <c r="W28" s="34">
        <v>169</v>
      </c>
      <c r="X28" s="24">
        <f t="shared" si="3"/>
        <v>145.68965517241381</v>
      </c>
      <c r="Y28" s="24">
        <f t="shared" si="4"/>
        <v>87.413793103448285</v>
      </c>
      <c r="Z28" s="27" t="e">
        <f t="shared" ca="1" si="5"/>
        <v>#VALUE!</v>
      </c>
      <c r="AA28" s="27" t="e">
        <f t="shared" ca="1" si="6"/>
        <v>#VALUE!</v>
      </c>
      <c r="AB28" s="28">
        <f t="shared" si="7"/>
        <v>0.4</v>
      </c>
      <c r="AC28" s="29" t="s">
        <v>287</v>
      </c>
      <c r="AD28" s="16"/>
      <c r="AE28" s="19">
        <v>6</v>
      </c>
      <c r="AF28" s="19">
        <v>144</v>
      </c>
      <c r="AG28" s="36" t="s">
        <v>323</v>
      </c>
      <c r="AH28" s="466">
        <v>46315</v>
      </c>
      <c r="AI28" s="274"/>
      <c r="AJ28" s="274"/>
      <c r="AL28" s="30">
        <v>109.85</v>
      </c>
      <c r="AM28" s="31">
        <f t="shared" si="8"/>
        <v>94.698275862068968</v>
      </c>
      <c r="AN28" s="32" t="e">
        <f t="shared" ca="1" si="9"/>
        <v>#VALUE!</v>
      </c>
      <c r="AO28" s="32" t="e">
        <f t="shared" ca="1" si="10"/>
        <v>#VALUE!</v>
      </c>
      <c r="AP28" s="33">
        <f t="shared" si="11"/>
        <v>0</v>
      </c>
      <c r="BA28" s="3">
        <v>1</v>
      </c>
      <c r="BB28" s="3">
        <v>1</v>
      </c>
      <c r="BC28" s="3">
        <v>1</v>
      </c>
      <c r="BD28" s="3">
        <v>1</v>
      </c>
      <c r="BE28" s="3"/>
      <c r="BF28" s="3"/>
      <c r="BG28" s="3"/>
      <c r="BH28" s="3"/>
      <c r="BI28" s="3"/>
      <c r="BJ28" s="3">
        <v>8</v>
      </c>
      <c r="BK28" s="3">
        <f t="shared" si="12"/>
        <v>4</v>
      </c>
      <c r="BL28" s="292">
        <f t="shared" si="13"/>
        <v>0.5</v>
      </c>
      <c r="BM28" s="295"/>
      <c r="BN28" s="295"/>
      <c r="BO28" s="295"/>
      <c r="BP28" s="295"/>
      <c r="BQ28" s="295"/>
      <c r="BR28" s="320" t="s">
        <v>289</v>
      </c>
      <c r="BS28" s="278"/>
      <c r="BT28" s="278" t="s">
        <v>129</v>
      </c>
      <c r="CJ28" s="358">
        <v>46195</v>
      </c>
      <c r="CK28" s="278"/>
      <c r="CL28" s="278"/>
      <c r="CM28" s="278"/>
      <c r="CN28" s="278"/>
      <c r="CO28" s="278"/>
      <c r="CP28" s="268"/>
      <c r="CQ28" s="268"/>
      <c r="CR28" s="267"/>
      <c r="CS28" s="267"/>
      <c r="CT28" s="267"/>
      <c r="CU28" s="267"/>
      <c r="CV28" s="267"/>
      <c r="CW28" s="267"/>
      <c r="CX28" s="267"/>
      <c r="CY28" s="267"/>
      <c r="CZ28" s="267"/>
      <c r="DA28" s="267"/>
    </row>
    <row r="29" spans="1:105" ht="409.6">
      <c r="A29" s="16">
        <v>17</v>
      </c>
      <c r="B29" s="17">
        <v>46248</v>
      </c>
      <c r="C29" s="17" t="s">
        <v>277</v>
      </c>
      <c r="D29" s="17" t="s">
        <v>77</v>
      </c>
      <c r="E29" s="18">
        <v>7502327991014</v>
      </c>
      <c r="F29" s="16" t="s">
        <v>324</v>
      </c>
      <c r="G29" s="19" t="s">
        <v>320</v>
      </c>
      <c r="H29" s="20" t="s">
        <v>60</v>
      </c>
      <c r="I29" s="16" t="s">
        <v>307</v>
      </c>
      <c r="J29" s="19" t="s">
        <v>249</v>
      </c>
      <c r="K29" s="19" t="s">
        <v>281</v>
      </c>
      <c r="L29" s="16">
        <v>1</v>
      </c>
      <c r="M29" s="21" t="s">
        <v>282</v>
      </c>
      <c r="N29" s="22" t="s">
        <v>321</v>
      </c>
      <c r="O29" s="16" t="s">
        <v>284</v>
      </c>
      <c r="P29" s="348" t="s">
        <v>322</v>
      </c>
      <c r="Q29" s="23" t="s">
        <v>286</v>
      </c>
      <c r="R29" s="23">
        <v>10000</v>
      </c>
      <c r="S29" s="24" t="e">
        <f t="shared" ca="1" si="14"/>
        <v>#VALUE!</v>
      </c>
      <c r="T29" s="24" t="e">
        <f t="shared" ca="1" si="0"/>
        <v>#VALUE!</v>
      </c>
      <c r="U29" s="24" t="e">
        <f t="shared" ca="1" si="15"/>
        <v>#VALUE!</v>
      </c>
      <c r="V29" s="25" t="e">
        <f t="shared" ca="1" si="2"/>
        <v>#VALUE!</v>
      </c>
      <c r="W29" s="34">
        <v>169</v>
      </c>
      <c r="X29" s="24">
        <f t="shared" si="3"/>
        <v>145.68965517241381</v>
      </c>
      <c r="Y29" s="24">
        <f t="shared" si="4"/>
        <v>87.413793103448285</v>
      </c>
      <c r="Z29" s="27" t="e">
        <f t="shared" ca="1" si="5"/>
        <v>#VALUE!</v>
      </c>
      <c r="AA29" s="27" t="e">
        <f t="shared" ca="1" si="6"/>
        <v>#VALUE!</v>
      </c>
      <c r="AB29" s="28">
        <f t="shared" si="7"/>
        <v>0.4</v>
      </c>
      <c r="AC29" s="29" t="s">
        <v>287</v>
      </c>
      <c r="AD29" s="16"/>
      <c r="AE29" s="19">
        <v>6</v>
      </c>
      <c r="AF29" s="19">
        <v>144</v>
      </c>
      <c r="AG29" s="36" t="s">
        <v>323</v>
      </c>
      <c r="AH29" s="467">
        <v>46315</v>
      </c>
      <c r="AI29" s="274"/>
      <c r="AJ29" s="274"/>
      <c r="AL29" s="30">
        <v>109.85</v>
      </c>
      <c r="AM29" s="31">
        <f t="shared" si="8"/>
        <v>94.698275862068968</v>
      </c>
      <c r="AN29" s="32" t="e">
        <f t="shared" ca="1" si="9"/>
        <v>#VALUE!</v>
      </c>
      <c r="AO29" s="32" t="e">
        <f t="shared" ca="1" si="10"/>
        <v>#VALUE!</v>
      </c>
      <c r="AP29" s="33">
        <f t="shared" si="11"/>
        <v>0</v>
      </c>
      <c r="BA29" s="3">
        <v>1</v>
      </c>
      <c r="BB29" s="3">
        <v>1</v>
      </c>
      <c r="BC29" s="3">
        <v>1</v>
      </c>
      <c r="BD29" s="3">
        <v>1</v>
      </c>
      <c r="BE29" s="3"/>
      <c r="BF29" s="3"/>
      <c r="BG29" s="3"/>
      <c r="BH29" s="3"/>
      <c r="BI29" s="3"/>
      <c r="BJ29" s="3">
        <v>8</v>
      </c>
      <c r="BK29" s="3">
        <f t="shared" si="12"/>
        <v>4</v>
      </c>
      <c r="BL29" s="292">
        <f t="shared" si="13"/>
        <v>0.5</v>
      </c>
      <c r="BM29" s="295"/>
      <c r="BN29" s="295"/>
      <c r="BO29" s="295"/>
      <c r="BP29" s="295"/>
      <c r="BQ29" s="295"/>
      <c r="BR29" s="320" t="s">
        <v>289</v>
      </c>
      <c r="BS29" s="278"/>
      <c r="BT29" s="278" t="s">
        <v>129</v>
      </c>
      <c r="CJ29" s="358">
        <v>46195</v>
      </c>
      <c r="CK29" s="278"/>
      <c r="CL29" s="278"/>
      <c r="CM29" s="278"/>
      <c r="CN29" s="278"/>
      <c r="CO29" s="278"/>
      <c r="CP29" s="268"/>
      <c r="CQ29" s="268"/>
      <c r="CR29" s="267"/>
      <c r="CS29" s="267"/>
      <c r="CT29" s="267"/>
      <c r="CU29" s="267"/>
      <c r="CV29" s="267"/>
      <c r="CW29" s="267"/>
      <c r="CX29" s="267"/>
      <c r="CY29" s="267"/>
      <c r="CZ29" s="267"/>
      <c r="DA29" s="267"/>
    </row>
    <row r="30" spans="1:105" ht="409.6">
      <c r="A30" s="16">
        <v>18</v>
      </c>
      <c r="B30" s="17">
        <v>46248</v>
      </c>
      <c r="C30" s="17" t="s">
        <v>277</v>
      </c>
      <c r="D30" s="17" t="s">
        <v>77</v>
      </c>
      <c r="E30" s="18">
        <v>7502327991021</v>
      </c>
      <c r="F30" s="16" t="s">
        <v>325</v>
      </c>
      <c r="G30" s="19" t="s">
        <v>320</v>
      </c>
      <c r="H30" s="20" t="s">
        <v>60</v>
      </c>
      <c r="I30" s="16" t="s">
        <v>307</v>
      </c>
      <c r="J30" s="19" t="s">
        <v>249</v>
      </c>
      <c r="K30" s="19" t="s">
        <v>281</v>
      </c>
      <c r="L30" s="16">
        <v>1</v>
      </c>
      <c r="M30" s="21" t="s">
        <v>282</v>
      </c>
      <c r="N30" s="22" t="s">
        <v>321</v>
      </c>
      <c r="O30" s="16" t="s">
        <v>284</v>
      </c>
      <c r="P30" s="348" t="s">
        <v>322</v>
      </c>
      <c r="Q30" s="23" t="s">
        <v>286</v>
      </c>
      <c r="R30" s="23">
        <v>10000</v>
      </c>
      <c r="S30" s="24" t="e">
        <f t="shared" ca="1" si="14"/>
        <v>#VALUE!</v>
      </c>
      <c r="T30" s="24" t="e">
        <f t="shared" ca="1" si="0"/>
        <v>#VALUE!</v>
      </c>
      <c r="U30" s="24" t="e">
        <f t="shared" ca="1" si="15"/>
        <v>#VALUE!</v>
      </c>
      <c r="V30" s="25" t="e">
        <f t="shared" ca="1" si="2"/>
        <v>#VALUE!</v>
      </c>
      <c r="W30" s="34">
        <v>169</v>
      </c>
      <c r="X30" s="24">
        <f t="shared" si="3"/>
        <v>145.68965517241381</v>
      </c>
      <c r="Y30" s="24">
        <f t="shared" si="4"/>
        <v>87.413793103448285</v>
      </c>
      <c r="Z30" s="27" t="e">
        <f t="shared" ca="1" si="5"/>
        <v>#VALUE!</v>
      </c>
      <c r="AA30" s="27" t="e">
        <f t="shared" ca="1" si="6"/>
        <v>#VALUE!</v>
      </c>
      <c r="AB30" s="28">
        <f t="shared" si="7"/>
        <v>0.4</v>
      </c>
      <c r="AC30" s="29" t="s">
        <v>287</v>
      </c>
      <c r="AD30" s="16"/>
      <c r="AE30" s="19">
        <v>6</v>
      </c>
      <c r="AF30" s="19">
        <v>144</v>
      </c>
      <c r="AG30" s="36" t="s">
        <v>323</v>
      </c>
      <c r="AH30" s="467">
        <v>46315</v>
      </c>
      <c r="AI30" s="274"/>
      <c r="AJ30" s="274"/>
      <c r="AL30" s="30">
        <v>109.85</v>
      </c>
      <c r="AM30" s="31">
        <f t="shared" si="8"/>
        <v>94.698275862068968</v>
      </c>
      <c r="AN30" s="32" t="e">
        <f t="shared" ca="1" si="9"/>
        <v>#VALUE!</v>
      </c>
      <c r="AO30" s="32" t="e">
        <f t="shared" ca="1" si="10"/>
        <v>#VALUE!</v>
      </c>
      <c r="AP30" s="33">
        <f t="shared" si="11"/>
        <v>0</v>
      </c>
      <c r="BA30" s="3">
        <v>1</v>
      </c>
      <c r="BB30" s="3">
        <v>1</v>
      </c>
      <c r="BC30" s="3">
        <v>1</v>
      </c>
      <c r="BD30" s="3">
        <v>1</v>
      </c>
      <c r="BE30" s="3"/>
      <c r="BF30" s="3"/>
      <c r="BG30" s="3"/>
      <c r="BH30" s="3"/>
      <c r="BI30" s="3"/>
      <c r="BJ30" s="3">
        <v>8</v>
      </c>
      <c r="BK30" s="3">
        <f t="shared" si="12"/>
        <v>4</v>
      </c>
      <c r="BL30" s="292">
        <f t="shared" si="13"/>
        <v>0.5</v>
      </c>
      <c r="BM30" s="295"/>
      <c r="BN30" s="295"/>
      <c r="BO30" s="295"/>
      <c r="BP30" s="295"/>
      <c r="BQ30" s="295"/>
      <c r="BR30" s="320" t="s">
        <v>289</v>
      </c>
      <c r="BS30" s="278"/>
      <c r="BT30" s="278" t="s">
        <v>129</v>
      </c>
      <c r="CJ30" s="358">
        <v>46195</v>
      </c>
      <c r="CK30" s="278"/>
      <c r="CL30" s="278"/>
      <c r="CM30" s="278"/>
      <c r="CN30" s="278"/>
      <c r="CO30" s="278"/>
      <c r="CP30" s="268"/>
      <c r="CQ30" s="268"/>
      <c r="CR30" s="267"/>
      <c r="CS30" s="267"/>
      <c r="CT30" s="267"/>
      <c r="CU30" s="267"/>
      <c r="CV30" s="267"/>
      <c r="CW30" s="267"/>
      <c r="CX30" s="267"/>
      <c r="CY30" s="267"/>
      <c r="CZ30" s="267"/>
      <c r="DA30" s="267"/>
    </row>
    <row r="31" spans="1:105" ht="360">
      <c r="A31" s="16">
        <v>19</v>
      </c>
      <c r="B31" s="17">
        <v>46248</v>
      </c>
      <c r="C31" s="17" t="s">
        <v>277</v>
      </c>
      <c r="D31" s="17" t="s">
        <v>77</v>
      </c>
      <c r="E31" s="18">
        <v>7502327991038</v>
      </c>
      <c r="F31" s="16" t="s">
        <v>326</v>
      </c>
      <c r="G31" s="19" t="s">
        <v>327</v>
      </c>
      <c r="H31" s="20" t="s">
        <v>60</v>
      </c>
      <c r="I31" s="16" t="s">
        <v>307</v>
      </c>
      <c r="J31" s="19" t="s">
        <v>249</v>
      </c>
      <c r="K31" s="19" t="s">
        <v>281</v>
      </c>
      <c r="L31" s="16">
        <v>1</v>
      </c>
      <c r="M31" s="21" t="s">
        <v>282</v>
      </c>
      <c r="N31" s="22" t="s">
        <v>328</v>
      </c>
      <c r="O31" s="16" t="s">
        <v>284</v>
      </c>
      <c r="P31" s="348" t="s">
        <v>329</v>
      </c>
      <c r="Q31" s="23" t="s">
        <v>286</v>
      </c>
      <c r="R31" s="23">
        <v>10000</v>
      </c>
      <c r="S31" s="24" t="e">
        <f t="shared" ca="1" si="14"/>
        <v>#VALUE!</v>
      </c>
      <c r="T31" s="24" t="e">
        <f t="shared" ca="1" si="0"/>
        <v>#VALUE!</v>
      </c>
      <c r="U31" s="24" t="e">
        <f t="shared" ca="1" si="15"/>
        <v>#VALUE!</v>
      </c>
      <c r="V31" s="25" t="e">
        <f t="shared" ca="1" si="2"/>
        <v>#VALUE!</v>
      </c>
      <c r="W31" s="34">
        <v>169</v>
      </c>
      <c r="X31" s="24">
        <f t="shared" si="3"/>
        <v>145.68965517241381</v>
      </c>
      <c r="Y31" s="24">
        <f t="shared" si="4"/>
        <v>87.413793103448285</v>
      </c>
      <c r="Z31" s="27" t="e">
        <f t="shared" ca="1" si="5"/>
        <v>#VALUE!</v>
      </c>
      <c r="AA31" s="27" t="e">
        <f t="shared" ca="1" si="6"/>
        <v>#VALUE!</v>
      </c>
      <c r="AB31" s="28">
        <f t="shared" si="7"/>
        <v>0.4</v>
      </c>
      <c r="AC31" s="29" t="s">
        <v>287</v>
      </c>
      <c r="AD31" s="16"/>
      <c r="AE31" s="19">
        <v>6</v>
      </c>
      <c r="AF31" s="19">
        <v>144</v>
      </c>
      <c r="AG31" s="36" t="s">
        <v>330</v>
      </c>
      <c r="AH31" s="467">
        <v>46315</v>
      </c>
      <c r="AI31" s="274"/>
      <c r="AJ31" s="274"/>
      <c r="AL31" s="30">
        <v>109.85</v>
      </c>
      <c r="AM31" s="31">
        <f t="shared" si="8"/>
        <v>94.698275862068968</v>
      </c>
      <c r="AN31" s="32" t="e">
        <f t="shared" ca="1" si="9"/>
        <v>#VALUE!</v>
      </c>
      <c r="AO31" s="32" t="e">
        <f t="shared" ca="1" si="10"/>
        <v>#VALUE!</v>
      </c>
      <c r="AP31" s="33">
        <f t="shared" si="11"/>
        <v>0</v>
      </c>
      <c r="BA31" s="3">
        <v>1</v>
      </c>
      <c r="BB31" s="3">
        <v>1</v>
      </c>
      <c r="BC31" s="3">
        <v>1</v>
      </c>
      <c r="BD31" s="3">
        <v>1</v>
      </c>
      <c r="BE31" s="3"/>
      <c r="BF31" s="3"/>
      <c r="BG31" s="3"/>
      <c r="BH31" s="3"/>
      <c r="BI31" s="3"/>
      <c r="BJ31" s="3">
        <v>8</v>
      </c>
      <c r="BK31" s="3">
        <f t="shared" si="12"/>
        <v>4</v>
      </c>
      <c r="BL31" s="292">
        <f t="shared" si="13"/>
        <v>0.5</v>
      </c>
      <c r="BM31" s="295"/>
      <c r="BN31" s="295"/>
      <c r="BO31" s="295"/>
      <c r="BP31" s="295"/>
      <c r="BQ31" s="295"/>
      <c r="BR31" s="320" t="s">
        <v>289</v>
      </c>
      <c r="BS31" s="278"/>
      <c r="BT31" s="278" t="s">
        <v>129</v>
      </c>
      <c r="CJ31" s="358">
        <v>46202</v>
      </c>
      <c r="CK31" s="278"/>
      <c r="CL31" s="278"/>
      <c r="CM31" s="278"/>
      <c r="CN31" s="278"/>
      <c r="CO31" s="278"/>
      <c r="CP31" s="268"/>
      <c r="CQ31" s="268"/>
      <c r="CR31" s="267"/>
      <c r="CS31" s="267"/>
      <c r="CT31" s="267"/>
      <c r="CU31" s="267"/>
      <c r="CV31" s="267"/>
      <c r="CW31" s="267"/>
      <c r="CX31" s="267"/>
      <c r="CY31" s="267"/>
      <c r="CZ31" s="267"/>
      <c r="DA31" s="267"/>
    </row>
    <row r="32" spans="1:105" ht="360">
      <c r="A32" s="16">
        <v>20</v>
      </c>
      <c r="B32" s="17">
        <v>46248</v>
      </c>
      <c r="C32" s="17" t="s">
        <v>277</v>
      </c>
      <c r="D32" s="17" t="s">
        <v>77</v>
      </c>
      <c r="E32" s="18">
        <v>7502327991045</v>
      </c>
      <c r="F32" s="16" t="s">
        <v>331</v>
      </c>
      <c r="G32" s="19" t="s">
        <v>332</v>
      </c>
      <c r="H32" s="20" t="s">
        <v>60</v>
      </c>
      <c r="I32" s="16" t="s">
        <v>307</v>
      </c>
      <c r="J32" s="19" t="s">
        <v>249</v>
      </c>
      <c r="K32" s="19" t="s">
        <v>281</v>
      </c>
      <c r="L32" s="16">
        <v>1</v>
      </c>
      <c r="M32" s="21" t="s">
        <v>282</v>
      </c>
      <c r="N32" s="22" t="s">
        <v>333</v>
      </c>
      <c r="O32" s="16" t="s">
        <v>284</v>
      </c>
      <c r="P32" s="348" t="s">
        <v>329</v>
      </c>
      <c r="Q32" s="23" t="s">
        <v>286</v>
      </c>
      <c r="R32" s="23">
        <v>10000</v>
      </c>
      <c r="S32" s="24" t="e">
        <f t="shared" ca="1" si="14"/>
        <v>#VALUE!</v>
      </c>
      <c r="T32" s="24" t="e">
        <f t="shared" ca="1" si="0"/>
        <v>#VALUE!</v>
      </c>
      <c r="U32" s="24" t="e">
        <f t="shared" ca="1" si="15"/>
        <v>#VALUE!</v>
      </c>
      <c r="V32" s="25" t="e">
        <f t="shared" ca="1" si="2"/>
        <v>#VALUE!</v>
      </c>
      <c r="W32" s="34">
        <v>169</v>
      </c>
      <c r="X32" s="24">
        <f t="shared" si="3"/>
        <v>145.68965517241381</v>
      </c>
      <c r="Y32" s="24">
        <f t="shared" si="4"/>
        <v>87.413793103448285</v>
      </c>
      <c r="Z32" s="27" t="e">
        <f t="shared" ca="1" si="5"/>
        <v>#VALUE!</v>
      </c>
      <c r="AA32" s="27" t="e">
        <f t="shared" ca="1" si="6"/>
        <v>#VALUE!</v>
      </c>
      <c r="AB32" s="28">
        <f t="shared" si="7"/>
        <v>0.4</v>
      </c>
      <c r="AC32" s="29" t="s">
        <v>287</v>
      </c>
      <c r="AD32" s="16"/>
      <c r="AE32" s="19">
        <v>6</v>
      </c>
      <c r="AF32" s="19">
        <v>144</v>
      </c>
      <c r="AG32" s="36" t="s">
        <v>330</v>
      </c>
      <c r="AH32" s="467">
        <v>46315</v>
      </c>
      <c r="AI32" s="274"/>
      <c r="AJ32" s="274"/>
      <c r="AL32" s="30">
        <v>109.85</v>
      </c>
      <c r="AM32" s="31">
        <f t="shared" si="8"/>
        <v>94.698275862068968</v>
      </c>
      <c r="AN32" s="32" t="e">
        <f t="shared" ca="1" si="9"/>
        <v>#VALUE!</v>
      </c>
      <c r="AO32" s="32" t="e">
        <f t="shared" ca="1" si="10"/>
        <v>#VALUE!</v>
      </c>
      <c r="AP32" s="33">
        <f t="shared" si="11"/>
        <v>0</v>
      </c>
      <c r="BA32" s="3">
        <v>1</v>
      </c>
      <c r="BB32" s="3">
        <v>1</v>
      </c>
      <c r="BC32" s="3">
        <v>1</v>
      </c>
      <c r="BD32" s="3">
        <v>1</v>
      </c>
      <c r="BE32" s="3"/>
      <c r="BF32" s="3"/>
      <c r="BG32" s="3"/>
      <c r="BH32" s="3"/>
      <c r="BI32" s="3"/>
      <c r="BJ32" s="3">
        <v>8</v>
      </c>
      <c r="BK32" s="3">
        <f t="shared" si="12"/>
        <v>4</v>
      </c>
      <c r="BL32" s="292">
        <f t="shared" si="13"/>
        <v>0.5</v>
      </c>
      <c r="BM32" s="295"/>
      <c r="BN32" s="295"/>
      <c r="BO32" s="295"/>
      <c r="BP32" s="295"/>
      <c r="BQ32" s="295"/>
      <c r="BR32" s="320" t="s">
        <v>289</v>
      </c>
      <c r="BS32" s="278"/>
      <c r="BT32" s="278" t="s">
        <v>129</v>
      </c>
      <c r="CJ32" s="358">
        <v>46202</v>
      </c>
      <c r="CK32" s="278"/>
      <c r="CL32" s="278"/>
      <c r="CM32" s="278"/>
      <c r="CN32" s="278"/>
      <c r="CO32" s="278"/>
      <c r="CP32" s="268"/>
      <c r="CQ32" s="268"/>
      <c r="CR32" s="267"/>
      <c r="CS32" s="267"/>
      <c r="CT32" s="267"/>
      <c r="CU32" s="267"/>
      <c r="CV32" s="267"/>
      <c r="CW32" s="267"/>
      <c r="CX32" s="267"/>
      <c r="CY32" s="267"/>
      <c r="CZ32" s="267"/>
      <c r="DA32" s="267"/>
    </row>
    <row r="33" spans="1:105" ht="34.5">
      <c r="A33" s="16">
        <v>21</v>
      </c>
      <c r="B33" s="17">
        <v>46248</v>
      </c>
      <c r="C33" s="17" t="s">
        <v>277</v>
      </c>
      <c r="D33" s="17" t="s">
        <v>77</v>
      </c>
      <c r="E33" s="18">
        <v>7502327991052</v>
      </c>
      <c r="F33" s="16" t="s">
        <v>334</v>
      </c>
      <c r="G33" s="19" t="s">
        <v>335</v>
      </c>
      <c r="H33" s="20" t="s">
        <v>60</v>
      </c>
      <c r="I33" s="16" t="s">
        <v>307</v>
      </c>
      <c r="J33" s="19" t="s">
        <v>249</v>
      </c>
      <c r="K33" s="19" t="s">
        <v>281</v>
      </c>
      <c r="L33" s="16">
        <v>1</v>
      </c>
      <c r="M33" s="21" t="s">
        <v>282</v>
      </c>
      <c r="N33" s="22" t="s">
        <v>333</v>
      </c>
      <c r="O33" s="16" t="s">
        <v>284</v>
      </c>
      <c r="P33" s="348" t="s">
        <v>329</v>
      </c>
      <c r="Q33" s="23" t="s">
        <v>286</v>
      </c>
      <c r="R33" s="23">
        <v>10000</v>
      </c>
      <c r="S33" s="24" t="e">
        <f t="shared" ca="1" si="14"/>
        <v>#VALUE!</v>
      </c>
      <c r="T33" s="24" t="e">
        <f t="shared" ca="1" si="0"/>
        <v>#VALUE!</v>
      </c>
      <c r="U33" s="24" t="e">
        <f t="shared" ca="1" si="15"/>
        <v>#VALUE!</v>
      </c>
      <c r="V33" s="25" t="e">
        <f t="shared" ca="1" si="2"/>
        <v>#VALUE!</v>
      </c>
      <c r="W33" s="34">
        <v>169</v>
      </c>
      <c r="X33" s="24">
        <f t="shared" si="3"/>
        <v>145.68965517241381</v>
      </c>
      <c r="Y33" s="24">
        <f t="shared" si="4"/>
        <v>87.413793103448285</v>
      </c>
      <c r="Z33" s="27" t="e">
        <f t="shared" ca="1" si="5"/>
        <v>#VALUE!</v>
      </c>
      <c r="AA33" s="27" t="e">
        <f t="shared" ca="1" si="6"/>
        <v>#VALUE!</v>
      </c>
      <c r="AB33" s="28">
        <f t="shared" si="7"/>
        <v>0.4</v>
      </c>
      <c r="AC33" s="29" t="s">
        <v>287</v>
      </c>
      <c r="AD33" s="16"/>
      <c r="AE33" s="19">
        <v>6</v>
      </c>
      <c r="AF33" s="19">
        <v>144</v>
      </c>
      <c r="AG33" s="36" t="s">
        <v>330</v>
      </c>
      <c r="AH33" s="16"/>
      <c r="AI33" s="274"/>
      <c r="AJ33" s="274"/>
      <c r="AL33" s="30">
        <v>109.85</v>
      </c>
      <c r="AM33" s="31">
        <f t="shared" si="8"/>
        <v>94.698275862068968</v>
      </c>
      <c r="AN33" s="32" t="e">
        <f t="shared" ca="1" si="9"/>
        <v>#VALUE!</v>
      </c>
      <c r="AO33" s="32" t="e">
        <f t="shared" ca="1" si="10"/>
        <v>#VALUE!</v>
      </c>
      <c r="AP33" s="33">
        <f t="shared" si="11"/>
        <v>0</v>
      </c>
      <c r="BA33" s="3">
        <v>1</v>
      </c>
      <c r="BB33" s="3">
        <v>1</v>
      </c>
      <c r="BC33" s="3">
        <v>1</v>
      </c>
      <c r="BD33" s="3">
        <v>1</v>
      </c>
      <c r="BE33" s="3"/>
      <c r="BF33" s="3"/>
      <c r="BG33" s="3"/>
      <c r="BH33" s="3"/>
      <c r="BI33" s="3"/>
      <c r="BJ33" s="3">
        <v>8</v>
      </c>
      <c r="BK33" s="3">
        <f t="shared" si="12"/>
        <v>4</v>
      </c>
      <c r="BL33" s="292">
        <f t="shared" si="13"/>
        <v>0.5</v>
      </c>
      <c r="BM33" s="295"/>
      <c r="BN33" s="295"/>
      <c r="BO33" s="295"/>
      <c r="BP33" s="295"/>
      <c r="BQ33" s="295"/>
      <c r="BR33" s="320" t="s">
        <v>289</v>
      </c>
      <c r="BS33" s="278"/>
      <c r="BT33" s="278" t="s">
        <v>129</v>
      </c>
      <c r="CJ33" s="358">
        <v>46202</v>
      </c>
      <c r="CK33" s="278"/>
      <c r="CL33" s="278"/>
      <c r="CM33" s="278"/>
      <c r="CN33" s="278"/>
      <c r="CO33" s="278"/>
      <c r="CP33" s="268"/>
      <c r="CQ33" s="268"/>
      <c r="CR33" s="267"/>
      <c r="CS33" s="267"/>
      <c r="CT33" s="267"/>
      <c r="CU33" s="267"/>
      <c r="CV33" s="267"/>
      <c r="CW33" s="267"/>
      <c r="CX33" s="267"/>
      <c r="CY33" s="267"/>
      <c r="CZ33" s="267"/>
      <c r="DA33" s="267"/>
    </row>
    <row r="34" spans="1:105" ht="34.5">
      <c r="A34" s="16">
        <v>22</v>
      </c>
      <c r="B34" s="17">
        <v>46248</v>
      </c>
      <c r="C34" s="17" t="s">
        <v>277</v>
      </c>
      <c r="D34" s="17" t="s">
        <v>77</v>
      </c>
      <c r="E34" s="18">
        <v>7502327991069</v>
      </c>
      <c r="F34" s="16" t="s">
        <v>336</v>
      </c>
      <c r="G34" s="19" t="s">
        <v>337</v>
      </c>
      <c r="H34" s="20" t="s">
        <v>60</v>
      </c>
      <c r="I34" s="16" t="s">
        <v>338</v>
      </c>
      <c r="J34" s="19" t="s">
        <v>249</v>
      </c>
      <c r="K34" s="19" t="s">
        <v>281</v>
      </c>
      <c r="L34" s="16">
        <v>1</v>
      </c>
      <c r="M34" s="21" t="s">
        <v>282</v>
      </c>
      <c r="N34" s="22" t="s">
        <v>339</v>
      </c>
      <c r="O34" s="16" t="s">
        <v>284</v>
      </c>
      <c r="P34" s="348" t="s">
        <v>340</v>
      </c>
      <c r="Q34" s="23" t="s">
        <v>286</v>
      </c>
      <c r="R34" s="23">
        <v>10000</v>
      </c>
      <c r="S34" s="24" t="e">
        <f t="shared" ca="1" si="14"/>
        <v>#VALUE!</v>
      </c>
      <c r="T34" s="24" t="e">
        <f t="shared" ca="1" si="0"/>
        <v>#VALUE!</v>
      </c>
      <c r="U34" s="24" t="e">
        <f ca="1">(S34+T34)*0.0745</f>
        <v>#VALUE!</v>
      </c>
      <c r="V34" s="25" t="e">
        <f t="shared" ca="1" si="2"/>
        <v>#VALUE!</v>
      </c>
      <c r="W34" s="26">
        <v>219</v>
      </c>
      <c r="X34" s="24">
        <f t="shared" si="3"/>
        <v>188.79310344827587</v>
      </c>
      <c r="Y34" s="24">
        <f t="shared" si="4"/>
        <v>113.27586206896552</v>
      </c>
      <c r="Z34" s="27" t="e">
        <f t="shared" ca="1" si="5"/>
        <v>#VALUE!</v>
      </c>
      <c r="AA34" s="27" t="e">
        <f t="shared" ca="1" si="6"/>
        <v>#VALUE!</v>
      </c>
      <c r="AB34" s="28">
        <f t="shared" si="7"/>
        <v>0.4</v>
      </c>
      <c r="AC34" s="29" t="s">
        <v>287</v>
      </c>
      <c r="AD34" s="16"/>
      <c r="AE34" s="19">
        <v>6</v>
      </c>
      <c r="AF34" s="19">
        <v>72</v>
      </c>
      <c r="AG34" s="36" t="s">
        <v>288</v>
      </c>
      <c r="AH34" s="16"/>
      <c r="AI34" s="274"/>
      <c r="AJ34" s="274"/>
      <c r="AL34" s="35">
        <v>142.35</v>
      </c>
      <c r="AM34" s="31">
        <f t="shared" si="8"/>
        <v>122.71551724137932</v>
      </c>
      <c r="AN34" s="32" t="e">
        <f t="shared" ca="1" si="9"/>
        <v>#VALUE!</v>
      </c>
      <c r="AO34" s="32" t="e">
        <f t="shared" ca="1" si="10"/>
        <v>#VALUE!</v>
      </c>
      <c r="AP34" s="33">
        <f t="shared" si="11"/>
        <v>0</v>
      </c>
      <c r="BA34" s="3">
        <v>1</v>
      </c>
      <c r="BB34" s="3">
        <v>1</v>
      </c>
      <c r="BC34" s="3">
        <v>1</v>
      </c>
      <c r="BD34" s="3">
        <v>1</v>
      </c>
      <c r="BE34" s="3"/>
      <c r="BF34" s="3"/>
      <c r="BG34" s="3"/>
      <c r="BH34" s="3"/>
      <c r="BI34" s="3"/>
      <c r="BJ34" s="3">
        <v>8</v>
      </c>
      <c r="BK34" s="3">
        <f t="shared" si="12"/>
        <v>4</v>
      </c>
      <c r="BL34" s="292">
        <f t="shared" si="13"/>
        <v>0.5</v>
      </c>
      <c r="BM34" s="295"/>
      <c r="BN34" s="295"/>
      <c r="BO34" s="295"/>
      <c r="BP34" s="295"/>
      <c r="BQ34" s="295"/>
      <c r="BR34" s="320" t="str">
        <f t="shared" ref="BR34:BR52" si="16">+AG34</f>
        <v>En revisión de dummy para autorización final</v>
      </c>
      <c r="BS34" s="278"/>
      <c r="BT34" s="278" t="s">
        <v>129</v>
      </c>
      <c r="CJ34" s="358">
        <v>46188</v>
      </c>
      <c r="CK34" s="278"/>
      <c r="CL34" s="278"/>
      <c r="CM34" s="278"/>
      <c r="CN34" s="278"/>
      <c r="CO34" s="278"/>
      <c r="CP34" s="268"/>
      <c r="CQ34" s="268"/>
      <c r="CR34" s="267"/>
      <c r="CS34" s="267"/>
      <c r="CT34" s="267"/>
      <c r="CU34" s="267"/>
      <c r="CV34" s="267"/>
      <c r="CW34" s="267"/>
      <c r="CX34" s="267"/>
      <c r="CY34" s="267"/>
      <c r="CZ34" s="267"/>
      <c r="DA34" s="267"/>
    </row>
    <row r="35" spans="1:105" ht="393">
      <c r="A35" s="16">
        <v>23</v>
      </c>
      <c r="B35" s="17">
        <v>46248</v>
      </c>
      <c r="C35" s="17" t="s">
        <v>277</v>
      </c>
      <c r="D35" s="17" t="s">
        <v>77</v>
      </c>
      <c r="E35" s="18">
        <v>7502327991076</v>
      </c>
      <c r="F35" s="16" t="s">
        <v>341</v>
      </c>
      <c r="G35" s="19" t="s">
        <v>342</v>
      </c>
      <c r="H35" s="20" t="s">
        <v>60</v>
      </c>
      <c r="I35" s="16" t="s">
        <v>343</v>
      </c>
      <c r="J35" s="19" t="s">
        <v>249</v>
      </c>
      <c r="K35" s="19" t="s">
        <v>281</v>
      </c>
      <c r="L35" s="16">
        <v>1</v>
      </c>
      <c r="M35" s="21" t="s">
        <v>282</v>
      </c>
      <c r="N35" s="22" t="s">
        <v>344</v>
      </c>
      <c r="O35" s="16" t="s">
        <v>284</v>
      </c>
      <c r="P35" s="348" t="s">
        <v>345</v>
      </c>
      <c r="Q35" s="23" t="s">
        <v>286</v>
      </c>
      <c r="R35" s="23">
        <v>10000</v>
      </c>
      <c r="S35" s="24" t="e">
        <f t="shared" ca="1" si="14"/>
        <v>#VALUE!</v>
      </c>
      <c r="T35" s="24" t="e">
        <f t="shared" ca="1" si="0"/>
        <v>#VALUE!</v>
      </c>
      <c r="U35" s="24" t="e">
        <f ca="1">(S35+T35)*0.0769</f>
        <v>#VALUE!</v>
      </c>
      <c r="V35" s="25" t="e">
        <f t="shared" ca="1" si="2"/>
        <v>#VALUE!</v>
      </c>
      <c r="W35" s="26">
        <v>259</v>
      </c>
      <c r="X35" s="24">
        <f t="shared" si="3"/>
        <v>223.27586206896552</v>
      </c>
      <c r="Y35" s="24">
        <f t="shared" si="4"/>
        <v>133.9655172413793</v>
      </c>
      <c r="Z35" s="27" t="e">
        <f t="shared" ca="1" si="5"/>
        <v>#VALUE!</v>
      </c>
      <c r="AA35" s="27" t="e">
        <f t="shared" ca="1" si="6"/>
        <v>#VALUE!</v>
      </c>
      <c r="AB35" s="28">
        <f t="shared" si="7"/>
        <v>0.4</v>
      </c>
      <c r="AC35" s="29" t="s">
        <v>287</v>
      </c>
      <c r="AD35" s="16"/>
      <c r="AE35" s="19">
        <v>6</v>
      </c>
      <c r="AF35" s="19">
        <v>72</v>
      </c>
      <c r="AG35" s="36" t="s">
        <v>288</v>
      </c>
      <c r="AH35" s="467">
        <v>46308</v>
      </c>
      <c r="AI35" s="274"/>
      <c r="AJ35" s="274"/>
      <c r="AL35" s="31">
        <v>168.35</v>
      </c>
      <c r="AM35" s="31">
        <f t="shared" si="8"/>
        <v>145.12931034482759</v>
      </c>
      <c r="AN35" s="32" t="e">
        <f t="shared" ca="1" si="9"/>
        <v>#VALUE!</v>
      </c>
      <c r="AO35" s="32" t="e">
        <f t="shared" ca="1" si="10"/>
        <v>#VALUE!</v>
      </c>
      <c r="AP35" s="33">
        <f t="shared" si="11"/>
        <v>0</v>
      </c>
      <c r="BA35" s="3">
        <v>1</v>
      </c>
      <c r="BB35" s="3">
        <v>1</v>
      </c>
      <c r="BC35" s="3">
        <v>1</v>
      </c>
      <c r="BD35" s="3">
        <v>1</v>
      </c>
      <c r="BE35" s="3"/>
      <c r="BF35" s="3"/>
      <c r="BG35" s="3"/>
      <c r="BH35" s="3"/>
      <c r="BI35" s="3"/>
      <c r="BJ35" s="3">
        <v>8</v>
      </c>
      <c r="BK35" s="3">
        <f t="shared" si="12"/>
        <v>4</v>
      </c>
      <c r="BL35" s="292">
        <f t="shared" si="13"/>
        <v>0.5</v>
      </c>
      <c r="BM35" s="295"/>
      <c r="BN35" s="295"/>
      <c r="BO35" s="295"/>
      <c r="BP35" s="295"/>
      <c r="BQ35" s="295"/>
      <c r="BR35" s="320" t="str">
        <f t="shared" si="16"/>
        <v>En revisión de dummy para autorización final</v>
      </c>
      <c r="BS35" s="278"/>
      <c r="BT35" s="278" t="s">
        <v>129</v>
      </c>
      <c r="CJ35" s="358">
        <v>46188</v>
      </c>
      <c r="CK35" s="278"/>
      <c r="CL35" s="278"/>
      <c r="CM35" s="278"/>
      <c r="CN35" s="278"/>
      <c r="CO35" s="278"/>
      <c r="CP35" s="268"/>
      <c r="CQ35" s="268"/>
      <c r="CR35" s="267"/>
      <c r="CS35" s="267"/>
      <c r="CT35" s="267"/>
      <c r="CU35" s="267"/>
      <c r="CV35" s="267"/>
      <c r="CW35" s="267"/>
      <c r="CX35" s="267"/>
      <c r="CY35" s="267"/>
      <c r="CZ35" s="267"/>
      <c r="DA35" s="267"/>
    </row>
    <row r="36" spans="1:105" ht="409.6">
      <c r="A36" s="16">
        <v>24</v>
      </c>
      <c r="B36" s="17">
        <v>46248</v>
      </c>
      <c r="C36" s="17" t="s">
        <v>277</v>
      </c>
      <c r="D36" s="17" t="s">
        <v>77</v>
      </c>
      <c r="E36" s="18">
        <v>7502327991083</v>
      </c>
      <c r="F36" s="16" t="s">
        <v>346</v>
      </c>
      <c r="G36" s="19" t="s">
        <v>347</v>
      </c>
      <c r="H36" s="20" t="s">
        <v>60</v>
      </c>
      <c r="I36" s="36" t="s">
        <v>147</v>
      </c>
      <c r="J36" s="19" t="s">
        <v>249</v>
      </c>
      <c r="K36" s="19" t="s">
        <v>281</v>
      </c>
      <c r="L36" s="16">
        <v>1</v>
      </c>
      <c r="M36" s="21" t="s">
        <v>282</v>
      </c>
      <c r="N36" s="37" t="s">
        <v>348</v>
      </c>
      <c r="O36" s="16" t="s">
        <v>284</v>
      </c>
      <c r="P36" s="348" t="s">
        <v>349</v>
      </c>
      <c r="Q36" s="23" t="s">
        <v>286</v>
      </c>
      <c r="R36" s="23">
        <v>10000</v>
      </c>
      <c r="S36" s="24" t="e">
        <f t="shared" ca="1" si="14"/>
        <v>#VALUE!</v>
      </c>
      <c r="T36" s="24" t="e">
        <f t="shared" ca="1" si="0"/>
        <v>#VALUE!</v>
      </c>
      <c r="U36" s="24" t="e">
        <f t="shared" ref="U36:U41" ca="1" si="17">(S36+T36)*0.0369</f>
        <v>#VALUE!</v>
      </c>
      <c r="V36" s="25" t="e">
        <f t="shared" ca="1" si="2"/>
        <v>#VALUE!</v>
      </c>
      <c r="W36" s="26">
        <v>149</v>
      </c>
      <c r="X36" s="24">
        <f t="shared" si="3"/>
        <v>128.44827586206898</v>
      </c>
      <c r="Y36" s="24">
        <f t="shared" si="4"/>
        <v>77.068965517241381</v>
      </c>
      <c r="Z36" s="27" t="e">
        <f t="shared" ca="1" si="5"/>
        <v>#VALUE!</v>
      </c>
      <c r="AA36" s="27" t="e">
        <f t="shared" ca="1" si="6"/>
        <v>#VALUE!</v>
      </c>
      <c r="AB36" s="28">
        <f t="shared" si="7"/>
        <v>0.4</v>
      </c>
      <c r="AC36" s="29" t="s">
        <v>287</v>
      </c>
      <c r="AD36" s="16"/>
      <c r="AE36" s="19">
        <v>6</v>
      </c>
      <c r="AF36" s="19">
        <v>72</v>
      </c>
      <c r="AG36" s="36" t="s">
        <v>288</v>
      </c>
      <c r="AH36" s="467">
        <v>46308</v>
      </c>
      <c r="AI36" s="274"/>
      <c r="AJ36" s="274"/>
      <c r="AL36" s="31">
        <v>96.85</v>
      </c>
      <c r="AM36" s="31">
        <f t="shared" si="8"/>
        <v>83.491379310344826</v>
      </c>
      <c r="AN36" s="32" t="e">
        <f t="shared" ca="1" si="9"/>
        <v>#VALUE!</v>
      </c>
      <c r="AO36" s="32" t="e">
        <f t="shared" ca="1" si="10"/>
        <v>#VALUE!</v>
      </c>
      <c r="AP36" s="33">
        <f t="shared" si="11"/>
        <v>0</v>
      </c>
      <c r="BA36" s="3">
        <v>1</v>
      </c>
      <c r="BB36" s="3">
        <v>1</v>
      </c>
      <c r="BC36" s="3">
        <v>1</v>
      </c>
      <c r="BD36" s="3">
        <v>1</v>
      </c>
      <c r="BE36" s="3"/>
      <c r="BF36" s="3"/>
      <c r="BG36" s="3"/>
      <c r="BH36" s="3"/>
      <c r="BI36" s="3"/>
      <c r="BJ36" s="3">
        <v>8</v>
      </c>
      <c r="BK36" s="3">
        <f t="shared" si="12"/>
        <v>4</v>
      </c>
      <c r="BL36" s="292">
        <f t="shared" si="13"/>
        <v>0.5</v>
      </c>
      <c r="BM36" s="295"/>
      <c r="BN36" s="295"/>
      <c r="BO36" s="295"/>
      <c r="BP36" s="295"/>
      <c r="BQ36" s="295"/>
      <c r="BR36" s="320" t="str">
        <f t="shared" si="16"/>
        <v>En revisión de dummy para autorización final</v>
      </c>
      <c r="BS36" s="278"/>
      <c r="BT36" s="278" t="s">
        <v>129</v>
      </c>
      <c r="CJ36" s="278"/>
      <c r="CK36" s="278"/>
      <c r="CL36" s="278"/>
      <c r="CM36" s="278"/>
      <c r="CN36" s="278"/>
      <c r="CO36" s="278"/>
      <c r="CP36" s="268"/>
      <c r="CQ36" s="268"/>
      <c r="CR36" s="267"/>
      <c r="CS36" s="267"/>
      <c r="CT36" s="267"/>
      <c r="CU36" s="267"/>
      <c r="CV36" s="267"/>
      <c r="CW36" s="267"/>
      <c r="CX36" s="267"/>
      <c r="CY36" s="267"/>
      <c r="CZ36" s="267"/>
      <c r="DA36" s="267"/>
    </row>
    <row r="37" spans="1:105" ht="409.6">
      <c r="A37" s="16">
        <v>25</v>
      </c>
      <c r="B37" s="17">
        <v>46248</v>
      </c>
      <c r="C37" s="17" t="s">
        <v>277</v>
      </c>
      <c r="D37" s="17" t="s">
        <v>77</v>
      </c>
      <c r="E37" s="18">
        <v>7502327991090</v>
      </c>
      <c r="F37" s="16" t="s">
        <v>350</v>
      </c>
      <c r="G37" s="19" t="s">
        <v>351</v>
      </c>
      <c r="H37" s="20" t="s">
        <v>60</v>
      </c>
      <c r="I37" s="36" t="s">
        <v>147</v>
      </c>
      <c r="J37" s="19" t="s">
        <v>249</v>
      </c>
      <c r="K37" s="19" t="s">
        <v>281</v>
      </c>
      <c r="L37" s="16">
        <v>1</v>
      </c>
      <c r="M37" s="21" t="s">
        <v>282</v>
      </c>
      <c r="N37" s="37" t="s">
        <v>352</v>
      </c>
      <c r="O37" s="16" t="s">
        <v>284</v>
      </c>
      <c r="P37" s="348" t="s">
        <v>349</v>
      </c>
      <c r="Q37" s="23" t="s">
        <v>286</v>
      </c>
      <c r="R37" s="23">
        <v>10000</v>
      </c>
      <c r="S37" s="24" t="e">
        <f t="shared" ca="1" si="14"/>
        <v>#VALUE!</v>
      </c>
      <c r="T37" s="24" t="e">
        <f t="shared" ca="1" si="0"/>
        <v>#VALUE!</v>
      </c>
      <c r="U37" s="24" t="e">
        <f t="shared" ca="1" si="17"/>
        <v>#VALUE!</v>
      </c>
      <c r="V37" s="25" t="e">
        <f t="shared" ca="1" si="2"/>
        <v>#VALUE!</v>
      </c>
      <c r="W37" s="26">
        <v>149</v>
      </c>
      <c r="X37" s="24">
        <f t="shared" si="3"/>
        <v>128.44827586206898</v>
      </c>
      <c r="Y37" s="24">
        <f t="shared" si="4"/>
        <v>77.068965517241381</v>
      </c>
      <c r="Z37" s="27" t="e">
        <f t="shared" ca="1" si="5"/>
        <v>#VALUE!</v>
      </c>
      <c r="AA37" s="27" t="e">
        <f t="shared" ca="1" si="6"/>
        <v>#VALUE!</v>
      </c>
      <c r="AB37" s="28">
        <f t="shared" si="7"/>
        <v>0.4</v>
      </c>
      <c r="AC37" s="29" t="s">
        <v>287</v>
      </c>
      <c r="AD37" s="16"/>
      <c r="AE37" s="19">
        <v>6</v>
      </c>
      <c r="AF37" s="19">
        <v>72</v>
      </c>
      <c r="AG37" s="36" t="s">
        <v>288</v>
      </c>
      <c r="AH37" s="467">
        <v>46308</v>
      </c>
      <c r="AI37" s="274"/>
      <c r="AJ37" s="274"/>
      <c r="AL37" s="31">
        <v>96.85</v>
      </c>
      <c r="AM37" s="31">
        <f t="shared" si="8"/>
        <v>83.491379310344826</v>
      </c>
      <c r="AN37" s="32" t="e">
        <f t="shared" ca="1" si="9"/>
        <v>#VALUE!</v>
      </c>
      <c r="AO37" s="32" t="e">
        <f t="shared" ca="1" si="10"/>
        <v>#VALUE!</v>
      </c>
      <c r="AP37" s="33">
        <f t="shared" si="11"/>
        <v>0</v>
      </c>
      <c r="BA37" s="3">
        <v>1</v>
      </c>
      <c r="BB37" s="3">
        <v>1</v>
      </c>
      <c r="BC37" s="3">
        <v>1</v>
      </c>
      <c r="BD37" s="3">
        <v>1</v>
      </c>
      <c r="BE37" s="3"/>
      <c r="BF37" s="3"/>
      <c r="BG37" s="3"/>
      <c r="BH37" s="3"/>
      <c r="BI37" s="3"/>
      <c r="BJ37" s="3">
        <v>8</v>
      </c>
      <c r="BK37" s="3">
        <f t="shared" si="12"/>
        <v>4</v>
      </c>
      <c r="BL37" s="292">
        <f t="shared" si="13"/>
        <v>0.5</v>
      </c>
      <c r="BM37" s="295"/>
      <c r="BN37" s="295"/>
      <c r="BO37" s="295"/>
      <c r="BP37" s="295"/>
      <c r="BQ37" s="295"/>
      <c r="BR37" s="320" t="str">
        <f t="shared" si="16"/>
        <v>En revisión de dummy para autorización final</v>
      </c>
      <c r="BS37" s="278"/>
      <c r="BT37" s="278" t="s">
        <v>129</v>
      </c>
      <c r="CJ37" s="278"/>
      <c r="CK37" s="278"/>
      <c r="CL37" s="278"/>
      <c r="CM37" s="278"/>
      <c r="CN37" s="278"/>
      <c r="CO37" s="278"/>
      <c r="CP37" s="268"/>
      <c r="CQ37" s="268"/>
      <c r="CR37" s="267"/>
      <c r="CS37" s="267"/>
      <c r="CT37" s="267"/>
      <c r="CU37" s="267"/>
      <c r="CV37" s="267"/>
      <c r="CW37" s="267"/>
      <c r="CX37" s="267"/>
      <c r="CY37" s="267"/>
      <c r="CZ37" s="267"/>
      <c r="DA37" s="267"/>
    </row>
    <row r="38" spans="1:105" ht="409.6">
      <c r="A38" s="16">
        <v>26</v>
      </c>
      <c r="B38" s="17">
        <v>46248</v>
      </c>
      <c r="C38" s="17" t="s">
        <v>277</v>
      </c>
      <c r="D38" s="17" t="s">
        <v>77</v>
      </c>
      <c r="E38" s="18">
        <v>7502327991106</v>
      </c>
      <c r="F38" s="16" t="s">
        <v>353</v>
      </c>
      <c r="G38" s="19" t="s">
        <v>354</v>
      </c>
      <c r="H38" s="20" t="s">
        <v>60</v>
      </c>
      <c r="I38" s="36" t="s">
        <v>147</v>
      </c>
      <c r="J38" s="19" t="s">
        <v>249</v>
      </c>
      <c r="K38" s="19" t="s">
        <v>281</v>
      </c>
      <c r="L38" s="16">
        <v>1</v>
      </c>
      <c r="M38" s="21" t="s">
        <v>282</v>
      </c>
      <c r="N38" s="37" t="s">
        <v>355</v>
      </c>
      <c r="O38" s="16" t="s">
        <v>284</v>
      </c>
      <c r="P38" s="348" t="s">
        <v>349</v>
      </c>
      <c r="Q38" s="23" t="s">
        <v>286</v>
      </c>
      <c r="R38" s="23">
        <v>10000</v>
      </c>
      <c r="S38" s="24" t="e">
        <f t="shared" ca="1" si="14"/>
        <v>#VALUE!</v>
      </c>
      <c r="T38" s="24" t="e">
        <f t="shared" ca="1" si="0"/>
        <v>#VALUE!</v>
      </c>
      <c r="U38" s="24" t="e">
        <f t="shared" ca="1" si="17"/>
        <v>#VALUE!</v>
      </c>
      <c r="V38" s="25" t="e">
        <f t="shared" ca="1" si="2"/>
        <v>#VALUE!</v>
      </c>
      <c r="W38" s="26">
        <v>149</v>
      </c>
      <c r="X38" s="24">
        <f t="shared" si="3"/>
        <v>128.44827586206898</v>
      </c>
      <c r="Y38" s="24">
        <f t="shared" si="4"/>
        <v>77.068965517241381</v>
      </c>
      <c r="Z38" s="27" t="e">
        <f t="shared" ca="1" si="5"/>
        <v>#VALUE!</v>
      </c>
      <c r="AA38" s="27" t="e">
        <f t="shared" ca="1" si="6"/>
        <v>#VALUE!</v>
      </c>
      <c r="AB38" s="28">
        <f t="shared" si="7"/>
        <v>0.4</v>
      </c>
      <c r="AC38" s="29" t="s">
        <v>287</v>
      </c>
      <c r="AD38" s="16"/>
      <c r="AE38" s="19">
        <v>6</v>
      </c>
      <c r="AF38" s="19">
        <v>72</v>
      </c>
      <c r="AG38" s="36" t="s">
        <v>288</v>
      </c>
      <c r="AH38" s="467">
        <v>46308</v>
      </c>
      <c r="AI38" s="274"/>
      <c r="AJ38" s="274"/>
      <c r="AL38" s="31">
        <v>96.85</v>
      </c>
      <c r="AM38" s="31">
        <f t="shared" si="8"/>
        <v>83.491379310344826</v>
      </c>
      <c r="AN38" s="32" t="e">
        <f t="shared" ca="1" si="9"/>
        <v>#VALUE!</v>
      </c>
      <c r="AO38" s="32" t="e">
        <f t="shared" ca="1" si="10"/>
        <v>#VALUE!</v>
      </c>
      <c r="AP38" s="33">
        <f t="shared" si="11"/>
        <v>0</v>
      </c>
      <c r="BA38" s="3">
        <v>1</v>
      </c>
      <c r="BB38" s="3">
        <v>1</v>
      </c>
      <c r="BC38" s="3">
        <v>1</v>
      </c>
      <c r="BD38" s="3">
        <v>1</v>
      </c>
      <c r="BE38" s="3"/>
      <c r="BF38" s="3"/>
      <c r="BG38" s="3"/>
      <c r="BH38" s="3"/>
      <c r="BI38" s="3"/>
      <c r="BJ38" s="3">
        <v>8</v>
      </c>
      <c r="BK38" s="3">
        <f t="shared" si="12"/>
        <v>4</v>
      </c>
      <c r="BL38" s="292">
        <f t="shared" si="13"/>
        <v>0.5</v>
      </c>
      <c r="BM38" s="295"/>
      <c r="BN38" s="295"/>
      <c r="BO38" s="295"/>
      <c r="BP38" s="295"/>
      <c r="BQ38" s="295"/>
      <c r="BR38" s="320" t="str">
        <f t="shared" si="16"/>
        <v>En revisión de dummy para autorización final</v>
      </c>
      <c r="BS38" s="278"/>
      <c r="BT38" s="278" t="s">
        <v>129</v>
      </c>
      <c r="CJ38" s="278"/>
      <c r="CK38" s="278"/>
      <c r="CL38" s="278"/>
      <c r="CM38" s="278"/>
      <c r="CN38" s="278"/>
      <c r="CO38" s="278"/>
      <c r="CP38" s="268"/>
      <c r="CQ38" s="268"/>
      <c r="CR38" s="267"/>
      <c r="CS38" s="267"/>
      <c r="CT38" s="267"/>
      <c r="CU38" s="267"/>
      <c r="CV38" s="267"/>
      <c r="CW38" s="267"/>
      <c r="CX38" s="267"/>
      <c r="CY38" s="267"/>
      <c r="CZ38" s="267"/>
      <c r="DA38" s="267"/>
    </row>
    <row r="39" spans="1:105" ht="409.6">
      <c r="A39" s="16">
        <v>27</v>
      </c>
      <c r="B39" s="17">
        <v>46248</v>
      </c>
      <c r="C39" s="17" t="s">
        <v>277</v>
      </c>
      <c r="D39" s="17" t="s">
        <v>77</v>
      </c>
      <c r="E39" s="18">
        <v>7502327991113</v>
      </c>
      <c r="F39" s="16" t="s">
        <v>356</v>
      </c>
      <c r="G39" s="19" t="s">
        <v>357</v>
      </c>
      <c r="H39" s="20" t="s">
        <v>60</v>
      </c>
      <c r="I39" s="36" t="s">
        <v>147</v>
      </c>
      <c r="J39" s="19" t="s">
        <v>249</v>
      </c>
      <c r="K39" s="19" t="s">
        <v>281</v>
      </c>
      <c r="L39" s="16">
        <v>1</v>
      </c>
      <c r="M39" s="21" t="s">
        <v>282</v>
      </c>
      <c r="N39" s="37" t="s">
        <v>358</v>
      </c>
      <c r="O39" s="16" t="s">
        <v>284</v>
      </c>
      <c r="P39" s="348" t="s">
        <v>349</v>
      </c>
      <c r="Q39" s="23" t="s">
        <v>286</v>
      </c>
      <c r="R39" s="23">
        <v>10000</v>
      </c>
      <c r="S39" s="24" t="e">
        <f t="shared" ca="1" si="14"/>
        <v>#VALUE!</v>
      </c>
      <c r="T39" s="24" t="e">
        <f t="shared" ca="1" si="0"/>
        <v>#VALUE!</v>
      </c>
      <c r="U39" s="24" t="e">
        <f t="shared" ca="1" si="17"/>
        <v>#VALUE!</v>
      </c>
      <c r="V39" s="25" t="e">
        <f t="shared" ca="1" si="2"/>
        <v>#VALUE!</v>
      </c>
      <c r="W39" s="26">
        <v>149</v>
      </c>
      <c r="X39" s="24">
        <f t="shared" si="3"/>
        <v>128.44827586206898</v>
      </c>
      <c r="Y39" s="24">
        <f t="shared" si="4"/>
        <v>77.068965517241381</v>
      </c>
      <c r="Z39" s="27" t="e">
        <f t="shared" ca="1" si="5"/>
        <v>#VALUE!</v>
      </c>
      <c r="AA39" s="27" t="e">
        <f t="shared" ca="1" si="6"/>
        <v>#VALUE!</v>
      </c>
      <c r="AB39" s="28">
        <f t="shared" si="7"/>
        <v>0.4</v>
      </c>
      <c r="AC39" s="29" t="s">
        <v>287</v>
      </c>
      <c r="AD39" s="16"/>
      <c r="AE39" s="19">
        <v>6</v>
      </c>
      <c r="AF39" s="19">
        <v>72</v>
      </c>
      <c r="AG39" s="36" t="s">
        <v>288</v>
      </c>
      <c r="AH39" s="467"/>
      <c r="AI39" s="274"/>
      <c r="AJ39" s="274"/>
      <c r="AL39" s="31">
        <v>96.85</v>
      </c>
      <c r="AM39" s="31">
        <f t="shared" si="8"/>
        <v>83.491379310344826</v>
      </c>
      <c r="AN39" s="32" t="e">
        <f t="shared" ca="1" si="9"/>
        <v>#VALUE!</v>
      </c>
      <c r="AO39" s="32" t="e">
        <f t="shared" ca="1" si="10"/>
        <v>#VALUE!</v>
      </c>
      <c r="AP39" s="33">
        <f t="shared" si="11"/>
        <v>0</v>
      </c>
      <c r="BA39" s="3">
        <v>1</v>
      </c>
      <c r="BB39" s="3">
        <v>1</v>
      </c>
      <c r="BC39" s="3">
        <v>1</v>
      </c>
      <c r="BD39" s="3">
        <v>1</v>
      </c>
      <c r="BE39" s="3"/>
      <c r="BF39" s="3"/>
      <c r="BG39" s="3"/>
      <c r="BH39" s="3"/>
      <c r="BI39" s="3"/>
      <c r="BJ39" s="3">
        <v>8</v>
      </c>
      <c r="BK39" s="3">
        <f t="shared" si="12"/>
        <v>4</v>
      </c>
      <c r="BL39" s="292">
        <f t="shared" si="13"/>
        <v>0.5</v>
      </c>
      <c r="BM39" s="295"/>
      <c r="BN39" s="295"/>
      <c r="BO39" s="295"/>
      <c r="BP39" s="295"/>
      <c r="BQ39" s="295"/>
      <c r="BR39" s="320" t="str">
        <f t="shared" si="16"/>
        <v>En revisión de dummy para autorización final</v>
      </c>
      <c r="BS39" s="278"/>
      <c r="BT39" s="278" t="s">
        <v>129</v>
      </c>
      <c r="CJ39" s="278"/>
      <c r="CK39" s="278"/>
      <c r="CL39" s="278"/>
      <c r="CM39" s="278"/>
      <c r="CN39" s="278"/>
      <c r="CO39" s="278"/>
      <c r="CP39" s="268"/>
      <c r="CQ39" s="268"/>
      <c r="CR39" s="267"/>
      <c r="CS39" s="267"/>
      <c r="CT39" s="267"/>
      <c r="CU39" s="267"/>
      <c r="CV39" s="267"/>
      <c r="CW39" s="267"/>
      <c r="CX39" s="267"/>
      <c r="CY39" s="267"/>
      <c r="CZ39" s="267"/>
      <c r="DA39" s="267"/>
    </row>
    <row r="40" spans="1:105" ht="66.95" customHeight="1">
      <c r="A40" s="16">
        <v>28</v>
      </c>
      <c r="B40" s="17">
        <v>46248</v>
      </c>
      <c r="C40" s="17" t="s">
        <v>277</v>
      </c>
      <c r="D40" s="17" t="s">
        <v>77</v>
      </c>
      <c r="E40" s="18">
        <v>7502327991120</v>
      </c>
      <c r="F40" s="16" t="s">
        <v>359</v>
      </c>
      <c r="G40" s="19" t="s">
        <v>360</v>
      </c>
      <c r="H40" s="20" t="s">
        <v>60</v>
      </c>
      <c r="I40" s="36" t="s">
        <v>147</v>
      </c>
      <c r="J40" s="19" t="s">
        <v>249</v>
      </c>
      <c r="K40" s="19" t="s">
        <v>281</v>
      </c>
      <c r="L40" s="16">
        <v>1</v>
      </c>
      <c r="M40" s="21" t="s">
        <v>282</v>
      </c>
      <c r="N40" s="37" t="s">
        <v>361</v>
      </c>
      <c r="O40" s="16" t="s">
        <v>284</v>
      </c>
      <c r="P40" s="348" t="s">
        <v>349</v>
      </c>
      <c r="Q40" s="23" t="s">
        <v>286</v>
      </c>
      <c r="R40" s="23">
        <v>10000</v>
      </c>
      <c r="S40" s="24" t="e">
        <f t="shared" ca="1" si="14"/>
        <v>#VALUE!</v>
      </c>
      <c r="T40" s="24" t="e">
        <f t="shared" ca="1" si="0"/>
        <v>#VALUE!</v>
      </c>
      <c r="U40" s="24" t="e">
        <f t="shared" ca="1" si="17"/>
        <v>#VALUE!</v>
      </c>
      <c r="V40" s="25" t="e">
        <f t="shared" ca="1" si="2"/>
        <v>#VALUE!</v>
      </c>
      <c r="W40" s="26">
        <v>149</v>
      </c>
      <c r="X40" s="24">
        <f t="shared" si="3"/>
        <v>128.44827586206898</v>
      </c>
      <c r="Y40" s="24">
        <f t="shared" si="4"/>
        <v>77.068965517241381</v>
      </c>
      <c r="Z40" s="27" t="e">
        <f t="shared" ca="1" si="5"/>
        <v>#VALUE!</v>
      </c>
      <c r="AA40" s="27" t="e">
        <f t="shared" ca="1" si="6"/>
        <v>#VALUE!</v>
      </c>
      <c r="AB40" s="28">
        <f t="shared" si="7"/>
        <v>0.4</v>
      </c>
      <c r="AC40" s="29" t="s">
        <v>287</v>
      </c>
      <c r="AD40" s="16"/>
      <c r="AE40" s="19">
        <v>6</v>
      </c>
      <c r="AF40" s="19">
        <v>72</v>
      </c>
      <c r="AG40" s="36" t="s">
        <v>288</v>
      </c>
      <c r="AH40" s="467"/>
      <c r="AI40" s="274"/>
      <c r="AJ40" s="274"/>
      <c r="AL40" s="31">
        <v>96.85</v>
      </c>
      <c r="AM40" s="31">
        <f t="shared" si="8"/>
        <v>83.491379310344826</v>
      </c>
      <c r="AN40" s="32" t="e">
        <f t="shared" ca="1" si="9"/>
        <v>#VALUE!</v>
      </c>
      <c r="AO40" s="32" t="e">
        <f t="shared" ca="1" si="10"/>
        <v>#VALUE!</v>
      </c>
      <c r="AP40" s="33">
        <f t="shared" si="11"/>
        <v>0</v>
      </c>
      <c r="BA40" s="3">
        <v>1</v>
      </c>
      <c r="BB40" s="3">
        <v>1</v>
      </c>
      <c r="BC40" s="3">
        <v>1</v>
      </c>
      <c r="BD40" s="3">
        <v>1</v>
      </c>
      <c r="BE40" s="3"/>
      <c r="BF40" s="3"/>
      <c r="BG40" s="3"/>
      <c r="BH40" s="3"/>
      <c r="BI40" s="3"/>
      <c r="BJ40" s="3">
        <v>8</v>
      </c>
      <c r="BK40" s="3">
        <f t="shared" si="12"/>
        <v>4</v>
      </c>
      <c r="BL40" s="292">
        <f t="shared" si="13"/>
        <v>0.5</v>
      </c>
      <c r="BM40" s="295"/>
      <c r="BN40" s="295"/>
      <c r="BO40" s="295"/>
      <c r="BP40" s="295"/>
      <c r="BQ40" s="295"/>
      <c r="BR40" s="320" t="str">
        <f t="shared" si="16"/>
        <v>En revisión de dummy para autorización final</v>
      </c>
      <c r="BS40" s="278"/>
      <c r="BT40" s="278" t="s">
        <v>129</v>
      </c>
      <c r="CJ40" s="278"/>
      <c r="CK40" s="278"/>
      <c r="CL40" s="278"/>
      <c r="CM40" s="278"/>
      <c r="CN40" s="278"/>
      <c r="CO40" s="278"/>
      <c r="CP40" s="268"/>
      <c r="CQ40" s="268"/>
      <c r="CR40" s="267"/>
      <c r="CS40" s="267"/>
      <c r="CT40" s="267"/>
      <c r="CU40" s="267"/>
      <c r="CV40" s="267"/>
      <c r="CW40" s="267"/>
      <c r="CX40" s="267"/>
      <c r="CY40" s="267"/>
      <c r="CZ40" s="267"/>
      <c r="DA40" s="267"/>
    </row>
    <row r="41" spans="1:105" ht="409.6">
      <c r="A41" s="16">
        <v>29</v>
      </c>
      <c r="B41" s="17">
        <v>46248</v>
      </c>
      <c r="C41" s="17" t="s">
        <v>277</v>
      </c>
      <c r="D41" s="17" t="s">
        <v>77</v>
      </c>
      <c r="E41" s="18">
        <v>7502327991137</v>
      </c>
      <c r="F41" s="16" t="s">
        <v>362</v>
      </c>
      <c r="G41" s="19" t="s">
        <v>363</v>
      </c>
      <c r="H41" s="20" t="s">
        <v>60</v>
      </c>
      <c r="I41" s="36" t="s">
        <v>147</v>
      </c>
      <c r="J41" s="19" t="s">
        <v>249</v>
      </c>
      <c r="K41" s="19" t="s">
        <v>281</v>
      </c>
      <c r="L41" s="16">
        <v>1</v>
      </c>
      <c r="M41" s="21" t="s">
        <v>282</v>
      </c>
      <c r="N41" s="37" t="s">
        <v>364</v>
      </c>
      <c r="O41" s="16" t="s">
        <v>284</v>
      </c>
      <c r="P41" s="348" t="s">
        <v>349</v>
      </c>
      <c r="Q41" s="23" t="s">
        <v>286</v>
      </c>
      <c r="R41" s="23">
        <v>10000</v>
      </c>
      <c r="S41" s="24" t="e">
        <f t="shared" ca="1" si="14"/>
        <v>#VALUE!</v>
      </c>
      <c r="T41" s="24" t="e">
        <f t="shared" ca="1" si="0"/>
        <v>#VALUE!</v>
      </c>
      <c r="U41" s="24" t="e">
        <f t="shared" ca="1" si="17"/>
        <v>#VALUE!</v>
      </c>
      <c r="V41" s="25" t="e">
        <f t="shared" ca="1" si="2"/>
        <v>#VALUE!</v>
      </c>
      <c r="W41" s="26">
        <v>149</v>
      </c>
      <c r="X41" s="24">
        <f t="shared" si="3"/>
        <v>128.44827586206898</v>
      </c>
      <c r="Y41" s="24">
        <f t="shared" si="4"/>
        <v>77.068965517241381</v>
      </c>
      <c r="Z41" s="27" t="e">
        <f t="shared" ca="1" si="5"/>
        <v>#VALUE!</v>
      </c>
      <c r="AA41" s="27" t="e">
        <f t="shared" ca="1" si="6"/>
        <v>#VALUE!</v>
      </c>
      <c r="AB41" s="28">
        <f t="shared" si="7"/>
        <v>0.4</v>
      </c>
      <c r="AC41" s="29" t="s">
        <v>287</v>
      </c>
      <c r="AD41" s="16"/>
      <c r="AE41" s="19">
        <v>6</v>
      </c>
      <c r="AF41" s="19">
        <v>72</v>
      </c>
      <c r="AG41" s="36" t="s">
        <v>288</v>
      </c>
      <c r="AH41" s="467">
        <v>46308</v>
      </c>
      <c r="AI41" s="274"/>
      <c r="AJ41" s="274"/>
      <c r="AL41" s="31">
        <v>96.85</v>
      </c>
      <c r="AM41" s="31">
        <f t="shared" si="8"/>
        <v>83.491379310344826</v>
      </c>
      <c r="AN41" s="32" t="e">
        <f t="shared" ca="1" si="9"/>
        <v>#VALUE!</v>
      </c>
      <c r="AO41" s="32" t="e">
        <f t="shared" ca="1" si="10"/>
        <v>#VALUE!</v>
      </c>
      <c r="AP41" s="33">
        <f t="shared" si="11"/>
        <v>0</v>
      </c>
      <c r="BA41" s="3">
        <v>1</v>
      </c>
      <c r="BB41" s="3">
        <v>1</v>
      </c>
      <c r="BC41" s="3">
        <v>1</v>
      </c>
      <c r="BD41" s="3">
        <v>1</v>
      </c>
      <c r="BE41" s="3"/>
      <c r="BF41" s="3"/>
      <c r="BG41" s="3"/>
      <c r="BH41" s="3"/>
      <c r="BI41" s="3"/>
      <c r="BJ41" s="3">
        <v>8</v>
      </c>
      <c r="BK41" s="3">
        <f t="shared" si="12"/>
        <v>4</v>
      </c>
      <c r="BL41" s="292">
        <f t="shared" si="13"/>
        <v>0.5</v>
      </c>
      <c r="BM41" s="295"/>
      <c r="BN41" s="295"/>
      <c r="BO41" s="295"/>
      <c r="BP41" s="295"/>
      <c r="BQ41" s="295"/>
      <c r="BR41" s="320" t="str">
        <f t="shared" si="16"/>
        <v>En revisión de dummy para autorización final</v>
      </c>
      <c r="BS41" s="278"/>
      <c r="BT41" s="278" t="s">
        <v>129</v>
      </c>
      <c r="CJ41" s="278"/>
      <c r="CK41" s="278"/>
      <c r="CL41" s="278"/>
      <c r="CM41" s="278"/>
      <c r="CN41" s="278"/>
      <c r="CO41" s="278"/>
      <c r="CP41" s="268"/>
      <c r="CQ41" s="268"/>
      <c r="CR41" s="267"/>
      <c r="CS41" s="267"/>
      <c r="CT41" s="267"/>
      <c r="CU41" s="267"/>
      <c r="CV41" s="267"/>
      <c r="CW41" s="267"/>
      <c r="CX41" s="267"/>
      <c r="CY41" s="267"/>
      <c r="CZ41" s="267"/>
      <c r="DA41" s="267"/>
    </row>
    <row r="42" spans="1:105" ht="409.6">
      <c r="A42" s="16">
        <v>30</v>
      </c>
      <c r="B42" s="17">
        <v>46248</v>
      </c>
      <c r="C42" s="17" t="s">
        <v>277</v>
      </c>
      <c r="D42" s="17" t="s">
        <v>77</v>
      </c>
      <c r="E42" s="18">
        <v>7502327991144</v>
      </c>
      <c r="F42" s="16" t="s">
        <v>365</v>
      </c>
      <c r="G42" s="38" t="s">
        <v>366</v>
      </c>
      <c r="H42" s="20" t="s">
        <v>60</v>
      </c>
      <c r="I42" s="16" t="s">
        <v>367</v>
      </c>
      <c r="J42" s="19" t="s">
        <v>249</v>
      </c>
      <c r="K42" s="19" t="s">
        <v>281</v>
      </c>
      <c r="L42" s="16">
        <v>1</v>
      </c>
      <c r="M42" s="21" t="s">
        <v>282</v>
      </c>
      <c r="N42" s="39" t="s">
        <v>368</v>
      </c>
      <c r="O42" s="16" t="s">
        <v>284</v>
      </c>
      <c r="P42" s="348" t="s">
        <v>349</v>
      </c>
      <c r="Q42" s="23" t="s">
        <v>286</v>
      </c>
      <c r="R42" s="23">
        <v>10000</v>
      </c>
      <c r="S42" s="24" t="e">
        <f t="shared" ca="1" si="14"/>
        <v>#VALUE!</v>
      </c>
      <c r="T42" s="24" t="e">
        <f t="shared" ca="1" si="0"/>
        <v>#VALUE!</v>
      </c>
      <c r="U42" s="24" t="e">
        <f ca="1">(S42+T42)*0.0123</f>
        <v>#VALUE!</v>
      </c>
      <c r="V42" s="25" t="e">
        <f t="shared" ca="1" si="2"/>
        <v>#VALUE!</v>
      </c>
      <c r="W42" s="34">
        <v>159</v>
      </c>
      <c r="X42" s="24">
        <f t="shared" si="3"/>
        <v>137.06896551724139</v>
      </c>
      <c r="Y42" s="24">
        <f t="shared" si="4"/>
        <v>82.24137931034484</v>
      </c>
      <c r="Z42" s="27" t="e">
        <f t="shared" ca="1" si="5"/>
        <v>#VALUE!</v>
      </c>
      <c r="AA42" s="27" t="e">
        <f t="shared" ca="1" si="6"/>
        <v>#VALUE!</v>
      </c>
      <c r="AB42" s="28">
        <f t="shared" si="7"/>
        <v>0.4</v>
      </c>
      <c r="AC42" s="29" t="s">
        <v>287</v>
      </c>
      <c r="AD42" s="16"/>
      <c r="AE42" s="19">
        <v>6</v>
      </c>
      <c r="AF42" s="19">
        <v>144</v>
      </c>
      <c r="AG42" s="36" t="s">
        <v>288</v>
      </c>
      <c r="AH42" s="467">
        <v>46315</v>
      </c>
      <c r="AI42" s="274"/>
      <c r="AJ42" s="274"/>
      <c r="AL42" s="31">
        <v>103.35</v>
      </c>
      <c r="AM42" s="31">
        <f t="shared" si="8"/>
        <v>89.094827586206904</v>
      </c>
      <c r="AN42" s="32" t="e">
        <f t="shared" ca="1" si="9"/>
        <v>#VALUE!</v>
      </c>
      <c r="AO42" s="32" t="e">
        <f t="shared" ca="1" si="10"/>
        <v>#VALUE!</v>
      </c>
      <c r="AP42" s="33">
        <f t="shared" si="11"/>
        <v>0</v>
      </c>
      <c r="BA42" s="3">
        <v>1</v>
      </c>
      <c r="BB42" s="3">
        <v>1</v>
      </c>
      <c r="BC42" s="3">
        <v>1</v>
      </c>
      <c r="BD42" s="3">
        <v>1</v>
      </c>
      <c r="BE42" s="3"/>
      <c r="BF42" s="3"/>
      <c r="BG42" s="3"/>
      <c r="BH42" s="3"/>
      <c r="BI42" s="3"/>
      <c r="BJ42" s="3">
        <v>9</v>
      </c>
      <c r="BK42" s="3">
        <f t="shared" si="12"/>
        <v>4</v>
      </c>
      <c r="BL42" s="292">
        <f t="shared" si="13"/>
        <v>0.44444444444444442</v>
      </c>
      <c r="BM42" s="295"/>
      <c r="BN42" s="295"/>
      <c r="BO42" s="295"/>
      <c r="BP42" s="295"/>
      <c r="BQ42" s="295"/>
      <c r="BR42" s="320" t="str">
        <f t="shared" si="16"/>
        <v>En revisión de dummy para autorización final</v>
      </c>
      <c r="BS42" s="278"/>
      <c r="BT42" s="278" t="s">
        <v>129</v>
      </c>
      <c r="CJ42" s="278"/>
      <c r="CK42" s="278"/>
      <c r="CL42" s="278"/>
      <c r="CM42" s="278"/>
      <c r="CN42" s="278"/>
      <c r="CO42" s="278"/>
      <c r="CP42" s="268"/>
      <c r="CQ42" s="268"/>
      <c r="CR42" s="267"/>
      <c r="CS42" s="267"/>
      <c r="CT42" s="267"/>
      <c r="CU42" s="267"/>
      <c r="CV42" s="267"/>
      <c r="CW42" s="267"/>
      <c r="CX42" s="267"/>
      <c r="CY42" s="267"/>
      <c r="CZ42" s="267"/>
      <c r="DA42" s="267"/>
    </row>
    <row r="43" spans="1:105" ht="409.6">
      <c r="A43" s="16">
        <v>31</v>
      </c>
      <c r="B43" s="17">
        <v>46248</v>
      </c>
      <c r="C43" s="17" t="s">
        <v>277</v>
      </c>
      <c r="D43" s="17" t="s">
        <v>77</v>
      </c>
      <c r="E43" s="18">
        <v>7502327991151</v>
      </c>
      <c r="F43" s="16" t="s">
        <v>369</v>
      </c>
      <c r="G43" s="38" t="s">
        <v>370</v>
      </c>
      <c r="H43" s="20" t="s">
        <v>60</v>
      </c>
      <c r="I43" s="16" t="s">
        <v>367</v>
      </c>
      <c r="J43" s="19" t="s">
        <v>249</v>
      </c>
      <c r="K43" s="19" t="s">
        <v>281</v>
      </c>
      <c r="L43" s="16">
        <v>1</v>
      </c>
      <c r="M43" s="21" t="s">
        <v>282</v>
      </c>
      <c r="N43" s="39" t="s">
        <v>371</v>
      </c>
      <c r="O43" s="16" t="s">
        <v>284</v>
      </c>
      <c r="P43" s="348" t="s">
        <v>372</v>
      </c>
      <c r="Q43" s="23" t="s">
        <v>286</v>
      </c>
      <c r="R43" s="23">
        <v>10000</v>
      </c>
      <c r="S43" s="24" t="e">
        <f t="shared" ca="1" si="14"/>
        <v>#VALUE!</v>
      </c>
      <c r="T43" s="24" t="e">
        <f t="shared" ca="1" si="0"/>
        <v>#VALUE!</v>
      </c>
      <c r="U43" s="24" t="e">
        <f ca="1">(S43+T43)*0.0123</f>
        <v>#VALUE!</v>
      </c>
      <c r="V43" s="25" t="e">
        <f t="shared" ca="1" si="2"/>
        <v>#VALUE!</v>
      </c>
      <c r="W43" s="34">
        <v>159</v>
      </c>
      <c r="X43" s="24">
        <f t="shared" si="3"/>
        <v>137.06896551724139</v>
      </c>
      <c r="Y43" s="24">
        <f t="shared" si="4"/>
        <v>82.24137931034484</v>
      </c>
      <c r="Z43" s="27" t="e">
        <f t="shared" ca="1" si="5"/>
        <v>#VALUE!</v>
      </c>
      <c r="AA43" s="27" t="e">
        <f t="shared" ca="1" si="6"/>
        <v>#VALUE!</v>
      </c>
      <c r="AB43" s="28">
        <f t="shared" si="7"/>
        <v>0.4</v>
      </c>
      <c r="AC43" s="29" t="s">
        <v>287</v>
      </c>
      <c r="AD43" s="16"/>
      <c r="AE43" s="19">
        <v>6</v>
      </c>
      <c r="AF43" s="19">
        <v>144</v>
      </c>
      <c r="AG43" s="36" t="s">
        <v>288</v>
      </c>
      <c r="AH43" s="467">
        <v>46315</v>
      </c>
      <c r="AI43" s="274"/>
      <c r="AJ43" s="274"/>
      <c r="AL43" s="31">
        <v>103.35</v>
      </c>
      <c r="AM43" s="31">
        <f t="shared" si="8"/>
        <v>89.094827586206904</v>
      </c>
      <c r="AN43" s="32" t="e">
        <f t="shared" ca="1" si="9"/>
        <v>#VALUE!</v>
      </c>
      <c r="AO43" s="32" t="e">
        <f t="shared" ca="1" si="10"/>
        <v>#VALUE!</v>
      </c>
      <c r="AP43" s="33">
        <f t="shared" si="11"/>
        <v>0</v>
      </c>
      <c r="BA43" s="3">
        <v>1</v>
      </c>
      <c r="BB43" s="3">
        <v>1</v>
      </c>
      <c r="BC43" s="3">
        <v>1</v>
      </c>
      <c r="BD43" s="3">
        <v>1</v>
      </c>
      <c r="BE43" s="3"/>
      <c r="BF43" s="3"/>
      <c r="BG43" s="3"/>
      <c r="BH43" s="3"/>
      <c r="BI43" s="3"/>
      <c r="BJ43" s="3">
        <v>9</v>
      </c>
      <c r="BK43" s="3">
        <f t="shared" si="12"/>
        <v>4</v>
      </c>
      <c r="BL43" s="292">
        <f t="shared" si="13"/>
        <v>0.44444444444444442</v>
      </c>
      <c r="BM43" s="295"/>
      <c r="BN43" s="295"/>
      <c r="BO43" s="295"/>
      <c r="BP43" s="295"/>
      <c r="BQ43" s="295"/>
      <c r="BR43" s="320" t="str">
        <f t="shared" si="16"/>
        <v>En revisión de dummy para autorización final</v>
      </c>
      <c r="BS43" s="278"/>
      <c r="BT43" s="278" t="s">
        <v>129</v>
      </c>
      <c r="CJ43" s="278"/>
      <c r="CK43" s="278"/>
      <c r="CL43" s="278"/>
      <c r="CM43" s="278"/>
      <c r="CN43" s="278"/>
      <c r="CO43" s="278"/>
      <c r="CP43" s="268"/>
      <c r="CQ43" s="268"/>
      <c r="CR43" s="267"/>
      <c r="CS43" s="267"/>
      <c r="CT43" s="267"/>
      <c r="CU43" s="267"/>
      <c r="CV43" s="267"/>
      <c r="CW43" s="267"/>
      <c r="CX43" s="267"/>
      <c r="CY43" s="267"/>
      <c r="CZ43" s="267"/>
      <c r="DA43" s="267"/>
    </row>
    <row r="44" spans="1:105" ht="409.6">
      <c r="A44" s="16">
        <v>32</v>
      </c>
      <c r="B44" s="17">
        <v>46248</v>
      </c>
      <c r="C44" s="17" t="s">
        <v>277</v>
      </c>
      <c r="D44" s="17" t="s">
        <v>77</v>
      </c>
      <c r="E44" s="18">
        <v>7502327991168</v>
      </c>
      <c r="F44" s="16" t="s">
        <v>373</v>
      </c>
      <c r="G44" s="19" t="s">
        <v>374</v>
      </c>
      <c r="H44" s="20" t="s">
        <v>60</v>
      </c>
      <c r="I44" s="16" t="s">
        <v>375</v>
      </c>
      <c r="J44" s="19" t="s">
        <v>249</v>
      </c>
      <c r="K44" s="19" t="s">
        <v>281</v>
      </c>
      <c r="L44" s="16">
        <v>1</v>
      </c>
      <c r="M44" s="21" t="s">
        <v>376</v>
      </c>
      <c r="N44" s="39" t="s">
        <v>377</v>
      </c>
      <c r="O44" s="16" t="s">
        <v>284</v>
      </c>
      <c r="P44" s="348">
        <v>3.2</v>
      </c>
      <c r="Q44" s="23" t="s">
        <v>286</v>
      </c>
      <c r="R44" s="23">
        <v>10000</v>
      </c>
      <c r="S44" s="24" t="e">
        <f t="shared" ca="1" si="14"/>
        <v>#VALUE!</v>
      </c>
      <c r="T44" s="24" t="e">
        <f t="shared" ca="1" si="0"/>
        <v>#VALUE!</v>
      </c>
      <c r="U44" s="24" t="e">
        <f ca="1">(S44+T44)*0.0691</f>
        <v>#VALUE!</v>
      </c>
      <c r="V44" s="25" t="e">
        <f t="shared" ca="1" si="2"/>
        <v>#VALUE!</v>
      </c>
      <c r="W44" s="34">
        <v>169</v>
      </c>
      <c r="X44" s="24">
        <f t="shared" si="3"/>
        <v>145.68965517241381</v>
      </c>
      <c r="Y44" s="24">
        <f t="shared" si="4"/>
        <v>87.413793103448285</v>
      </c>
      <c r="Z44" s="27" t="e">
        <f t="shared" ca="1" si="5"/>
        <v>#VALUE!</v>
      </c>
      <c r="AA44" s="27" t="e">
        <f t="shared" ca="1" si="6"/>
        <v>#VALUE!</v>
      </c>
      <c r="AB44" s="28">
        <f t="shared" si="7"/>
        <v>0.4</v>
      </c>
      <c r="AC44" s="29" t="s">
        <v>287</v>
      </c>
      <c r="AD44" s="16"/>
      <c r="AE44" s="19">
        <v>6</v>
      </c>
      <c r="AF44" s="19">
        <v>144</v>
      </c>
      <c r="AG44" s="36" t="s">
        <v>288</v>
      </c>
      <c r="AH44" s="467">
        <v>46315</v>
      </c>
      <c r="AI44" s="274"/>
      <c r="AJ44" s="274"/>
      <c r="AL44" s="31">
        <v>109.85</v>
      </c>
      <c r="AM44" s="31">
        <f t="shared" si="8"/>
        <v>94.698275862068968</v>
      </c>
      <c r="AN44" s="32" t="e">
        <f t="shared" ca="1" si="9"/>
        <v>#VALUE!</v>
      </c>
      <c r="AO44" s="32" t="e">
        <f t="shared" ca="1" si="10"/>
        <v>#VALUE!</v>
      </c>
      <c r="AP44" s="33">
        <f t="shared" si="11"/>
        <v>0</v>
      </c>
      <c r="BA44" s="3">
        <v>1</v>
      </c>
      <c r="BB44" s="3">
        <v>1</v>
      </c>
      <c r="BC44" s="3">
        <v>1</v>
      </c>
      <c r="BD44" s="3">
        <v>1</v>
      </c>
      <c r="BE44" s="3"/>
      <c r="BF44" s="3"/>
      <c r="BG44" s="3"/>
      <c r="BH44" s="3"/>
      <c r="BI44" s="3"/>
      <c r="BJ44" s="3">
        <v>9</v>
      </c>
      <c r="BK44" s="3">
        <f t="shared" si="12"/>
        <v>4</v>
      </c>
      <c r="BL44" s="292">
        <f t="shared" si="13"/>
        <v>0.44444444444444442</v>
      </c>
      <c r="BM44" s="295"/>
      <c r="BN44" s="295"/>
      <c r="BO44" s="295"/>
      <c r="BP44" s="295"/>
      <c r="BQ44" s="295"/>
      <c r="BR44" s="320" t="str">
        <f t="shared" si="16"/>
        <v>En revisión de dummy para autorización final</v>
      </c>
      <c r="BS44" s="278"/>
      <c r="BT44" s="278" t="s">
        <v>129</v>
      </c>
      <c r="CJ44" s="278"/>
      <c r="CK44" s="278"/>
      <c r="CL44" s="278"/>
      <c r="CM44" s="278"/>
      <c r="CN44" s="278"/>
      <c r="CO44" s="278"/>
      <c r="CP44" s="268"/>
      <c r="CQ44" s="268"/>
      <c r="CR44" s="341"/>
      <c r="CS44" s="341"/>
      <c r="CT44" s="341"/>
      <c r="CU44" s="341"/>
      <c r="CV44" s="341"/>
      <c r="CW44" s="341"/>
      <c r="CX44" s="341"/>
      <c r="CY44" s="341"/>
      <c r="CZ44" s="341"/>
      <c r="DA44" s="341"/>
    </row>
    <row r="45" spans="1:105" ht="409.6">
      <c r="A45" s="16">
        <v>33</v>
      </c>
      <c r="B45" s="17">
        <v>46248</v>
      </c>
      <c r="C45" s="17" t="s">
        <v>277</v>
      </c>
      <c r="D45" s="17" t="s">
        <v>77</v>
      </c>
      <c r="E45" s="18">
        <v>7502327991175</v>
      </c>
      <c r="F45" s="16" t="s">
        <v>378</v>
      </c>
      <c r="G45" s="19" t="s">
        <v>379</v>
      </c>
      <c r="H45" s="20" t="s">
        <v>60</v>
      </c>
      <c r="I45" s="16" t="s">
        <v>375</v>
      </c>
      <c r="J45" s="19" t="s">
        <v>249</v>
      </c>
      <c r="K45" s="19" t="s">
        <v>281</v>
      </c>
      <c r="L45" s="16">
        <v>1</v>
      </c>
      <c r="M45" s="21" t="s">
        <v>376</v>
      </c>
      <c r="N45" s="39" t="s">
        <v>380</v>
      </c>
      <c r="O45" s="16" t="s">
        <v>284</v>
      </c>
      <c r="P45" s="348">
        <v>3.2</v>
      </c>
      <c r="Q45" s="23" t="s">
        <v>286</v>
      </c>
      <c r="R45" s="23">
        <v>10000</v>
      </c>
      <c r="S45" s="24" t="e">
        <f t="shared" ca="1" si="14"/>
        <v>#VALUE!</v>
      </c>
      <c r="T45" s="24" t="e">
        <f t="shared" ca="1" si="0"/>
        <v>#VALUE!</v>
      </c>
      <c r="U45" s="24" t="e">
        <f ca="1">(S45+T45)*0.0691</f>
        <v>#VALUE!</v>
      </c>
      <c r="V45" s="25" t="e">
        <f t="shared" ca="1" si="2"/>
        <v>#VALUE!</v>
      </c>
      <c r="W45" s="34">
        <v>169</v>
      </c>
      <c r="X45" s="24">
        <f t="shared" si="3"/>
        <v>145.68965517241381</v>
      </c>
      <c r="Y45" s="24">
        <f t="shared" si="4"/>
        <v>87.413793103448285</v>
      </c>
      <c r="Z45" s="27" t="e">
        <f t="shared" ca="1" si="5"/>
        <v>#VALUE!</v>
      </c>
      <c r="AA45" s="27" t="e">
        <f t="shared" ca="1" si="6"/>
        <v>#VALUE!</v>
      </c>
      <c r="AB45" s="28">
        <f t="shared" si="7"/>
        <v>0.4</v>
      </c>
      <c r="AC45" s="29" t="s">
        <v>287</v>
      </c>
      <c r="AD45" s="16"/>
      <c r="AE45" s="19">
        <v>6</v>
      </c>
      <c r="AF45" s="19">
        <v>144</v>
      </c>
      <c r="AG45" s="36" t="s">
        <v>288</v>
      </c>
      <c r="AH45" s="467">
        <v>46315</v>
      </c>
      <c r="AI45" s="274"/>
      <c r="AJ45" s="274"/>
      <c r="AL45" s="31">
        <v>109.85</v>
      </c>
      <c r="AM45" s="31">
        <f t="shared" si="8"/>
        <v>94.698275862068968</v>
      </c>
      <c r="AN45" s="32" t="e">
        <f t="shared" ca="1" si="9"/>
        <v>#VALUE!</v>
      </c>
      <c r="AO45" s="32" t="e">
        <f t="shared" ca="1" si="10"/>
        <v>#VALUE!</v>
      </c>
      <c r="AP45" s="33">
        <f t="shared" si="11"/>
        <v>0</v>
      </c>
      <c r="BA45" s="3">
        <v>1</v>
      </c>
      <c r="BB45" s="3">
        <v>1</v>
      </c>
      <c r="BC45" s="3">
        <v>1</v>
      </c>
      <c r="BD45" s="3">
        <v>1</v>
      </c>
      <c r="BE45" s="3"/>
      <c r="BF45" s="3"/>
      <c r="BG45" s="3"/>
      <c r="BH45" s="3"/>
      <c r="BI45" s="3"/>
      <c r="BJ45" s="3">
        <v>9</v>
      </c>
      <c r="BK45" s="3">
        <f t="shared" si="12"/>
        <v>4</v>
      </c>
      <c r="BL45" s="292">
        <f t="shared" si="13"/>
        <v>0.44444444444444442</v>
      </c>
      <c r="BM45" s="295"/>
      <c r="BN45" s="295"/>
      <c r="BO45" s="295"/>
      <c r="BP45" s="295"/>
      <c r="BQ45" s="295"/>
      <c r="BR45" s="320" t="str">
        <f t="shared" si="16"/>
        <v>En revisión de dummy para autorización final</v>
      </c>
      <c r="BS45" s="278"/>
      <c r="BT45" s="278" t="s">
        <v>129</v>
      </c>
      <c r="CJ45" s="278"/>
      <c r="CK45" s="278"/>
      <c r="CL45" s="278"/>
      <c r="CM45" s="278"/>
      <c r="CN45" s="278"/>
      <c r="CO45" s="278"/>
      <c r="CP45" s="268"/>
      <c r="CQ45" s="268"/>
      <c r="CR45" s="267"/>
      <c r="CS45" s="267"/>
      <c r="CT45" s="267"/>
      <c r="CU45" s="267"/>
      <c r="CV45" s="267"/>
      <c r="CW45" s="267"/>
      <c r="CX45" s="267"/>
      <c r="CY45" s="267"/>
      <c r="CZ45" s="267"/>
      <c r="DA45" s="267"/>
    </row>
    <row r="46" spans="1:105" ht="409.6">
      <c r="A46" s="16">
        <v>34</v>
      </c>
      <c r="B46" s="17">
        <v>46248</v>
      </c>
      <c r="C46" s="17" t="s">
        <v>277</v>
      </c>
      <c r="D46" s="17" t="s">
        <v>77</v>
      </c>
      <c r="E46" s="18">
        <v>7502327991182</v>
      </c>
      <c r="F46" s="16" t="s">
        <v>381</v>
      </c>
      <c r="G46" s="19" t="s">
        <v>382</v>
      </c>
      <c r="H46" s="20" t="s">
        <v>60</v>
      </c>
      <c r="I46" s="16" t="s">
        <v>375</v>
      </c>
      <c r="J46" s="19" t="s">
        <v>249</v>
      </c>
      <c r="K46" s="19" t="s">
        <v>281</v>
      </c>
      <c r="L46" s="16">
        <v>1</v>
      </c>
      <c r="M46" s="21" t="s">
        <v>376</v>
      </c>
      <c r="N46" s="40" t="s">
        <v>383</v>
      </c>
      <c r="O46" s="16" t="s">
        <v>284</v>
      </c>
      <c r="P46" s="348">
        <v>2.9</v>
      </c>
      <c r="Q46" s="23" t="s">
        <v>286</v>
      </c>
      <c r="R46" s="23">
        <v>10000</v>
      </c>
      <c r="S46" s="24" t="e">
        <f t="shared" ca="1" si="14"/>
        <v>#VALUE!</v>
      </c>
      <c r="T46" s="24" t="e">
        <f t="shared" ca="1" si="0"/>
        <v>#VALUE!</v>
      </c>
      <c r="U46" s="24" t="e">
        <f ca="1">(S46+T46)*0.0762</f>
        <v>#VALUE!</v>
      </c>
      <c r="V46" s="25" t="e">
        <f t="shared" ca="1" si="2"/>
        <v>#VALUE!</v>
      </c>
      <c r="W46" s="34">
        <v>169</v>
      </c>
      <c r="X46" s="24">
        <f t="shared" si="3"/>
        <v>145.68965517241381</v>
      </c>
      <c r="Y46" s="24">
        <f t="shared" si="4"/>
        <v>87.413793103448285</v>
      </c>
      <c r="Z46" s="27" t="e">
        <f t="shared" ca="1" si="5"/>
        <v>#VALUE!</v>
      </c>
      <c r="AA46" s="27" t="e">
        <f t="shared" ca="1" si="6"/>
        <v>#VALUE!</v>
      </c>
      <c r="AB46" s="28">
        <f t="shared" si="7"/>
        <v>0.4</v>
      </c>
      <c r="AC46" s="29" t="s">
        <v>287</v>
      </c>
      <c r="AD46" s="16"/>
      <c r="AE46" s="19">
        <v>6</v>
      </c>
      <c r="AF46" s="19">
        <v>144</v>
      </c>
      <c r="AG46" s="36" t="s">
        <v>288</v>
      </c>
      <c r="AH46" s="467">
        <v>46315</v>
      </c>
      <c r="AI46" s="274"/>
      <c r="AJ46" s="274"/>
      <c r="AL46" s="31">
        <v>109.85</v>
      </c>
      <c r="AM46" s="31">
        <f t="shared" si="8"/>
        <v>94.698275862068968</v>
      </c>
      <c r="AN46" s="32">
        <f t="shared" si="9"/>
        <v>0.23231679563040508</v>
      </c>
      <c r="AO46" s="32">
        <f t="shared" si="10"/>
        <v>0.76768320436959492</v>
      </c>
      <c r="AP46" s="33">
        <f t="shared" si="11"/>
        <v>0</v>
      </c>
      <c r="BA46" s="3">
        <v>1</v>
      </c>
      <c r="BB46" s="3">
        <v>1</v>
      </c>
      <c r="BC46" s="3">
        <v>1</v>
      </c>
      <c r="BD46" s="3">
        <v>1</v>
      </c>
      <c r="BE46" s="3"/>
      <c r="BF46" s="3"/>
      <c r="BG46" s="3"/>
      <c r="BH46" s="3"/>
      <c r="BI46" s="3"/>
      <c r="BJ46" s="3">
        <v>9</v>
      </c>
      <c r="BK46" s="3">
        <f t="shared" si="12"/>
        <v>4</v>
      </c>
      <c r="BL46" s="292">
        <f t="shared" si="13"/>
        <v>0.44444444444444442</v>
      </c>
      <c r="BM46" s="295"/>
      <c r="BN46" s="295"/>
      <c r="BO46" s="295"/>
      <c r="BP46" s="295"/>
      <c r="BQ46" s="295"/>
      <c r="BR46" s="320" t="str">
        <f t="shared" si="16"/>
        <v>En revisión de dummy para autorización final</v>
      </c>
      <c r="BS46" s="278"/>
      <c r="BT46" s="278" t="s">
        <v>129</v>
      </c>
      <c r="CJ46" s="278"/>
      <c r="CK46" s="278"/>
      <c r="CL46" s="278"/>
      <c r="CM46" s="278"/>
      <c r="CN46" s="278"/>
      <c r="CO46" s="278"/>
      <c r="CP46" s="268"/>
      <c r="CQ46" s="268"/>
      <c r="CR46" s="267"/>
      <c r="CS46" s="267"/>
      <c r="CT46" s="267"/>
      <c r="CU46" s="267"/>
      <c r="CV46" s="267"/>
      <c r="CW46" s="267"/>
      <c r="CX46" s="267"/>
      <c r="CY46" s="267"/>
      <c r="CZ46" s="267"/>
      <c r="DA46" s="267"/>
    </row>
    <row r="47" spans="1:105" ht="295.5">
      <c r="A47" s="16">
        <v>35</v>
      </c>
      <c r="B47" s="17">
        <v>46248</v>
      </c>
      <c r="C47" s="17" t="s">
        <v>277</v>
      </c>
      <c r="D47" s="17" t="s">
        <v>77</v>
      </c>
      <c r="E47" s="18">
        <v>7502327991199</v>
      </c>
      <c r="F47" s="16" t="s">
        <v>384</v>
      </c>
      <c r="G47" s="19" t="s">
        <v>385</v>
      </c>
      <c r="H47" s="20" t="s">
        <v>60</v>
      </c>
      <c r="I47" s="16" t="s">
        <v>386</v>
      </c>
      <c r="J47" s="19" t="s">
        <v>249</v>
      </c>
      <c r="K47" s="19" t="s">
        <v>281</v>
      </c>
      <c r="L47" s="16">
        <v>1</v>
      </c>
      <c r="M47" s="21" t="s">
        <v>387</v>
      </c>
      <c r="N47" s="39" t="s">
        <v>388</v>
      </c>
      <c r="O47" s="16" t="s">
        <v>284</v>
      </c>
      <c r="P47" s="348"/>
      <c r="Q47" s="23" t="s">
        <v>99</v>
      </c>
      <c r="R47" s="23">
        <v>10000</v>
      </c>
      <c r="S47" s="24">
        <v>22</v>
      </c>
      <c r="T47" s="24"/>
      <c r="U47" s="24"/>
      <c r="V47" s="25">
        <f t="shared" si="2"/>
        <v>22</v>
      </c>
      <c r="W47" s="34">
        <v>199</v>
      </c>
      <c r="X47" s="24">
        <f t="shared" si="3"/>
        <v>171.55172413793105</v>
      </c>
      <c r="Y47" s="24">
        <f t="shared" si="4"/>
        <v>102.93103448275862</v>
      </c>
      <c r="Z47" s="27">
        <f t="shared" si="5"/>
        <v>0.2137353433835846</v>
      </c>
      <c r="AA47" s="27">
        <f t="shared" si="6"/>
        <v>0.78626465661641542</v>
      </c>
      <c r="AB47" s="28">
        <f t="shared" si="7"/>
        <v>0.4</v>
      </c>
      <c r="AC47" s="29" t="s">
        <v>287</v>
      </c>
      <c r="AD47" s="16"/>
      <c r="AE47" s="19">
        <v>6</v>
      </c>
      <c r="AF47" s="19">
        <v>144</v>
      </c>
      <c r="AG47" s="36" t="s">
        <v>288</v>
      </c>
      <c r="AH47" s="467">
        <v>46315</v>
      </c>
      <c r="AI47" s="274"/>
      <c r="AJ47" s="274"/>
      <c r="AL47" s="31">
        <v>129.35</v>
      </c>
      <c r="AM47" s="31">
        <f t="shared" si="8"/>
        <v>111.50862068965517</v>
      </c>
      <c r="AN47" s="32">
        <f t="shared" si="9"/>
        <v>7.516703034402783E-2</v>
      </c>
      <c r="AO47" s="32">
        <f t="shared" si="10"/>
        <v>0.92483296965597217</v>
      </c>
      <c r="AP47" s="33">
        <f t="shared" si="11"/>
        <v>0</v>
      </c>
      <c r="BA47" s="3">
        <v>1</v>
      </c>
      <c r="BB47" s="3">
        <v>1</v>
      </c>
      <c r="BC47" s="3">
        <v>1</v>
      </c>
      <c r="BD47" s="3">
        <v>1</v>
      </c>
      <c r="BE47" s="3"/>
      <c r="BF47" s="3"/>
      <c r="BG47" s="3"/>
      <c r="BH47" s="3"/>
      <c r="BI47" s="3"/>
      <c r="BJ47" s="3">
        <v>9</v>
      </c>
      <c r="BK47" s="3">
        <f t="shared" si="12"/>
        <v>4</v>
      </c>
      <c r="BL47" s="292">
        <f t="shared" si="13"/>
        <v>0.44444444444444442</v>
      </c>
      <c r="BM47" s="295"/>
      <c r="BN47" s="295"/>
      <c r="BO47" s="295"/>
      <c r="BP47" s="295"/>
      <c r="BQ47" s="295"/>
      <c r="BR47" s="320" t="str">
        <f t="shared" si="16"/>
        <v>En revisión de dummy para autorización final</v>
      </c>
      <c r="BS47" s="278"/>
      <c r="BT47" s="278" t="s">
        <v>129</v>
      </c>
      <c r="CJ47" s="278"/>
      <c r="CK47" s="278"/>
      <c r="CL47" s="278"/>
      <c r="CM47" s="278"/>
      <c r="CN47" s="278"/>
      <c r="CO47" s="278"/>
      <c r="CP47" s="268"/>
      <c r="CQ47" s="268"/>
      <c r="CR47" s="267"/>
      <c r="CS47" s="267"/>
      <c r="CT47" s="267"/>
      <c r="CU47" s="267"/>
      <c r="CV47" s="267"/>
      <c r="CW47" s="267"/>
      <c r="CX47" s="267"/>
      <c r="CY47" s="267"/>
      <c r="CZ47" s="267"/>
      <c r="DA47" s="267"/>
    </row>
    <row r="48" spans="1:105" ht="393">
      <c r="A48" s="16">
        <v>36</v>
      </c>
      <c r="B48" s="17">
        <v>46248</v>
      </c>
      <c r="C48" s="17" t="s">
        <v>277</v>
      </c>
      <c r="D48" s="17" t="s">
        <v>77</v>
      </c>
      <c r="E48" s="18">
        <v>7502327991205</v>
      </c>
      <c r="F48" s="16" t="s">
        <v>389</v>
      </c>
      <c r="G48" s="38" t="s">
        <v>390</v>
      </c>
      <c r="H48" s="20" t="s">
        <v>60</v>
      </c>
      <c r="I48" s="16" t="s">
        <v>391</v>
      </c>
      <c r="J48" s="19" t="s">
        <v>249</v>
      </c>
      <c r="K48" s="19" t="s">
        <v>281</v>
      </c>
      <c r="L48" s="16">
        <v>1</v>
      </c>
      <c r="M48" s="21" t="s">
        <v>392</v>
      </c>
      <c r="N48" s="37" t="s">
        <v>393</v>
      </c>
      <c r="O48" s="16" t="s">
        <v>284</v>
      </c>
      <c r="P48" s="348">
        <v>0.35499999999999998</v>
      </c>
      <c r="Q48" s="23" t="s">
        <v>64</v>
      </c>
      <c r="R48" s="23">
        <v>10000</v>
      </c>
      <c r="S48" s="24">
        <f>+P48*18.5</f>
        <v>6.5674999999999999</v>
      </c>
      <c r="T48" s="24">
        <f>+S48*0.25</f>
        <v>1.641875</v>
      </c>
      <c r="U48" s="24">
        <f>(S48+T48)*0.021</f>
        <v>0.172396875</v>
      </c>
      <c r="V48" s="25">
        <f t="shared" si="2"/>
        <v>8.3817718750000001</v>
      </c>
      <c r="W48" s="34">
        <v>149</v>
      </c>
      <c r="X48" s="24">
        <f t="shared" si="3"/>
        <v>128.44827586206898</v>
      </c>
      <c r="Y48" s="24">
        <f t="shared" si="4"/>
        <v>77.068965517241381</v>
      </c>
      <c r="Z48" s="27">
        <f t="shared" si="5"/>
        <v>0.10875677153243848</v>
      </c>
      <c r="AA48" s="27">
        <f t="shared" si="6"/>
        <v>0.89124322846756154</v>
      </c>
      <c r="AB48" s="28">
        <f t="shared" si="7"/>
        <v>0.4</v>
      </c>
      <c r="AC48" s="29" t="s">
        <v>287</v>
      </c>
      <c r="AD48" s="16"/>
      <c r="AE48" s="19">
        <v>6</v>
      </c>
      <c r="AF48" s="19">
        <v>144</v>
      </c>
      <c r="AG48" s="36" t="s">
        <v>288</v>
      </c>
      <c r="AH48" s="467">
        <v>46315</v>
      </c>
      <c r="AI48" s="274"/>
      <c r="AJ48" s="274"/>
      <c r="AL48" s="31">
        <v>96.85</v>
      </c>
      <c r="AM48" s="31">
        <f t="shared" si="8"/>
        <v>83.491379310344826</v>
      </c>
      <c r="AN48" s="32">
        <f t="shared" si="9"/>
        <v>0.10039086602994321</v>
      </c>
      <c r="AO48" s="32">
        <f t="shared" si="10"/>
        <v>0.89960913397005682</v>
      </c>
      <c r="AP48" s="33">
        <f t="shared" si="11"/>
        <v>0</v>
      </c>
      <c r="BA48" s="3">
        <v>1</v>
      </c>
      <c r="BB48" s="3">
        <v>1</v>
      </c>
      <c r="BC48" s="3">
        <v>1</v>
      </c>
      <c r="BD48" s="3">
        <v>1</v>
      </c>
      <c r="BE48" s="3"/>
      <c r="BF48" s="3"/>
      <c r="BG48" s="3"/>
      <c r="BH48" s="3"/>
      <c r="BI48" s="3"/>
      <c r="BJ48" s="3">
        <v>9</v>
      </c>
      <c r="BK48" s="3">
        <f t="shared" si="12"/>
        <v>4</v>
      </c>
      <c r="BL48" s="292">
        <f t="shared" si="13"/>
        <v>0.44444444444444442</v>
      </c>
      <c r="BM48" s="295"/>
      <c r="BN48" s="295"/>
      <c r="BO48" s="295"/>
      <c r="BP48" s="295"/>
      <c r="BQ48" s="295"/>
      <c r="BR48" s="320" t="str">
        <f t="shared" si="16"/>
        <v>En revisión de dummy para autorización final</v>
      </c>
      <c r="BS48" s="278"/>
      <c r="BT48" s="278" t="s">
        <v>129</v>
      </c>
      <c r="CJ48" s="278"/>
      <c r="CK48" s="278"/>
      <c r="CL48" s="278"/>
      <c r="CM48" s="278"/>
      <c r="CN48" s="278"/>
      <c r="CO48" s="278"/>
      <c r="CP48" s="268"/>
      <c r="CQ48" s="268"/>
      <c r="CR48" s="267"/>
      <c r="CS48" s="267"/>
      <c r="CT48" s="267"/>
      <c r="CU48" s="267"/>
      <c r="CV48" s="267"/>
      <c r="CW48" s="267"/>
      <c r="CX48" s="267"/>
      <c r="CY48" s="267"/>
      <c r="CZ48" s="267"/>
      <c r="DA48" s="267"/>
    </row>
    <row r="49" spans="1:105" ht="409.6">
      <c r="A49" s="16">
        <v>37</v>
      </c>
      <c r="B49" s="17">
        <v>46248</v>
      </c>
      <c r="C49" s="17" t="s">
        <v>277</v>
      </c>
      <c r="D49" s="17" t="s">
        <v>77</v>
      </c>
      <c r="E49" s="18">
        <v>7502327991212</v>
      </c>
      <c r="F49" s="16" t="s">
        <v>394</v>
      </c>
      <c r="G49" s="38" t="s">
        <v>395</v>
      </c>
      <c r="H49" s="20" t="s">
        <v>60</v>
      </c>
      <c r="I49" s="16" t="s">
        <v>391</v>
      </c>
      <c r="J49" s="19" t="s">
        <v>249</v>
      </c>
      <c r="K49" s="19" t="s">
        <v>281</v>
      </c>
      <c r="L49" s="16">
        <v>1</v>
      </c>
      <c r="M49" s="21" t="s">
        <v>392</v>
      </c>
      <c r="N49" s="37" t="s">
        <v>396</v>
      </c>
      <c r="O49" s="16" t="s">
        <v>284</v>
      </c>
      <c r="P49" s="348">
        <v>0.35499999999999998</v>
      </c>
      <c r="Q49" s="23" t="s">
        <v>64</v>
      </c>
      <c r="R49" s="23">
        <v>10000</v>
      </c>
      <c r="S49" s="24">
        <f>+P49*18.5</f>
        <v>6.5674999999999999</v>
      </c>
      <c r="T49" s="24">
        <f>+S49*0.25</f>
        <v>1.641875</v>
      </c>
      <c r="U49" s="24">
        <f>(S49+T49)*0.021</f>
        <v>0.172396875</v>
      </c>
      <c r="V49" s="25">
        <f t="shared" ref="V49:V80" si="18">S49+T49+U49</f>
        <v>8.3817718750000001</v>
      </c>
      <c r="W49" s="34">
        <v>149</v>
      </c>
      <c r="X49" s="24">
        <f t="shared" ref="X49:X80" si="19">W49/1.16</f>
        <v>128.44827586206898</v>
      </c>
      <c r="Y49" s="24">
        <f t="shared" ref="Y49:Y80" si="20">X49*0.6</f>
        <v>77.068965517241381</v>
      </c>
      <c r="Z49" s="27">
        <f t="shared" ref="Z49:Z80" si="21">V49/Y49</f>
        <v>0.10875677153243848</v>
      </c>
      <c r="AA49" s="27">
        <f t="shared" ref="AA49:AA80" si="22">1-(V49/Y49)</f>
        <v>0.89124322846756154</v>
      </c>
      <c r="AB49" s="28">
        <f t="shared" ref="AB49:AB80" si="23">1-(Y49/(W49/1.16))</f>
        <v>0.4</v>
      </c>
      <c r="AC49" s="29" t="s">
        <v>287</v>
      </c>
      <c r="AD49" s="16"/>
      <c r="AE49" s="19">
        <v>6</v>
      </c>
      <c r="AF49" s="19">
        <v>144</v>
      </c>
      <c r="AG49" s="36" t="s">
        <v>288</v>
      </c>
      <c r="AH49" s="467">
        <v>46315</v>
      </c>
      <c r="AI49" s="274"/>
      <c r="AJ49" s="274"/>
      <c r="AL49" s="31">
        <v>96.85</v>
      </c>
      <c r="AM49" s="31">
        <f t="shared" ref="AM49:AM80" si="24">+AL49/1.16</f>
        <v>83.491379310344826</v>
      </c>
      <c r="AN49" s="32" t="e">
        <f t="shared" ref="AN49:AN80" ca="1" si="25">+V50/AM49</f>
        <v>#VALUE!</v>
      </c>
      <c r="AO49" s="32" t="e">
        <f t="shared" ref="AO49:AO80" ca="1" si="26">1-V50/AM49</f>
        <v>#VALUE!</v>
      </c>
      <c r="AP49" s="33">
        <f t="shared" ref="AP49:AP80" si="27">1-(AM49/(AL49/1.16))</f>
        <v>0</v>
      </c>
      <c r="BA49" s="3">
        <v>1</v>
      </c>
      <c r="BB49" s="3">
        <v>1</v>
      </c>
      <c r="BC49" s="3">
        <v>1</v>
      </c>
      <c r="BD49" s="3">
        <v>1</v>
      </c>
      <c r="BE49" s="3"/>
      <c r="BF49" s="3"/>
      <c r="BG49" s="3"/>
      <c r="BH49" s="3"/>
      <c r="BI49" s="3"/>
      <c r="BJ49" s="3">
        <v>9</v>
      </c>
      <c r="BK49" s="3">
        <f t="shared" ref="BK49:BK80" si="28">SUM(BA49:BI49)</f>
        <v>4</v>
      </c>
      <c r="BL49" s="292">
        <f t="shared" ref="BL49:BL80" si="29">+BK49/BJ49</f>
        <v>0.44444444444444442</v>
      </c>
      <c r="BM49" s="295"/>
      <c r="BN49" s="295"/>
      <c r="BO49" s="295"/>
      <c r="BP49" s="295"/>
      <c r="BQ49" s="295"/>
      <c r="BR49" s="320" t="str">
        <f t="shared" si="16"/>
        <v>En revisión de dummy para autorización final</v>
      </c>
      <c r="BS49" s="278"/>
      <c r="BT49" s="278" t="s">
        <v>397</v>
      </c>
      <c r="CJ49" s="278"/>
      <c r="CK49" s="278"/>
      <c r="CL49" s="278"/>
      <c r="CM49" s="278"/>
      <c r="CN49" s="278"/>
      <c r="CO49" s="278"/>
      <c r="CP49" s="268"/>
      <c r="CQ49" s="268"/>
      <c r="CR49" s="267"/>
      <c r="CS49" s="267"/>
      <c r="CT49" s="267"/>
      <c r="CU49" s="267"/>
      <c r="CV49" s="267"/>
      <c r="CW49" s="267"/>
      <c r="CX49" s="267"/>
      <c r="CY49" s="267"/>
      <c r="CZ49" s="267"/>
      <c r="DA49" s="267"/>
    </row>
    <row r="50" spans="1:105" ht="360">
      <c r="A50" s="16">
        <v>38</v>
      </c>
      <c r="B50" s="17">
        <v>46248</v>
      </c>
      <c r="C50" s="17" t="s">
        <v>277</v>
      </c>
      <c r="D50" s="17" t="s">
        <v>77</v>
      </c>
      <c r="E50" s="18">
        <v>7502327991229</v>
      </c>
      <c r="F50" s="16" t="s">
        <v>398</v>
      </c>
      <c r="G50" s="19" t="s">
        <v>399</v>
      </c>
      <c r="H50" s="20" t="s">
        <v>60</v>
      </c>
      <c r="I50" s="41" t="s">
        <v>400</v>
      </c>
      <c r="J50" s="19" t="s">
        <v>249</v>
      </c>
      <c r="K50" s="19" t="s">
        <v>281</v>
      </c>
      <c r="L50" s="16">
        <v>1</v>
      </c>
      <c r="M50" s="42" t="s">
        <v>376</v>
      </c>
      <c r="N50" s="43" t="s">
        <v>401</v>
      </c>
      <c r="O50" s="16" t="s">
        <v>284</v>
      </c>
      <c r="P50" s="348">
        <v>6.8</v>
      </c>
      <c r="Q50" s="23" t="s">
        <v>286</v>
      </c>
      <c r="R50" s="23">
        <v>10000</v>
      </c>
      <c r="S50" s="24" t="e">
        <f t="shared" ref="S50:S58" ca="1" si="30">+P50*$T$25</f>
        <v>#VALUE!</v>
      </c>
      <c r="T50" s="24" t="e">
        <f t="shared" ref="T50:T76" ca="1" si="31">+S50*0.36</f>
        <v>#VALUE!</v>
      </c>
      <c r="U50" s="24" t="e">
        <f ca="1">(S50+T50)*0.0586</f>
        <v>#VALUE!</v>
      </c>
      <c r="V50" s="25" t="e">
        <f t="shared" ca="1" si="18"/>
        <v>#VALUE!</v>
      </c>
      <c r="W50" s="34">
        <v>179</v>
      </c>
      <c r="X50" s="24">
        <f t="shared" si="19"/>
        <v>154.31034482758622</v>
      </c>
      <c r="Y50" s="24">
        <f t="shared" si="20"/>
        <v>92.58620689655173</v>
      </c>
      <c r="Z50" s="27" t="e">
        <f t="shared" ca="1" si="21"/>
        <v>#VALUE!</v>
      </c>
      <c r="AA50" s="27" t="e">
        <f t="shared" ca="1" si="22"/>
        <v>#VALUE!</v>
      </c>
      <c r="AB50" s="28">
        <f t="shared" si="23"/>
        <v>0.4</v>
      </c>
      <c r="AC50" s="29" t="s">
        <v>287</v>
      </c>
      <c r="AD50" s="16"/>
      <c r="AE50" s="19">
        <v>6</v>
      </c>
      <c r="AF50" s="19">
        <v>144</v>
      </c>
      <c r="AG50" s="36" t="s">
        <v>288</v>
      </c>
      <c r="AH50" s="467">
        <v>46315</v>
      </c>
      <c r="AI50" s="274"/>
      <c r="AJ50" s="274"/>
      <c r="AL50" s="31">
        <v>116.35</v>
      </c>
      <c r="AM50" s="31">
        <f t="shared" si="24"/>
        <v>100.30172413793103</v>
      </c>
      <c r="AN50" s="32" t="e">
        <f t="shared" ca="1" si="25"/>
        <v>#VALUE!</v>
      </c>
      <c r="AO50" s="32" t="e">
        <f t="shared" ca="1" si="26"/>
        <v>#VALUE!</v>
      </c>
      <c r="AP50" s="33">
        <f t="shared" si="27"/>
        <v>0</v>
      </c>
      <c r="BA50" s="3">
        <v>1</v>
      </c>
      <c r="BB50" s="3">
        <v>1</v>
      </c>
      <c r="BC50" s="3">
        <v>1</v>
      </c>
      <c r="BD50" s="3">
        <v>1</v>
      </c>
      <c r="BE50" s="3"/>
      <c r="BF50" s="3"/>
      <c r="BG50" s="3"/>
      <c r="BH50" s="3"/>
      <c r="BI50" s="3"/>
      <c r="BJ50" s="3">
        <v>9</v>
      </c>
      <c r="BK50" s="3">
        <f t="shared" si="28"/>
        <v>4</v>
      </c>
      <c r="BL50" s="292">
        <f t="shared" si="29"/>
        <v>0.44444444444444442</v>
      </c>
      <c r="BM50" s="295"/>
      <c r="BN50" s="295"/>
      <c r="BO50" s="295"/>
      <c r="BP50" s="295"/>
      <c r="BQ50" s="295"/>
      <c r="BR50" s="320" t="str">
        <f t="shared" si="16"/>
        <v>En revisión de dummy para autorización final</v>
      </c>
      <c r="BS50" s="278"/>
      <c r="BT50" s="278" t="s">
        <v>150</v>
      </c>
      <c r="CJ50" s="278"/>
      <c r="CK50" s="278"/>
      <c r="CL50" s="278"/>
      <c r="CM50" s="278"/>
      <c r="CN50" s="278"/>
      <c r="CO50" s="278"/>
      <c r="CP50" s="268"/>
      <c r="CQ50" s="268"/>
      <c r="CR50" s="267"/>
      <c r="CS50" s="267"/>
      <c r="CT50" s="267"/>
      <c r="CU50" s="267"/>
      <c r="CV50" s="267"/>
      <c r="CW50" s="267"/>
      <c r="CX50" s="267"/>
      <c r="CY50" s="267"/>
      <c r="CZ50" s="267"/>
      <c r="DA50" s="267"/>
    </row>
    <row r="51" spans="1:105" ht="360">
      <c r="A51" s="16">
        <v>39</v>
      </c>
      <c r="B51" s="17">
        <v>46248</v>
      </c>
      <c r="C51" s="17" t="s">
        <v>277</v>
      </c>
      <c r="D51" s="17" t="s">
        <v>77</v>
      </c>
      <c r="E51" s="18">
        <v>7502327991236</v>
      </c>
      <c r="F51" s="16" t="s">
        <v>402</v>
      </c>
      <c r="G51" s="19" t="s">
        <v>403</v>
      </c>
      <c r="H51" s="20" t="s">
        <v>60</v>
      </c>
      <c r="I51" s="41" t="s">
        <v>400</v>
      </c>
      <c r="J51" s="19" t="s">
        <v>249</v>
      </c>
      <c r="K51" s="19" t="s">
        <v>281</v>
      </c>
      <c r="L51" s="16">
        <v>1</v>
      </c>
      <c r="M51" s="42" t="s">
        <v>376</v>
      </c>
      <c r="N51" s="43" t="s">
        <v>404</v>
      </c>
      <c r="O51" s="16" t="s">
        <v>284</v>
      </c>
      <c r="P51" s="348">
        <v>6.8</v>
      </c>
      <c r="Q51" s="23" t="s">
        <v>286</v>
      </c>
      <c r="R51" s="23">
        <v>10000</v>
      </c>
      <c r="S51" s="24" t="e">
        <f t="shared" ca="1" si="30"/>
        <v>#VALUE!</v>
      </c>
      <c r="T51" s="24" t="e">
        <f t="shared" ca="1" si="31"/>
        <v>#VALUE!</v>
      </c>
      <c r="U51" s="24" t="e">
        <f ca="1">(S51+T51)*0.0586</f>
        <v>#VALUE!</v>
      </c>
      <c r="V51" s="25" t="e">
        <f t="shared" ca="1" si="18"/>
        <v>#VALUE!</v>
      </c>
      <c r="W51" s="34">
        <v>179</v>
      </c>
      <c r="X51" s="24">
        <f t="shared" si="19"/>
        <v>154.31034482758622</v>
      </c>
      <c r="Y51" s="24">
        <f t="shared" si="20"/>
        <v>92.58620689655173</v>
      </c>
      <c r="Z51" s="27" t="e">
        <f t="shared" ca="1" si="21"/>
        <v>#VALUE!</v>
      </c>
      <c r="AA51" s="27" t="e">
        <f t="shared" ca="1" si="22"/>
        <v>#VALUE!</v>
      </c>
      <c r="AB51" s="28">
        <f t="shared" si="23"/>
        <v>0.4</v>
      </c>
      <c r="AC51" s="29" t="s">
        <v>287</v>
      </c>
      <c r="AD51" s="16"/>
      <c r="AE51" s="19">
        <v>6</v>
      </c>
      <c r="AF51" s="19">
        <v>144</v>
      </c>
      <c r="AG51" s="36" t="s">
        <v>288</v>
      </c>
      <c r="AH51" s="467">
        <v>46315</v>
      </c>
      <c r="AI51" s="274"/>
      <c r="AJ51" s="274"/>
      <c r="AL51" s="31">
        <v>116.35</v>
      </c>
      <c r="AM51" s="31">
        <f t="shared" si="24"/>
        <v>100.30172413793103</v>
      </c>
      <c r="AN51" s="32" t="e">
        <f t="shared" ca="1" si="25"/>
        <v>#VALUE!</v>
      </c>
      <c r="AO51" s="32" t="e">
        <f t="shared" ca="1" si="26"/>
        <v>#VALUE!</v>
      </c>
      <c r="AP51" s="33">
        <f t="shared" si="27"/>
        <v>0</v>
      </c>
      <c r="BA51" s="3">
        <v>1</v>
      </c>
      <c r="BB51" s="3">
        <v>1</v>
      </c>
      <c r="BC51" s="3">
        <v>1</v>
      </c>
      <c r="BD51" s="3">
        <v>1</v>
      </c>
      <c r="BE51" s="3"/>
      <c r="BF51" s="3"/>
      <c r="BG51" s="3"/>
      <c r="BH51" s="3"/>
      <c r="BI51" s="3"/>
      <c r="BJ51" s="3">
        <v>9</v>
      </c>
      <c r="BK51" s="3">
        <f t="shared" si="28"/>
        <v>4</v>
      </c>
      <c r="BL51" s="292">
        <f t="shared" si="29"/>
        <v>0.44444444444444442</v>
      </c>
      <c r="BM51" s="295"/>
      <c r="BN51" s="295"/>
      <c r="BO51" s="295"/>
      <c r="BP51" s="295"/>
      <c r="BQ51" s="295"/>
      <c r="BR51" s="320" t="str">
        <f t="shared" si="16"/>
        <v>En revisión de dummy para autorización final</v>
      </c>
      <c r="BS51" s="278"/>
      <c r="BT51" s="278" t="s">
        <v>150</v>
      </c>
      <c r="CJ51" s="278"/>
      <c r="CK51" s="278"/>
      <c r="CL51" s="278"/>
      <c r="CM51" s="278"/>
      <c r="CN51" s="278"/>
      <c r="CO51" s="278"/>
      <c r="CP51" s="268"/>
      <c r="CQ51" s="268"/>
      <c r="CR51" s="267"/>
      <c r="CS51" s="267"/>
      <c r="CT51" s="267"/>
      <c r="CU51" s="267"/>
      <c r="CV51" s="267"/>
      <c r="CW51" s="267"/>
      <c r="CX51" s="267"/>
      <c r="CY51" s="267"/>
      <c r="CZ51" s="267"/>
      <c r="DA51" s="267"/>
    </row>
    <row r="52" spans="1:105" ht="360">
      <c r="A52" s="16">
        <v>40</v>
      </c>
      <c r="B52" s="17">
        <v>46248</v>
      </c>
      <c r="C52" s="17" t="s">
        <v>277</v>
      </c>
      <c r="D52" s="17" t="s">
        <v>77</v>
      </c>
      <c r="E52" s="18">
        <v>7502327991243</v>
      </c>
      <c r="F52" s="16" t="s">
        <v>405</v>
      </c>
      <c r="G52" s="19" t="s">
        <v>406</v>
      </c>
      <c r="H52" s="20" t="s">
        <v>60</v>
      </c>
      <c r="I52" s="41" t="s">
        <v>400</v>
      </c>
      <c r="J52" s="19" t="s">
        <v>249</v>
      </c>
      <c r="K52" s="19" t="s">
        <v>281</v>
      </c>
      <c r="L52" s="16">
        <v>1</v>
      </c>
      <c r="M52" s="42" t="s">
        <v>376</v>
      </c>
      <c r="N52" s="43" t="s">
        <v>407</v>
      </c>
      <c r="O52" s="16" t="s">
        <v>284</v>
      </c>
      <c r="P52" s="348">
        <v>6.8</v>
      </c>
      <c r="Q52" s="23" t="s">
        <v>286</v>
      </c>
      <c r="R52" s="23">
        <v>10000</v>
      </c>
      <c r="S52" s="24" t="e">
        <f t="shared" ca="1" si="30"/>
        <v>#VALUE!</v>
      </c>
      <c r="T52" s="24" t="e">
        <f t="shared" ca="1" si="31"/>
        <v>#VALUE!</v>
      </c>
      <c r="U52" s="24" t="e">
        <f ca="1">(S52+T52)*0.0586</f>
        <v>#VALUE!</v>
      </c>
      <c r="V52" s="25" t="e">
        <f t="shared" ca="1" si="18"/>
        <v>#VALUE!</v>
      </c>
      <c r="W52" s="34">
        <v>179</v>
      </c>
      <c r="X52" s="24">
        <f t="shared" si="19"/>
        <v>154.31034482758622</v>
      </c>
      <c r="Y52" s="24">
        <f t="shared" si="20"/>
        <v>92.58620689655173</v>
      </c>
      <c r="Z52" s="27" t="e">
        <f t="shared" ca="1" si="21"/>
        <v>#VALUE!</v>
      </c>
      <c r="AA52" s="27" t="e">
        <f t="shared" ca="1" si="22"/>
        <v>#VALUE!</v>
      </c>
      <c r="AB52" s="28">
        <f t="shared" si="23"/>
        <v>0.4</v>
      </c>
      <c r="AC52" s="29" t="s">
        <v>287</v>
      </c>
      <c r="AD52" s="16"/>
      <c r="AE52" s="19">
        <v>6</v>
      </c>
      <c r="AF52" s="19">
        <v>144</v>
      </c>
      <c r="AG52" s="36" t="s">
        <v>288</v>
      </c>
      <c r="AH52" s="467">
        <v>46315</v>
      </c>
      <c r="AI52" s="274"/>
      <c r="AJ52" s="274"/>
      <c r="AL52" s="31">
        <v>116.35</v>
      </c>
      <c r="AM52" s="31">
        <f t="shared" si="24"/>
        <v>100.30172413793103</v>
      </c>
      <c r="AN52" s="32" t="e">
        <f t="shared" ca="1" si="25"/>
        <v>#VALUE!</v>
      </c>
      <c r="AO52" s="32" t="e">
        <f t="shared" ca="1" si="26"/>
        <v>#VALUE!</v>
      </c>
      <c r="AP52" s="33">
        <f t="shared" si="27"/>
        <v>0</v>
      </c>
      <c r="BA52" s="3">
        <v>1</v>
      </c>
      <c r="BB52" s="3">
        <v>1</v>
      </c>
      <c r="BC52" s="3">
        <v>1</v>
      </c>
      <c r="BD52" s="3">
        <v>1</v>
      </c>
      <c r="BE52" s="3"/>
      <c r="BF52" s="3"/>
      <c r="BG52" s="3"/>
      <c r="BH52" s="3"/>
      <c r="BI52" s="3"/>
      <c r="BJ52" s="3">
        <v>9</v>
      </c>
      <c r="BK52" s="3">
        <f t="shared" si="28"/>
        <v>4</v>
      </c>
      <c r="BL52" s="292">
        <f t="shared" si="29"/>
        <v>0.44444444444444442</v>
      </c>
      <c r="BM52" s="295"/>
      <c r="BN52" s="295"/>
      <c r="BO52" s="295"/>
      <c r="BP52" s="295"/>
      <c r="BQ52" s="295"/>
      <c r="BR52" s="320" t="str">
        <f t="shared" si="16"/>
        <v>En revisión de dummy para autorización final</v>
      </c>
      <c r="BS52" s="278"/>
      <c r="BT52" s="278" t="s">
        <v>150</v>
      </c>
      <c r="CJ52" s="278"/>
      <c r="CK52" s="278"/>
      <c r="CL52" s="278"/>
      <c r="CM52" s="278"/>
      <c r="CN52" s="278"/>
      <c r="CO52" s="278"/>
      <c r="CP52" s="268"/>
      <c r="CQ52" s="268"/>
      <c r="CR52" s="267"/>
      <c r="CS52" s="267"/>
      <c r="CT52" s="267"/>
      <c r="CU52" s="267"/>
      <c r="CV52" s="267"/>
      <c r="CW52" s="267"/>
      <c r="CX52" s="267"/>
      <c r="CY52" s="267"/>
      <c r="CZ52" s="267"/>
      <c r="DA52" s="267"/>
    </row>
    <row r="53" spans="1:105" ht="409.6">
      <c r="A53" s="16">
        <v>41</v>
      </c>
      <c r="B53" s="17">
        <v>46248</v>
      </c>
      <c r="C53" s="17" t="s">
        <v>277</v>
      </c>
      <c r="D53" s="17" t="s">
        <v>77</v>
      </c>
      <c r="E53" s="18">
        <v>7502327991250</v>
      </c>
      <c r="F53" s="16" t="s">
        <v>408</v>
      </c>
      <c r="G53" s="19" t="s">
        <v>409</v>
      </c>
      <c r="H53" s="20" t="s">
        <v>60</v>
      </c>
      <c r="I53" s="41" t="s">
        <v>410</v>
      </c>
      <c r="J53" s="19" t="s">
        <v>249</v>
      </c>
      <c r="K53" s="19" t="s">
        <v>281</v>
      </c>
      <c r="L53" s="16">
        <v>1</v>
      </c>
      <c r="M53" s="42" t="s">
        <v>282</v>
      </c>
      <c r="N53" s="39" t="s">
        <v>411</v>
      </c>
      <c r="O53" s="16" t="s">
        <v>284</v>
      </c>
      <c r="P53" s="348" t="s">
        <v>329</v>
      </c>
      <c r="Q53" s="23" t="s">
        <v>286</v>
      </c>
      <c r="R53" s="23">
        <v>10000</v>
      </c>
      <c r="S53" s="24" t="e">
        <f t="shared" ca="1" si="30"/>
        <v>#VALUE!</v>
      </c>
      <c r="T53" s="24" t="e">
        <f t="shared" ca="1" si="31"/>
        <v>#VALUE!</v>
      </c>
      <c r="U53" s="24" t="e">
        <f ca="1">(S53+T53)*0.0248</f>
        <v>#VALUE!</v>
      </c>
      <c r="V53" s="25" t="e">
        <f t="shared" ca="1" si="18"/>
        <v>#VALUE!</v>
      </c>
      <c r="W53" s="34">
        <v>159</v>
      </c>
      <c r="X53" s="24">
        <f t="shared" si="19"/>
        <v>137.06896551724139</v>
      </c>
      <c r="Y53" s="24">
        <f t="shared" si="20"/>
        <v>82.24137931034484</v>
      </c>
      <c r="Z53" s="27" t="e">
        <f t="shared" ca="1" si="21"/>
        <v>#VALUE!</v>
      </c>
      <c r="AA53" s="27" t="e">
        <f t="shared" ca="1" si="22"/>
        <v>#VALUE!</v>
      </c>
      <c r="AB53" s="28">
        <f t="shared" si="23"/>
        <v>0.4</v>
      </c>
      <c r="AC53" s="29" t="s">
        <v>287</v>
      </c>
      <c r="AD53" s="16"/>
      <c r="AE53" s="19">
        <v>6</v>
      </c>
      <c r="AF53" s="19">
        <v>144</v>
      </c>
      <c r="AG53" s="36" t="s">
        <v>288</v>
      </c>
      <c r="AH53" s="467">
        <v>46308</v>
      </c>
      <c r="AI53" s="274"/>
      <c r="AJ53" s="274"/>
      <c r="AL53" s="31">
        <v>103.35</v>
      </c>
      <c r="AM53" s="31">
        <f t="shared" si="24"/>
        <v>89.094827586206904</v>
      </c>
      <c r="AN53" s="32" t="e">
        <f t="shared" ca="1" si="25"/>
        <v>#VALUE!</v>
      </c>
      <c r="AO53" s="32" t="e">
        <f t="shared" ca="1" si="26"/>
        <v>#VALUE!</v>
      </c>
      <c r="AP53" s="33">
        <f t="shared" si="27"/>
        <v>0</v>
      </c>
      <c r="BA53" s="3">
        <v>1</v>
      </c>
      <c r="BB53" s="3">
        <v>1</v>
      </c>
      <c r="BC53" s="3">
        <v>1</v>
      </c>
      <c r="BD53" s="3">
        <v>1</v>
      </c>
      <c r="BE53" s="3"/>
      <c r="BF53" s="3"/>
      <c r="BG53" s="3"/>
      <c r="BH53" s="3"/>
      <c r="BI53" s="3"/>
      <c r="BJ53" s="3">
        <v>9</v>
      </c>
      <c r="BK53" s="3">
        <f t="shared" si="28"/>
        <v>4</v>
      </c>
      <c r="BL53" s="292">
        <f t="shared" si="29"/>
        <v>0.44444444444444442</v>
      </c>
      <c r="BM53" s="295"/>
      <c r="BN53" s="295"/>
      <c r="BO53" s="295"/>
      <c r="BP53" s="295"/>
      <c r="BQ53" s="295"/>
      <c r="BR53" s="320" t="str">
        <f t="shared" ref="BR53:BR57" si="32">+AG53</f>
        <v>En revisión de dummy para autorización final</v>
      </c>
      <c r="BS53" s="278"/>
      <c r="BT53" s="278" t="s">
        <v>129</v>
      </c>
      <c r="CJ53" s="278"/>
      <c r="CK53" s="278"/>
      <c r="CL53" s="278"/>
      <c r="CM53" s="278"/>
      <c r="CN53" s="278"/>
      <c r="CO53" s="278"/>
      <c r="CP53" s="268"/>
      <c r="CQ53" s="268"/>
      <c r="CR53" s="267"/>
      <c r="CS53" s="267"/>
      <c r="CT53" s="267"/>
      <c r="CU53" s="267"/>
      <c r="CV53" s="267"/>
      <c r="CW53" s="267"/>
      <c r="CX53" s="267"/>
      <c r="CY53" s="267"/>
      <c r="CZ53" s="267"/>
      <c r="DA53" s="267"/>
    </row>
    <row r="54" spans="1:105" ht="409.6">
      <c r="A54" s="16">
        <v>42</v>
      </c>
      <c r="B54" s="17">
        <v>46248</v>
      </c>
      <c r="C54" s="17" t="s">
        <v>277</v>
      </c>
      <c r="D54" s="17" t="s">
        <v>77</v>
      </c>
      <c r="E54" s="18">
        <v>7502327991267</v>
      </c>
      <c r="F54" s="16" t="s">
        <v>412</v>
      </c>
      <c r="G54" s="19" t="s">
        <v>413</v>
      </c>
      <c r="H54" s="20" t="s">
        <v>60</v>
      </c>
      <c r="I54" s="41" t="s">
        <v>410</v>
      </c>
      <c r="J54" s="19" t="s">
        <v>249</v>
      </c>
      <c r="K54" s="19" t="s">
        <v>281</v>
      </c>
      <c r="L54" s="16">
        <v>1</v>
      </c>
      <c r="M54" s="42" t="s">
        <v>282</v>
      </c>
      <c r="N54" s="39" t="s">
        <v>411</v>
      </c>
      <c r="O54" s="16" t="s">
        <v>284</v>
      </c>
      <c r="P54" s="348" t="s">
        <v>329</v>
      </c>
      <c r="Q54" s="23" t="s">
        <v>286</v>
      </c>
      <c r="R54" s="23">
        <v>10000</v>
      </c>
      <c r="S54" s="24" t="e">
        <f t="shared" ca="1" si="30"/>
        <v>#VALUE!</v>
      </c>
      <c r="T54" s="24" t="e">
        <f t="shared" ca="1" si="31"/>
        <v>#VALUE!</v>
      </c>
      <c r="U54" s="24" t="e">
        <f ca="1">(S54+T54)*0.0248</f>
        <v>#VALUE!</v>
      </c>
      <c r="V54" s="25" t="e">
        <f t="shared" ca="1" si="18"/>
        <v>#VALUE!</v>
      </c>
      <c r="W54" s="34">
        <v>159</v>
      </c>
      <c r="X54" s="24">
        <f t="shared" si="19"/>
        <v>137.06896551724139</v>
      </c>
      <c r="Y54" s="24">
        <f t="shared" si="20"/>
        <v>82.24137931034484</v>
      </c>
      <c r="Z54" s="27" t="e">
        <f t="shared" ca="1" si="21"/>
        <v>#VALUE!</v>
      </c>
      <c r="AA54" s="27" t="e">
        <f t="shared" ca="1" si="22"/>
        <v>#VALUE!</v>
      </c>
      <c r="AB54" s="28">
        <f t="shared" si="23"/>
        <v>0.4</v>
      </c>
      <c r="AC54" s="29" t="s">
        <v>287</v>
      </c>
      <c r="AD54" s="16"/>
      <c r="AE54" s="19">
        <v>6</v>
      </c>
      <c r="AF54" s="19">
        <v>144</v>
      </c>
      <c r="AG54" s="36" t="s">
        <v>288</v>
      </c>
      <c r="AH54" s="467">
        <v>46308</v>
      </c>
      <c r="AI54" s="274"/>
      <c r="AJ54" s="274"/>
      <c r="AL54" s="31">
        <v>103.35</v>
      </c>
      <c r="AM54" s="31">
        <f t="shared" si="24"/>
        <v>89.094827586206904</v>
      </c>
      <c r="AN54" s="32" t="e">
        <f t="shared" ca="1" si="25"/>
        <v>#VALUE!</v>
      </c>
      <c r="AO54" s="32" t="e">
        <f t="shared" ca="1" si="26"/>
        <v>#VALUE!</v>
      </c>
      <c r="AP54" s="33">
        <f t="shared" si="27"/>
        <v>0</v>
      </c>
      <c r="BA54" s="3">
        <v>1</v>
      </c>
      <c r="BB54" s="3">
        <v>1</v>
      </c>
      <c r="BC54" s="3">
        <v>1</v>
      </c>
      <c r="BD54" s="3">
        <v>1</v>
      </c>
      <c r="BE54" s="3"/>
      <c r="BF54" s="3"/>
      <c r="BG54" s="3"/>
      <c r="BH54" s="3"/>
      <c r="BI54" s="3"/>
      <c r="BJ54" s="3">
        <v>9</v>
      </c>
      <c r="BK54" s="3">
        <f t="shared" si="28"/>
        <v>4</v>
      </c>
      <c r="BL54" s="292">
        <f t="shared" si="29"/>
        <v>0.44444444444444442</v>
      </c>
      <c r="BM54" s="295"/>
      <c r="BN54" s="295"/>
      <c r="BO54" s="295"/>
      <c r="BP54" s="295"/>
      <c r="BQ54" s="295"/>
      <c r="BR54" s="320" t="str">
        <f t="shared" si="32"/>
        <v>En revisión de dummy para autorización final</v>
      </c>
      <c r="BS54" s="278"/>
      <c r="BT54" s="278" t="s">
        <v>129</v>
      </c>
      <c r="CJ54" s="278"/>
      <c r="CK54" s="278"/>
      <c r="CL54" s="278"/>
      <c r="CM54" s="278"/>
      <c r="CN54" s="278"/>
      <c r="CO54" s="278"/>
      <c r="CP54" s="268"/>
      <c r="CQ54" s="268"/>
      <c r="CR54" s="267"/>
      <c r="CS54" s="267"/>
      <c r="CT54" s="267"/>
      <c r="CU54" s="267"/>
      <c r="CV54" s="267"/>
      <c r="CW54" s="267"/>
      <c r="CX54" s="267"/>
      <c r="CY54" s="267"/>
      <c r="CZ54" s="267"/>
      <c r="DA54" s="267"/>
    </row>
    <row r="55" spans="1:105" ht="409.6">
      <c r="A55" s="16">
        <v>43</v>
      </c>
      <c r="B55" s="17">
        <v>46248</v>
      </c>
      <c r="C55" s="17" t="s">
        <v>277</v>
      </c>
      <c r="D55" s="17" t="s">
        <v>77</v>
      </c>
      <c r="E55" s="18">
        <v>7502327991274</v>
      </c>
      <c r="F55" s="16" t="s">
        <v>414</v>
      </c>
      <c r="G55" s="19" t="s">
        <v>415</v>
      </c>
      <c r="H55" s="20" t="s">
        <v>60</v>
      </c>
      <c r="I55" s="41" t="s">
        <v>410</v>
      </c>
      <c r="J55" s="19" t="s">
        <v>249</v>
      </c>
      <c r="K55" s="19" t="s">
        <v>281</v>
      </c>
      <c r="L55" s="16">
        <v>1</v>
      </c>
      <c r="M55" s="42" t="s">
        <v>282</v>
      </c>
      <c r="N55" s="39" t="s">
        <v>416</v>
      </c>
      <c r="O55" s="16" t="s">
        <v>284</v>
      </c>
      <c r="P55" s="348" t="s">
        <v>329</v>
      </c>
      <c r="Q55" s="23" t="s">
        <v>286</v>
      </c>
      <c r="R55" s="23">
        <v>10000</v>
      </c>
      <c r="S55" s="24" t="e">
        <f t="shared" ca="1" si="30"/>
        <v>#VALUE!</v>
      </c>
      <c r="T55" s="24" t="e">
        <f t="shared" ca="1" si="31"/>
        <v>#VALUE!</v>
      </c>
      <c r="U55" s="24" t="e">
        <f ca="1">(S55+T55)*0.0248</f>
        <v>#VALUE!</v>
      </c>
      <c r="V55" s="25" t="e">
        <f t="shared" ca="1" si="18"/>
        <v>#VALUE!</v>
      </c>
      <c r="W55" s="34">
        <v>159</v>
      </c>
      <c r="X55" s="24">
        <f t="shared" si="19"/>
        <v>137.06896551724139</v>
      </c>
      <c r="Y55" s="24">
        <f t="shared" si="20"/>
        <v>82.24137931034484</v>
      </c>
      <c r="Z55" s="27" t="e">
        <f t="shared" ca="1" si="21"/>
        <v>#VALUE!</v>
      </c>
      <c r="AA55" s="27" t="e">
        <f t="shared" ca="1" si="22"/>
        <v>#VALUE!</v>
      </c>
      <c r="AB55" s="28">
        <f t="shared" si="23"/>
        <v>0.4</v>
      </c>
      <c r="AC55" s="29" t="s">
        <v>287</v>
      </c>
      <c r="AD55" s="16"/>
      <c r="AE55" s="19">
        <v>6</v>
      </c>
      <c r="AF55" s="19">
        <v>144</v>
      </c>
      <c r="AG55" s="36" t="s">
        <v>288</v>
      </c>
      <c r="AH55" s="467">
        <v>46308</v>
      </c>
      <c r="AI55" s="274"/>
      <c r="AJ55" s="274"/>
      <c r="AL55" s="31">
        <v>103.35</v>
      </c>
      <c r="AM55" s="31">
        <f t="shared" si="24"/>
        <v>89.094827586206904</v>
      </c>
      <c r="AN55" s="32" t="e">
        <f t="shared" ca="1" si="25"/>
        <v>#VALUE!</v>
      </c>
      <c r="AO55" s="32" t="e">
        <f t="shared" ca="1" si="26"/>
        <v>#VALUE!</v>
      </c>
      <c r="AP55" s="33">
        <f t="shared" si="27"/>
        <v>0</v>
      </c>
      <c r="BA55" s="3">
        <v>1</v>
      </c>
      <c r="BB55" s="3">
        <v>1</v>
      </c>
      <c r="BC55" s="3">
        <v>1</v>
      </c>
      <c r="BD55" s="3">
        <v>1</v>
      </c>
      <c r="BE55" s="3"/>
      <c r="BF55" s="3"/>
      <c r="BG55" s="3"/>
      <c r="BH55" s="3"/>
      <c r="BI55" s="3"/>
      <c r="BJ55" s="3">
        <v>9</v>
      </c>
      <c r="BK55" s="3">
        <f t="shared" si="28"/>
        <v>4</v>
      </c>
      <c r="BL55" s="292">
        <f t="shared" si="29"/>
        <v>0.44444444444444442</v>
      </c>
      <c r="BM55" s="295"/>
      <c r="BN55" s="295"/>
      <c r="BO55" s="295"/>
      <c r="BP55" s="295"/>
      <c r="BQ55" s="295"/>
      <c r="BR55" s="320" t="str">
        <f t="shared" si="32"/>
        <v>En revisión de dummy para autorización final</v>
      </c>
      <c r="BS55" s="278"/>
      <c r="BT55" s="278" t="s">
        <v>397</v>
      </c>
      <c r="CJ55" s="278"/>
      <c r="CK55" s="278"/>
      <c r="CL55" s="278"/>
      <c r="CM55" s="278"/>
      <c r="CN55" s="278"/>
      <c r="CO55" s="278"/>
      <c r="CP55" s="268"/>
      <c r="CQ55" s="268"/>
      <c r="CR55" s="267"/>
      <c r="CS55" s="267"/>
      <c r="CT55" s="267"/>
      <c r="CU55" s="267"/>
      <c r="CV55" s="267"/>
      <c r="CW55" s="267"/>
      <c r="CX55" s="267"/>
      <c r="CY55" s="267"/>
      <c r="CZ55" s="267"/>
      <c r="DA55" s="267"/>
    </row>
    <row r="56" spans="1:105" ht="34.5">
      <c r="A56" s="16">
        <v>44</v>
      </c>
      <c r="B56" s="17">
        <v>46248</v>
      </c>
      <c r="C56" s="17" t="s">
        <v>277</v>
      </c>
      <c r="D56" s="17" t="s">
        <v>77</v>
      </c>
      <c r="E56" s="18">
        <v>7502327991281</v>
      </c>
      <c r="F56" s="16" t="s">
        <v>417</v>
      </c>
      <c r="G56" s="19" t="s">
        <v>418</v>
      </c>
      <c r="H56" s="20" t="s">
        <v>60</v>
      </c>
      <c r="I56" s="41" t="s">
        <v>419</v>
      </c>
      <c r="J56" s="19" t="s">
        <v>249</v>
      </c>
      <c r="K56" s="19" t="s">
        <v>281</v>
      </c>
      <c r="L56" s="16">
        <v>1</v>
      </c>
      <c r="M56" s="42" t="s">
        <v>376</v>
      </c>
      <c r="N56" s="39" t="s">
        <v>420</v>
      </c>
      <c r="O56" s="16" t="s">
        <v>284</v>
      </c>
      <c r="P56" s="348">
        <v>2.8</v>
      </c>
      <c r="Q56" s="23" t="s">
        <v>286</v>
      </c>
      <c r="R56" s="23">
        <v>10000</v>
      </c>
      <c r="S56" s="24" t="e">
        <f t="shared" ca="1" si="30"/>
        <v>#VALUE!</v>
      </c>
      <c r="T56" s="24" t="e">
        <f t="shared" ca="1" si="31"/>
        <v>#VALUE!</v>
      </c>
      <c r="U56" s="24" t="e">
        <f ca="1">(S56+T56)*0.0234</f>
        <v>#VALUE!</v>
      </c>
      <c r="V56" s="25" t="e">
        <f t="shared" ca="1" si="18"/>
        <v>#VALUE!</v>
      </c>
      <c r="W56" s="34">
        <v>89</v>
      </c>
      <c r="X56" s="24">
        <f t="shared" si="19"/>
        <v>76.724137931034491</v>
      </c>
      <c r="Y56" s="24">
        <f t="shared" si="20"/>
        <v>46.03448275862069</v>
      </c>
      <c r="Z56" s="27" t="e">
        <f t="shared" ca="1" si="21"/>
        <v>#VALUE!</v>
      </c>
      <c r="AA56" s="27" t="e">
        <f t="shared" ca="1" si="22"/>
        <v>#VALUE!</v>
      </c>
      <c r="AB56" s="28">
        <f t="shared" si="23"/>
        <v>0.4</v>
      </c>
      <c r="AC56" s="29" t="s">
        <v>287</v>
      </c>
      <c r="AD56" s="16"/>
      <c r="AE56" s="19">
        <v>6</v>
      </c>
      <c r="AF56" s="19">
        <v>144</v>
      </c>
      <c r="AG56" s="36" t="s">
        <v>288</v>
      </c>
      <c r="AH56" s="16"/>
      <c r="AI56" s="274"/>
      <c r="AJ56" s="274"/>
      <c r="AL56" s="31">
        <v>57.85</v>
      </c>
      <c r="AM56" s="31">
        <f t="shared" si="24"/>
        <v>49.87068965517242</v>
      </c>
      <c r="AN56" s="32" t="e">
        <f t="shared" ca="1" si="25"/>
        <v>#VALUE!</v>
      </c>
      <c r="AO56" s="32" t="e">
        <f t="shared" ca="1" si="26"/>
        <v>#VALUE!</v>
      </c>
      <c r="AP56" s="33">
        <f t="shared" si="27"/>
        <v>0</v>
      </c>
      <c r="BA56" s="3">
        <v>1</v>
      </c>
      <c r="BB56" s="3">
        <v>1</v>
      </c>
      <c r="BC56" s="3">
        <v>1</v>
      </c>
      <c r="BD56" s="3">
        <v>1</v>
      </c>
      <c r="BE56" s="3"/>
      <c r="BF56" s="3"/>
      <c r="BG56" s="3"/>
      <c r="BH56" s="3"/>
      <c r="BI56" s="3"/>
      <c r="BJ56" s="3">
        <v>9</v>
      </c>
      <c r="BK56" s="3">
        <f t="shared" si="28"/>
        <v>4</v>
      </c>
      <c r="BL56" s="292">
        <f t="shared" si="29"/>
        <v>0.44444444444444442</v>
      </c>
      <c r="BM56" s="295"/>
      <c r="BN56" s="295"/>
      <c r="BO56" s="295"/>
      <c r="BP56" s="295"/>
      <c r="BQ56" s="295"/>
      <c r="BR56" s="320" t="str">
        <f t="shared" si="32"/>
        <v>En revisión de dummy para autorización final</v>
      </c>
      <c r="BS56" s="278"/>
      <c r="BT56" s="278"/>
      <c r="CJ56" s="278"/>
      <c r="CK56" s="278"/>
      <c r="CL56" s="278"/>
      <c r="CM56" s="278"/>
      <c r="CN56" s="278"/>
      <c r="CO56" s="278"/>
      <c r="CP56" s="268"/>
      <c r="CQ56" s="268"/>
      <c r="CR56" s="267"/>
      <c r="CS56" s="267"/>
      <c r="CT56" s="267"/>
      <c r="CU56" s="267"/>
      <c r="CV56" s="267"/>
      <c r="CW56" s="267"/>
      <c r="CX56" s="267"/>
      <c r="CY56" s="267"/>
      <c r="CZ56" s="267"/>
      <c r="DA56" s="267"/>
    </row>
    <row r="57" spans="1:105" ht="34.5">
      <c r="A57" s="16">
        <v>45</v>
      </c>
      <c r="B57" s="17">
        <v>46248</v>
      </c>
      <c r="C57" s="17" t="s">
        <v>277</v>
      </c>
      <c r="D57" s="17" t="s">
        <v>77</v>
      </c>
      <c r="E57" s="18">
        <v>7502327991298</v>
      </c>
      <c r="F57" s="16" t="s">
        <v>421</v>
      </c>
      <c r="G57" s="19" t="s">
        <v>422</v>
      </c>
      <c r="H57" s="20" t="s">
        <v>60</v>
      </c>
      <c r="I57" s="41" t="s">
        <v>419</v>
      </c>
      <c r="J57" s="19" t="s">
        <v>249</v>
      </c>
      <c r="K57" s="19" t="s">
        <v>281</v>
      </c>
      <c r="L57" s="16">
        <v>1</v>
      </c>
      <c r="M57" s="42" t="s">
        <v>376</v>
      </c>
      <c r="N57" s="39" t="s">
        <v>423</v>
      </c>
      <c r="O57" s="16" t="s">
        <v>284</v>
      </c>
      <c r="P57" s="348">
        <v>2.8</v>
      </c>
      <c r="Q57" s="23" t="s">
        <v>286</v>
      </c>
      <c r="R57" s="23">
        <v>10000</v>
      </c>
      <c r="S57" s="24" t="e">
        <f t="shared" ca="1" si="30"/>
        <v>#VALUE!</v>
      </c>
      <c r="T57" s="24" t="e">
        <f t="shared" ca="1" si="31"/>
        <v>#VALUE!</v>
      </c>
      <c r="U57" s="24" t="e">
        <f ca="1">(S57+T57)*0.0234</f>
        <v>#VALUE!</v>
      </c>
      <c r="V57" s="25" t="e">
        <f t="shared" ca="1" si="18"/>
        <v>#VALUE!</v>
      </c>
      <c r="W57" s="34">
        <v>89</v>
      </c>
      <c r="X57" s="24">
        <f t="shared" si="19"/>
        <v>76.724137931034491</v>
      </c>
      <c r="Y57" s="24">
        <f t="shared" si="20"/>
        <v>46.03448275862069</v>
      </c>
      <c r="Z57" s="27" t="e">
        <f t="shared" ca="1" si="21"/>
        <v>#VALUE!</v>
      </c>
      <c r="AA57" s="27" t="e">
        <f t="shared" ca="1" si="22"/>
        <v>#VALUE!</v>
      </c>
      <c r="AB57" s="28">
        <f t="shared" si="23"/>
        <v>0.4</v>
      </c>
      <c r="AC57" s="29" t="s">
        <v>287</v>
      </c>
      <c r="AD57" s="16"/>
      <c r="AE57" s="19">
        <v>6</v>
      </c>
      <c r="AF57" s="19">
        <v>144</v>
      </c>
      <c r="AG57" s="36" t="s">
        <v>288</v>
      </c>
      <c r="AH57" s="16"/>
      <c r="AI57" s="274"/>
      <c r="AJ57" s="274"/>
      <c r="AL57" s="31">
        <v>57.85</v>
      </c>
      <c r="AM57" s="31">
        <f t="shared" si="24"/>
        <v>49.87068965517242</v>
      </c>
      <c r="AN57" s="32" t="e">
        <f t="shared" ca="1" si="25"/>
        <v>#VALUE!</v>
      </c>
      <c r="AO57" s="32" t="e">
        <f t="shared" ca="1" si="26"/>
        <v>#VALUE!</v>
      </c>
      <c r="AP57" s="33">
        <f t="shared" si="27"/>
        <v>0</v>
      </c>
      <c r="BA57" s="3">
        <v>1</v>
      </c>
      <c r="BB57" s="3">
        <v>1</v>
      </c>
      <c r="BC57" s="3">
        <v>1</v>
      </c>
      <c r="BD57" s="3">
        <v>1</v>
      </c>
      <c r="BE57" s="3"/>
      <c r="BF57" s="3"/>
      <c r="BG57" s="3"/>
      <c r="BH57" s="3"/>
      <c r="BI57" s="3"/>
      <c r="BJ57" s="3">
        <v>9</v>
      </c>
      <c r="BK57" s="3">
        <f t="shared" si="28"/>
        <v>4</v>
      </c>
      <c r="BL57" s="292">
        <f t="shared" si="29"/>
        <v>0.44444444444444442</v>
      </c>
      <c r="BM57" s="295"/>
      <c r="BN57" s="295"/>
      <c r="BO57" s="295"/>
      <c r="BP57" s="295"/>
      <c r="BQ57" s="295"/>
      <c r="BR57" s="320" t="str">
        <f t="shared" si="32"/>
        <v>En revisión de dummy para autorización final</v>
      </c>
      <c r="BS57" s="278"/>
      <c r="BT57" s="278"/>
      <c r="CJ57" s="278"/>
      <c r="CK57" s="278"/>
      <c r="CL57" s="278"/>
      <c r="CM57" s="278"/>
      <c r="CN57" s="278"/>
      <c r="CO57" s="278"/>
      <c r="CP57" s="268"/>
      <c r="CQ57" s="268"/>
      <c r="CR57" s="267"/>
      <c r="CS57" s="267"/>
      <c r="CT57" s="267"/>
      <c r="CU57" s="267"/>
      <c r="CV57" s="267"/>
      <c r="CW57" s="267"/>
      <c r="CX57" s="267"/>
      <c r="CY57" s="267"/>
      <c r="CZ57" s="267"/>
      <c r="DA57" s="267"/>
    </row>
    <row r="58" spans="1:105" ht="34.5">
      <c r="A58" s="16">
        <v>46</v>
      </c>
      <c r="B58" s="17">
        <v>46248</v>
      </c>
      <c r="C58" s="17" t="s">
        <v>277</v>
      </c>
      <c r="D58" s="17" t="s">
        <v>77</v>
      </c>
      <c r="E58" s="18">
        <v>7502327991304</v>
      </c>
      <c r="F58" s="16" t="s">
        <v>424</v>
      </c>
      <c r="G58" s="19" t="s">
        <v>425</v>
      </c>
      <c r="H58" s="20" t="s">
        <v>60</v>
      </c>
      <c r="I58" s="41" t="s">
        <v>419</v>
      </c>
      <c r="J58" s="19" t="s">
        <v>249</v>
      </c>
      <c r="K58" s="19" t="s">
        <v>281</v>
      </c>
      <c r="L58" s="16">
        <v>1</v>
      </c>
      <c r="M58" s="42" t="s">
        <v>376</v>
      </c>
      <c r="N58" s="43" t="s">
        <v>426</v>
      </c>
      <c r="O58" s="16" t="s">
        <v>284</v>
      </c>
      <c r="P58" s="348">
        <v>2.8</v>
      </c>
      <c r="Q58" s="23" t="s">
        <v>286</v>
      </c>
      <c r="R58" s="23">
        <v>10000</v>
      </c>
      <c r="S58" s="24" t="e">
        <f t="shared" ca="1" si="30"/>
        <v>#VALUE!</v>
      </c>
      <c r="T58" s="24" t="e">
        <f t="shared" ca="1" si="31"/>
        <v>#VALUE!</v>
      </c>
      <c r="U58" s="24" t="e">
        <f ca="1">(S58+T58)*0.0234</f>
        <v>#VALUE!</v>
      </c>
      <c r="V58" s="25" t="e">
        <f t="shared" ca="1" si="18"/>
        <v>#VALUE!</v>
      </c>
      <c r="W58" s="34">
        <v>89</v>
      </c>
      <c r="X58" s="24">
        <f t="shared" si="19"/>
        <v>76.724137931034491</v>
      </c>
      <c r="Y58" s="24">
        <f t="shared" si="20"/>
        <v>46.03448275862069</v>
      </c>
      <c r="Z58" s="27" t="e">
        <f t="shared" ca="1" si="21"/>
        <v>#VALUE!</v>
      </c>
      <c r="AA58" s="27" t="e">
        <f t="shared" ca="1" si="22"/>
        <v>#VALUE!</v>
      </c>
      <c r="AB58" s="28">
        <f t="shared" si="23"/>
        <v>0.4</v>
      </c>
      <c r="AC58" s="29" t="s">
        <v>287</v>
      </c>
      <c r="AD58" s="16"/>
      <c r="AE58" s="19">
        <v>6</v>
      </c>
      <c r="AF58" s="19">
        <v>144</v>
      </c>
      <c r="AG58" s="36" t="s">
        <v>288</v>
      </c>
      <c r="AH58" s="16"/>
      <c r="AI58" s="274"/>
      <c r="AJ58" s="274"/>
      <c r="AL58" s="31">
        <v>57.85</v>
      </c>
      <c r="AM58" s="31">
        <f t="shared" si="24"/>
        <v>49.87068965517242</v>
      </c>
      <c r="AN58" s="32" t="e">
        <f t="shared" si="25"/>
        <v>#VALUE!</v>
      </c>
      <c r="AO58" s="32" t="e">
        <f t="shared" si="26"/>
        <v>#VALUE!</v>
      </c>
      <c r="AP58" s="33">
        <f t="shared" si="27"/>
        <v>0</v>
      </c>
      <c r="BA58" s="3">
        <v>1</v>
      </c>
      <c r="BB58" s="3">
        <v>1</v>
      </c>
      <c r="BC58" s="3">
        <v>1</v>
      </c>
      <c r="BD58" s="3">
        <v>1</v>
      </c>
      <c r="BE58" s="3"/>
      <c r="BF58" s="3"/>
      <c r="BG58" s="3"/>
      <c r="BH58" s="3"/>
      <c r="BI58" s="3"/>
      <c r="BJ58" s="3">
        <v>9</v>
      </c>
      <c r="BK58" s="3">
        <f t="shared" si="28"/>
        <v>4</v>
      </c>
      <c r="BL58" s="292">
        <f t="shared" si="29"/>
        <v>0.44444444444444442</v>
      </c>
      <c r="BM58" s="295"/>
      <c r="BN58" s="295"/>
      <c r="BO58" s="295"/>
      <c r="BP58" s="295"/>
      <c r="BQ58" s="295"/>
      <c r="BR58" s="320" t="str">
        <f t="shared" ref="BR58:BR79" si="33">+AG58</f>
        <v>En revisión de dummy para autorización final</v>
      </c>
      <c r="BS58" s="278"/>
      <c r="BT58" s="278"/>
      <c r="CJ58" s="278"/>
      <c r="CK58" s="278"/>
      <c r="CL58" s="278"/>
      <c r="CM58" s="278"/>
      <c r="CN58" s="278"/>
      <c r="CO58" s="278"/>
      <c r="CP58" s="268"/>
      <c r="CQ58" s="268"/>
      <c r="CR58" s="267"/>
      <c r="CS58" s="267"/>
      <c r="CT58" s="267"/>
      <c r="CU58" s="267"/>
      <c r="CV58" s="267"/>
      <c r="CW58" s="267"/>
      <c r="CX58" s="267"/>
      <c r="CY58" s="267"/>
      <c r="CZ58" s="267"/>
      <c r="DA58" s="267"/>
    </row>
    <row r="59" spans="1:105" ht="409.6">
      <c r="A59" s="16">
        <v>47</v>
      </c>
      <c r="B59" s="17">
        <v>46248</v>
      </c>
      <c r="C59" s="17" t="s">
        <v>277</v>
      </c>
      <c r="D59" s="17" t="s">
        <v>77</v>
      </c>
      <c r="E59" s="18">
        <v>7502327991311</v>
      </c>
      <c r="F59" s="16" t="s">
        <v>427</v>
      </c>
      <c r="G59" s="19" t="s">
        <v>428</v>
      </c>
      <c r="H59" s="20" t="s">
        <v>60</v>
      </c>
      <c r="I59" s="16" t="s">
        <v>429</v>
      </c>
      <c r="J59" s="19" t="s">
        <v>249</v>
      </c>
      <c r="K59" s="19" t="s">
        <v>281</v>
      </c>
      <c r="L59" s="16">
        <v>1</v>
      </c>
      <c r="M59" s="21" t="s">
        <v>282</v>
      </c>
      <c r="N59" s="37" t="s">
        <v>430</v>
      </c>
      <c r="O59" s="16" t="s">
        <v>284</v>
      </c>
      <c r="P59" s="348" t="s">
        <v>431</v>
      </c>
      <c r="Q59" s="23" t="s">
        <v>64</v>
      </c>
      <c r="R59" s="23">
        <v>10000</v>
      </c>
      <c r="S59" s="24" t="e">
        <f>+P59*18.5</f>
        <v>#VALUE!</v>
      </c>
      <c r="T59" s="24" t="e">
        <f t="shared" si="31"/>
        <v>#VALUE!</v>
      </c>
      <c r="U59" s="24" t="e">
        <f>(S59+T59)*0.117</f>
        <v>#VALUE!</v>
      </c>
      <c r="V59" s="25" t="e">
        <f t="shared" si="18"/>
        <v>#VALUE!</v>
      </c>
      <c r="W59" s="34">
        <v>139</v>
      </c>
      <c r="X59" s="24">
        <f t="shared" si="19"/>
        <v>119.82758620689656</v>
      </c>
      <c r="Y59" s="24">
        <f t="shared" si="20"/>
        <v>71.896551724137936</v>
      </c>
      <c r="Z59" s="27" t="e">
        <f t="shared" si="21"/>
        <v>#VALUE!</v>
      </c>
      <c r="AA59" s="27" t="e">
        <f t="shared" si="22"/>
        <v>#VALUE!</v>
      </c>
      <c r="AB59" s="28">
        <f t="shared" si="23"/>
        <v>0.4</v>
      </c>
      <c r="AC59" s="29" t="s">
        <v>287</v>
      </c>
      <c r="AD59" s="16"/>
      <c r="AE59" s="19">
        <v>6</v>
      </c>
      <c r="AF59" s="19">
        <v>144</v>
      </c>
      <c r="AG59" s="36" t="s">
        <v>323</v>
      </c>
      <c r="AH59" s="467">
        <v>46315</v>
      </c>
      <c r="AI59" s="274"/>
      <c r="AJ59" s="274"/>
      <c r="AL59" s="31" t="s">
        <v>432</v>
      </c>
      <c r="AM59" s="31" t="e">
        <f t="shared" si="24"/>
        <v>#VALUE!</v>
      </c>
      <c r="AN59" s="32" t="e">
        <f t="shared" si="25"/>
        <v>#VALUE!</v>
      </c>
      <c r="AO59" s="32" t="e">
        <f t="shared" si="26"/>
        <v>#VALUE!</v>
      </c>
      <c r="AP59" s="33" t="e">
        <f t="shared" si="27"/>
        <v>#VALUE!</v>
      </c>
      <c r="BA59" s="3">
        <v>1</v>
      </c>
      <c r="BB59" s="3">
        <v>1</v>
      </c>
      <c r="BC59" s="3">
        <v>1</v>
      </c>
      <c r="BD59" s="3">
        <v>1</v>
      </c>
      <c r="BE59" s="3"/>
      <c r="BF59" s="3"/>
      <c r="BG59" s="3"/>
      <c r="BH59" s="3"/>
      <c r="BI59" s="3"/>
      <c r="BJ59" s="3">
        <v>9</v>
      </c>
      <c r="BK59" s="3">
        <f t="shared" si="28"/>
        <v>4</v>
      </c>
      <c r="BL59" s="292">
        <f t="shared" si="29"/>
        <v>0.44444444444444442</v>
      </c>
      <c r="BM59" s="295"/>
      <c r="BN59" s="295"/>
      <c r="BO59" s="295"/>
      <c r="BP59" s="295"/>
      <c r="BQ59" s="295"/>
      <c r="BR59" s="320" t="str">
        <f t="shared" si="33"/>
        <v>Falta arte final de la caja por parte de Incitrus</v>
      </c>
      <c r="BS59" s="278"/>
      <c r="BT59" s="278" t="s">
        <v>397</v>
      </c>
      <c r="CJ59" s="278"/>
      <c r="CK59" s="278"/>
      <c r="CL59" s="278"/>
      <c r="CM59" s="278"/>
      <c r="CN59" s="278"/>
      <c r="CO59" s="278"/>
      <c r="CP59" s="268"/>
      <c r="CQ59" s="268"/>
      <c r="CR59" s="267"/>
      <c r="CS59" s="267"/>
      <c r="CT59" s="267"/>
      <c r="CU59" s="267"/>
      <c r="CV59" s="267"/>
      <c r="CW59" s="267"/>
      <c r="CX59" s="267"/>
      <c r="CY59" s="267"/>
      <c r="CZ59" s="267"/>
      <c r="DA59" s="267"/>
    </row>
    <row r="60" spans="1:105" ht="409.6">
      <c r="A60" s="16">
        <v>48</v>
      </c>
      <c r="B60" s="17">
        <v>46248</v>
      </c>
      <c r="C60" s="17" t="s">
        <v>277</v>
      </c>
      <c r="D60" s="17" t="s">
        <v>77</v>
      </c>
      <c r="E60" s="18">
        <v>7502327991328</v>
      </c>
      <c r="F60" s="16" t="s">
        <v>433</v>
      </c>
      <c r="G60" s="19" t="s">
        <v>434</v>
      </c>
      <c r="H60" s="20" t="s">
        <v>60</v>
      </c>
      <c r="I60" s="16" t="s">
        <v>429</v>
      </c>
      <c r="J60" s="19" t="s">
        <v>249</v>
      </c>
      <c r="K60" s="19" t="s">
        <v>281</v>
      </c>
      <c r="L60" s="16">
        <v>1</v>
      </c>
      <c r="M60" s="21" t="s">
        <v>282</v>
      </c>
      <c r="N60" s="37" t="s">
        <v>435</v>
      </c>
      <c r="O60" s="16" t="s">
        <v>284</v>
      </c>
      <c r="P60" s="348" t="s">
        <v>431</v>
      </c>
      <c r="Q60" s="23" t="s">
        <v>64</v>
      </c>
      <c r="R60" s="23">
        <v>10000</v>
      </c>
      <c r="S60" s="24" t="e">
        <f>+P60*18.5</f>
        <v>#VALUE!</v>
      </c>
      <c r="T60" s="24" t="e">
        <f t="shared" si="31"/>
        <v>#VALUE!</v>
      </c>
      <c r="U60" s="24" t="e">
        <f>(S60+T60)*0.117</f>
        <v>#VALUE!</v>
      </c>
      <c r="V60" s="25" t="e">
        <f t="shared" si="18"/>
        <v>#VALUE!</v>
      </c>
      <c r="W60" s="34">
        <v>139</v>
      </c>
      <c r="X60" s="24">
        <f t="shared" si="19"/>
        <v>119.82758620689656</v>
      </c>
      <c r="Y60" s="24">
        <f t="shared" si="20"/>
        <v>71.896551724137936</v>
      </c>
      <c r="Z60" s="27" t="e">
        <f t="shared" si="21"/>
        <v>#VALUE!</v>
      </c>
      <c r="AA60" s="27" t="e">
        <f t="shared" si="22"/>
        <v>#VALUE!</v>
      </c>
      <c r="AB60" s="28">
        <f t="shared" si="23"/>
        <v>0.4</v>
      </c>
      <c r="AC60" s="29" t="s">
        <v>287</v>
      </c>
      <c r="AD60" s="16"/>
      <c r="AE60" s="19">
        <v>6</v>
      </c>
      <c r="AF60" s="19">
        <v>144</v>
      </c>
      <c r="AG60" s="36" t="s">
        <v>323</v>
      </c>
      <c r="AH60" s="467">
        <v>46315</v>
      </c>
      <c r="AI60" s="274"/>
      <c r="AJ60" s="274"/>
      <c r="AL60" s="31" t="s">
        <v>432</v>
      </c>
      <c r="AM60" s="31" t="e">
        <f t="shared" si="24"/>
        <v>#VALUE!</v>
      </c>
      <c r="AN60" s="32" t="e">
        <f t="shared" si="25"/>
        <v>#VALUE!</v>
      </c>
      <c r="AO60" s="32" t="e">
        <f t="shared" si="26"/>
        <v>#VALUE!</v>
      </c>
      <c r="AP60" s="33" t="e">
        <f t="shared" si="27"/>
        <v>#VALUE!</v>
      </c>
      <c r="BA60" s="3">
        <v>1</v>
      </c>
      <c r="BB60" s="3">
        <v>1</v>
      </c>
      <c r="BC60" s="3">
        <v>1</v>
      </c>
      <c r="BD60" s="3">
        <v>1</v>
      </c>
      <c r="BE60" s="3"/>
      <c r="BF60" s="3"/>
      <c r="BG60" s="3"/>
      <c r="BH60" s="3"/>
      <c r="BI60" s="3"/>
      <c r="BJ60" s="3">
        <v>9</v>
      </c>
      <c r="BK60" s="3">
        <f t="shared" si="28"/>
        <v>4</v>
      </c>
      <c r="BL60" s="292">
        <f t="shared" si="29"/>
        <v>0.44444444444444442</v>
      </c>
      <c r="BM60" s="295"/>
      <c r="BN60" s="295"/>
      <c r="BO60" s="295"/>
      <c r="BP60" s="295"/>
      <c r="BQ60" s="295"/>
      <c r="BR60" s="320" t="str">
        <f t="shared" si="33"/>
        <v>Falta arte final de la caja por parte de Incitrus</v>
      </c>
      <c r="BS60" s="278"/>
      <c r="BT60" s="278" t="s">
        <v>150</v>
      </c>
      <c r="CJ60" s="278"/>
      <c r="CK60" s="278"/>
      <c r="CL60" s="278"/>
      <c r="CM60" s="278"/>
      <c r="CN60" s="278"/>
      <c r="CO60" s="278"/>
      <c r="CP60" s="268"/>
      <c r="CQ60" s="268"/>
      <c r="CR60" s="267"/>
      <c r="CS60" s="267"/>
      <c r="CT60" s="267"/>
      <c r="CU60" s="267"/>
      <c r="CV60" s="267"/>
      <c r="CW60" s="267"/>
      <c r="CX60" s="267"/>
      <c r="CY60" s="267"/>
      <c r="CZ60" s="267"/>
      <c r="DA60" s="267"/>
    </row>
    <row r="61" spans="1:105" ht="34.5">
      <c r="A61" s="16">
        <v>49</v>
      </c>
      <c r="B61" s="17">
        <v>46248</v>
      </c>
      <c r="C61" s="17" t="s">
        <v>277</v>
      </c>
      <c r="D61" s="17" t="s">
        <v>77</v>
      </c>
      <c r="E61" s="18">
        <v>7502327991335</v>
      </c>
      <c r="F61" s="16" t="s">
        <v>436</v>
      </c>
      <c r="G61" s="19" t="s">
        <v>437</v>
      </c>
      <c r="H61" s="20" t="s">
        <v>60</v>
      </c>
      <c r="I61" s="16" t="s">
        <v>429</v>
      </c>
      <c r="J61" s="19" t="s">
        <v>249</v>
      </c>
      <c r="K61" s="19" t="s">
        <v>281</v>
      </c>
      <c r="L61" s="16">
        <v>1</v>
      </c>
      <c r="M61" s="21" t="s">
        <v>282</v>
      </c>
      <c r="N61" s="37" t="s">
        <v>438</v>
      </c>
      <c r="O61" s="16" t="s">
        <v>284</v>
      </c>
      <c r="P61" s="348" t="s">
        <v>431</v>
      </c>
      <c r="Q61" s="23" t="s">
        <v>64</v>
      </c>
      <c r="R61" s="23">
        <v>10000</v>
      </c>
      <c r="S61" s="24" t="e">
        <f>+P61*18.5</f>
        <v>#VALUE!</v>
      </c>
      <c r="T61" s="24" t="e">
        <f t="shared" si="31"/>
        <v>#VALUE!</v>
      </c>
      <c r="U61" s="24" t="e">
        <f>(S61+T61)*0.117</f>
        <v>#VALUE!</v>
      </c>
      <c r="V61" s="25" t="e">
        <f t="shared" si="18"/>
        <v>#VALUE!</v>
      </c>
      <c r="W61" s="34">
        <v>139</v>
      </c>
      <c r="X61" s="24">
        <f t="shared" si="19"/>
        <v>119.82758620689656</v>
      </c>
      <c r="Y61" s="24">
        <f t="shared" si="20"/>
        <v>71.896551724137936</v>
      </c>
      <c r="Z61" s="27" t="e">
        <f t="shared" si="21"/>
        <v>#VALUE!</v>
      </c>
      <c r="AA61" s="27" t="e">
        <f t="shared" si="22"/>
        <v>#VALUE!</v>
      </c>
      <c r="AB61" s="28">
        <f t="shared" si="23"/>
        <v>0.4</v>
      </c>
      <c r="AC61" s="29" t="s">
        <v>287</v>
      </c>
      <c r="AD61" s="16"/>
      <c r="AE61" s="19">
        <v>6</v>
      </c>
      <c r="AF61" s="19">
        <v>144</v>
      </c>
      <c r="AG61" s="36" t="s">
        <v>323</v>
      </c>
      <c r="AH61" s="16"/>
      <c r="AI61" s="274"/>
      <c r="AJ61" s="274"/>
      <c r="AL61" s="31" t="s">
        <v>432</v>
      </c>
      <c r="AM61" s="31" t="e">
        <f t="shared" si="24"/>
        <v>#VALUE!</v>
      </c>
      <c r="AN61" s="32" t="e">
        <f t="shared" si="25"/>
        <v>#VALUE!</v>
      </c>
      <c r="AO61" s="32" t="e">
        <f t="shared" si="26"/>
        <v>#VALUE!</v>
      </c>
      <c r="AP61" s="33" t="e">
        <f t="shared" si="27"/>
        <v>#VALUE!</v>
      </c>
      <c r="BA61" s="3">
        <v>1</v>
      </c>
      <c r="BB61" s="3">
        <v>1</v>
      </c>
      <c r="BC61" s="3">
        <v>1</v>
      </c>
      <c r="BD61" s="3">
        <v>1</v>
      </c>
      <c r="BE61" s="3"/>
      <c r="BF61" s="3"/>
      <c r="BG61" s="3"/>
      <c r="BH61" s="3"/>
      <c r="BI61" s="3"/>
      <c r="BJ61" s="3">
        <v>9</v>
      </c>
      <c r="BK61" s="3">
        <f t="shared" si="28"/>
        <v>4</v>
      </c>
      <c r="BL61" s="292">
        <f t="shared" si="29"/>
        <v>0.44444444444444442</v>
      </c>
      <c r="BM61" s="295"/>
      <c r="BN61" s="295"/>
      <c r="BO61" s="295"/>
      <c r="BP61" s="295"/>
      <c r="BQ61" s="295"/>
      <c r="BR61" s="320" t="str">
        <f t="shared" si="33"/>
        <v>Falta arte final de la caja por parte de Incitrus</v>
      </c>
      <c r="BS61" s="278"/>
      <c r="BT61" s="278" t="s">
        <v>150</v>
      </c>
      <c r="CJ61" s="278"/>
      <c r="CK61" s="278"/>
      <c r="CL61" s="278"/>
      <c r="CM61" s="278"/>
      <c r="CN61" s="278"/>
      <c r="CO61" s="278"/>
      <c r="CP61" s="268"/>
      <c r="CQ61" s="268"/>
      <c r="CR61" s="267"/>
      <c r="CS61" s="267"/>
      <c r="CT61" s="267"/>
      <c r="CU61" s="267"/>
      <c r="CV61" s="267"/>
      <c r="CW61" s="267"/>
      <c r="CX61" s="267"/>
      <c r="CY61" s="267"/>
      <c r="CZ61" s="267"/>
      <c r="DA61" s="267"/>
    </row>
    <row r="62" spans="1:105" ht="409.6">
      <c r="A62" s="16">
        <v>50</v>
      </c>
      <c r="B62" s="17">
        <v>46248</v>
      </c>
      <c r="C62" s="17" t="s">
        <v>277</v>
      </c>
      <c r="D62" s="17" t="s">
        <v>77</v>
      </c>
      <c r="E62" s="18">
        <v>7502327991342</v>
      </c>
      <c r="F62" s="16" t="s">
        <v>439</v>
      </c>
      <c r="G62" s="19" t="s">
        <v>440</v>
      </c>
      <c r="H62" s="20" t="s">
        <v>60</v>
      </c>
      <c r="I62" s="16" t="s">
        <v>429</v>
      </c>
      <c r="J62" s="19" t="s">
        <v>249</v>
      </c>
      <c r="K62" s="19" t="s">
        <v>281</v>
      </c>
      <c r="L62" s="16">
        <v>1</v>
      </c>
      <c r="M62" s="21" t="s">
        <v>282</v>
      </c>
      <c r="N62" s="37" t="s">
        <v>441</v>
      </c>
      <c r="O62" s="16" t="s">
        <v>284</v>
      </c>
      <c r="P62" s="348" t="s">
        <v>431</v>
      </c>
      <c r="Q62" s="23" t="s">
        <v>64</v>
      </c>
      <c r="R62" s="23">
        <v>10000</v>
      </c>
      <c r="S62" s="24" t="e">
        <f>+P62*18.5</f>
        <v>#VALUE!</v>
      </c>
      <c r="T62" s="24" t="e">
        <f t="shared" si="31"/>
        <v>#VALUE!</v>
      </c>
      <c r="U62" s="24" t="e">
        <f>(S62+T62)*0.117</f>
        <v>#VALUE!</v>
      </c>
      <c r="V62" s="25" t="e">
        <f t="shared" si="18"/>
        <v>#VALUE!</v>
      </c>
      <c r="W62" s="34">
        <v>139</v>
      </c>
      <c r="X62" s="24">
        <f t="shared" si="19"/>
        <v>119.82758620689656</v>
      </c>
      <c r="Y62" s="24">
        <f t="shared" si="20"/>
        <v>71.896551724137936</v>
      </c>
      <c r="Z62" s="27" t="e">
        <f t="shared" si="21"/>
        <v>#VALUE!</v>
      </c>
      <c r="AA62" s="27" t="e">
        <f t="shared" si="22"/>
        <v>#VALUE!</v>
      </c>
      <c r="AB62" s="28">
        <f t="shared" si="23"/>
        <v>0.4</v>
      </c>
      <c r="AC62" s="29" t="s">
        <v>287</v>
      </c>
      <c r="AD62" s="16"/>
      <c r="AE62" s="19">
        <v>6</v>
      </c>
      <c r="AF62" s="19">
        <v>144</v>
      </c>
      <c r="AG62" s="36" t="s">
        <v>323</v>
      </c>
      <c r="AH62" s="467">
        <v>46315</v>
      </c>
      <c r="AI62" s="274"/>
      <c r="AJ62" s="274"/>
      <c r="AL62" s="31" t="s">
        <v>432</v>
      </c>
      <c r="AM62" s="31" t="e">
        <f t="shared" si="24"/>
        <v>#VALUE!</v>
      </c>
      <c r="AN62" s="32" t="e">
        <f t="shared" si="25"/>
        <v>#VALUE!</v>
      </c>
      <c r="AO62" s="32" t="e">
        <f t="shared" si="26"/>
        <v>#VALUE!</v>
      </c>
      <c r="AP62" s="33" t="e">
        <f t="shared" si="27"/>
        <v>#VALUE!</v>
      </c>
      <c r="BA62" s="3">
        <v>1</v>
      </c>
      <c r="BB62" s="3">
        <v>1</v>
      </c>
      <c r="BC62" s="3">
        <v>1</v>
      </c>
      <c r="BD62" s="3">
        <v>1</v>
      </c>
      <c r="BE62" s="3"/>
      <c r="BF62" s="3"/>
      <c r="BG62" s="3"/>
      <c r="BH62" s="3"/>
      <c r="BI62" s="3"/>
      <c r="BJ62" s="3">
        <v>9</v>
      </c>
      <c r="BK62" s="3">
        <f t="shared" si="28"/>
        <v>4</v>
      </c>
      <c r="BL62" s="292">
        <f t="shared" si="29"/>
        <v>0.44444444444444442</v>
      </c>
      <c r="BM62" s="295"/>
      <c r="BN62" s="295"/>
      <c r="BO62" s="295"/>
      <c r="BP62" s="295"/>
      <c r="BQ62" s="295"/>
      <c r="BR62" s="320" t="str">
        <f t="shared" si="33"/>
        <v>Falta arte final de la caja por parte de Incitrus</v>
      </c>
      <c r="BS62" s="278"/>
      <c r="BT62" s="278" t="s">
        <v>150</v>
      </c>
      <c r="CJ62" s="278"/>
      <c r="CK62" s="278"/>
      <c r="CL62" s="278"/>
      <c r="CM62" s="278"/>
      <c r="CN62" s="278"/>
      <c r="CO62" s="278"/>
      <c r="CP62" s="268"/>
      <c r="CQ62" s="268"/>
      <c r="CR62" s="267"/>
      <c r="CS62" s="267"/>
      <c r="CT62" s="267"/>
      <c r="CU62" s="267"/>
      <c r="CV62" s="267"/>
      <c r="CW62" s="267"/>
      <c r="CX62" s="267"/>
      <c r="CY62" s="267"/>
      <c r="CZ62" s="267"/>
      <c r="DA62" s="267"/>
    </row>
    <row r="63" spans="1:105" ht="409.6">
      <c r="A63" s="16">
        <v>51</v>
      </c>
      <c r="B63" s="17">
        <v>46248</v>
      </c>
      <c r="C63" s="17" t="s">
        <v>277</v>
      </c>
      <c r="D63" s="17" t="s">
        <v>77</v>
      </c>
      <c r="E63" s="18">
        <v>7502327991359</v>
      </c>
      <c r="F63" s="16" t="s">
        <v>442</v>
      </c>
      <c r="G63" s="19" t="s">
        <v>443</v>
      </c>
      <c r="H63" s="20"/>
      <c r="I63" s="16" t="s">
        <v>429</v>
      </c>
      <c r="J63" s="19" t="s">
        <v>249</v>
      </c>
      <c r="K63" s="19" t="s">
        <v>281</v>
      </c>
      <c r="L63" s="16">
        <v>1</v>
      </c>
      <c r="M63" s="21" t="s">
        <v>282</v>
      </c>
      <c r="N63" s="37" t="s">
        <v>444</v>
      </c>
      <c r="O63" s="16" t="s">
        <v>284</v>
      </c>
      <c r="P63" s="348" t="s">
        <v>431</v>
      </c>
      <c r="Q63" s="23" t="s">
        <v>64</v>
      </c>
      <c r="R63" s="23">
        <v>10000</v>
      </c>
      <c r="S63" s="24" t="e">
        <f>+P63*18.5</f>
        <v>#VALUE!</v>
      </c>
      <c r="T63" s="24" t="e">
        <f t="shared" si="31"/>
        <v>#VALUE!</v>
      </c>
      <c r="U63" s="24" t="e">
        <f>(S63+T63)*0.117</f>
        <v>#VALUE!</v>
      </c>
      <c r="V63" s="25" t="e">
        <f t="shared" si="18"/>
        <v>#VALUE!</v>
      </c>
      <c r="W63" s="34">
        <v>139</v>
      </c>
      <c r="X63" s="24">
        <f t="shared" si="19"/>
        <v>119.82758620689656</v>
      </c>
      <c r="Y63" s="24">
        <f t="shared" si="20"/>
        <v>71.896551724137936</v>
      </c>
      <c r="Z63" s="27" t="e">
        <f t="shared" si="21"/>
        <v>#VALUE!</v>
      </c>
      <c r="AA63" s="27" t="e">
        <f t="shared" si="22"/>
        <v>#VALUE!</v>
      </c>
      <c r="AB63" s="28">
        <f t="shared" si="23"/>
        <v>0.4</v>
      </c>
      <c r="AC63" s="29" t="s">
        <v>287</v>
      </c>
      <c r="AD63" s="16"/>
      <c r="AE63" s="19">
        <v>6</v>
      </c>
      <c r="AF63" s="19">
        <v>144</v>
      </c>
      <c r="AG63" s="36" t="s">
        <v>323</v>
      </c>
      <c r="AH63" s="467">
        <v>46315</v>
      </c>
      <c r="AI63" s="274"/>
      <c r="AJ63" s="274"/>
      <c r="AL63" s="31" t="s">
        <v>432</v>
      </c>
      <c r="AM63" s="31" t="e">
        <f t="shared" si="24"/>
        <v>#VALUE!</v>
      </c>
      <c r="AN63" s="32" t="e">
        <f t="shared" ca="1" si="25"/>
        <v>#VALUE!</v>
      </c>
      <c r="AO63" s="32" t="e">
        <f t="shared" ca="1" si="26"/>
        <v>#VALUE!</v>
      </c>
      <c r="AP63" s="33" t="e">
        <f t="shared" si="27"/>
        <v>#VALUE!</v>
      </c>
      <c r="BA63" s="3">
        <v>1</v>
      </c>
      <c r="BB63" s="3">
        <v>1</v>
      </c>
      <c r="BC63" s="3">
        <v>1</v>
      </c>
      <c r="BD63" s="3">
        <v>1</v>
      </c>
      <c r="BE63" s="3"/>
      <c r="BF63" s="3"/>
      <c r="BG63" s="3"/>
      <c r="BH63" s="3"/>
      <c r="BI63" s="3"/>
      <c r="BJ63" s="3">
        <v>9</v>
      </c>
      <c r="BK63" s="3">
        <f t="shared" si="28"/>
        <v>4</v>
      </c>
      <c r="BL63" s="292">
        <f t="shared" si="29"/>
        <v>0.44444444444444442</v>
      </c>
      <c r="BM63" s="295"/>
      <c r="BN63" s="295"/>
      <c r="BO63" s="295"/>
      <c r="BP63" s="295"/>
      <c r="BQ63" s="295"/>
      <c r="BR63" s="320" t="str">
        <f t="shared" si="33"/>
        <v>Falta arte final de la caja por parte de Incitrus</v>
      </c>
      <c r="BS63" s="278"/>
      <c r="BT63" s="278" t="s">
        <v>150</v>
      </c>
      <c r="CJ63" s="278"/>
      <c r="CK63" s="278"/>
      <c r="CL63" s="278"/>
      <c r="CM63" s="278"/>
      <c r="CN63" s="278"/>
      <c r="CO63" s="278"/>
      <c r="CP63" s="268"/>
      <c r="CQ63" s="268"/>
      <c r="CR63" s="267"/>
      <c r="CS63" s="267"/>
      <c r="CT63" s="267"/>
      <c r="CU63" s="267"/>
      <c r="CV63" s="267"/>
      <c r="CW63" s="267"/>
      <c r="CX63" s="267"/>
      <c r="CY63" s="267"/>
      <c r="CZ63" s="267"/>
      <c r="DA63" s="267"/>
    </row>
    <row r="64" spans="1:105" ht="409.6">
      <c r="A64" s="16">
        <v>52</v>
      </c>
      <c r="B64" s="17">
        <v>46248</v>
      </c>
      <c r="C64" s="17" t="s">
        <v>277</v>
      </c>
      <c r="D64" s="17" t="s">
        <v>77</v>
      </c>
      <c r="E64" s="18">
        <v>7502327991366</v>
      </c>
      <c r="F64" s="16" t="s">
        <v>445</v>
      </c>
      <c r="G64" s="19" t="s">
        <v>446</v>
      </c>
      <c r="H64" s="20" t="s">
        <v>60</v>
      </c>
      <c r="I64" s="16" t="s">
        <v>147</v>
      </c>
      <c r="J64" s="19" t="s">
        <v>249</v>
      </c>
      <c r="K64" s="19" t="s">
        <v>281</v>
      </c>
      <c r="L64" s="16">
        <v>1</v>
      </c>
      <c r="M64" s="42" t="s">
        <v>282</v>
      </c>
      <c r="N64" s="37" t="s">
        <v>447</v>
      </c>
      <c r="O64" s="16" t="s">
        <v>284</v>
      </c>
      <c r="P64" s="348" t="s">
        <v>431</v>
      </c>
      <c r="Q64" s="23" t="s">
        <v>286</v>
      </c>
      <c r="R64" s="23">
        <v>10000</v>
      </c>
      <c r="S64" s="24" t="e">
        <f t="shared" ref="S64:S78" ca="1" si="34">+P64*$T$25</f>
        <v>#VALUE!</v>
      </c>
      <c r="T64" s="24" t="e">
        <f t="shared" ca="1" si="31"/>
        <v>#VALUE!</v>
      </c>
      <c r="U64" s="24" t="e">
        <f ca="1">(S64+T64)*0.0323</f>
        <v>#VALUE!</v>
      </c>
      <c r="V64" s="25" t="e">
        <f t="shared" ca="1" si="18"/>
        <v>#VALUE!</v>
      </c>
      <c r="W64" s="34">
        <v>149</v>
      </c>
      <c r="X64" s="24">
        <f t="shared" si="19"/>
        <v>128.44827586206898</v>
      </c>
      <c r="Y64" s="24">
        <f t="shared" si="20"/>
        <v>77.068965517241381</v>
      </c>
      <c r="Z64" s="27" t="e">
        <f t="shared" ca="1" si="21"/>
        <v>#VALUE!</v>
      </c>
      <c r="AA64" s="27" t="e">
        <f t="shared" ca="1" si="22"/>
        <v>#VALUE!</v>
      </c>
      <c r="AB64" s="28">
        <f t="shared" si="23"/>
        <v>0.4</v>
      </c>
      <c r="AC64" s="29" t="s">
        <v>287</v>
      </c>
      <c r="AD64" s="16"/>
      <c r="AE64" s="19">
        <v>6</v>
      </c>
      <c r="AF64" s="19">
        <v>144</v>
      </c>
      <c r="AG64" s="36" t="s">
        <v>330</v>
      </c>
      <c r="AH64" s="467">
        <v>46315</v>
      </c>
      <c r="AI64" s="274"/>
      <c r="AJ64" s="274"/>
      <c r="AL64" s="31">
        <v>96.85</v>
      </c>
      <c r="AM64" s="31">
        <f t="shared" si="24"/>
        <v>83.491379310344826</v>
      </c>
      <c r="AN64" s="32" t="e">
        <f t="shared" ca="1" si="25"/>
        <v>#VALUE!</v>
      </c>
      <c r="AO64" s="32" t="e">
        <f t="shared" ca="1" si="26"/>
        <v>#VALUE!</v>
      </c>
      <c r="AP64" s="33">
        <f t="shared" si="27"/>
        <v>0</v>
      </c>
      <c r="BA64" s="3">
        <v>1</v>
      </c>
      <c r="BB64" s="3">
        <v>1</v>
      </c>
      <c r="BC64" s="3">
        <v>1</v>
      </c>
      <c r="BD64" s="3">
        <v>1</v>
      </c>
      <c r="BE64" s="3"/>
      <c r="BF64" s="3"/>
      <c r="BG64" s="3"/>
      <c r="BH64" s="3"/>
      <c r="BI64" s="3"/>
      <c r="BJ64" s="3">
        <v>9</v>
      </c>
      <c r="BK64" s="3">
        <f t="shared" si="28"/>
        <v>4</v>
      </c>
      <c r="BL64" s="292">
        <f t="shared" si="29"/>
        <v>0.44444444444444442</v>
      </c>
      <c r="BM64" s="295"/>
      <c r="BN64" s="295"/>
      <c r="BO64" s="295"/>
      <c r="BP64" s="295"/>
      <c r="BQ64" s="295"/>
      <c r="BR64" s="320" t="str">
        <f t="shared" si="33"/>
        <v>Falta arte final de la caja. En espera suaje por parte de Daniel</v>
      </c>
      <c r="BS64" s="278"/>
      <c r="BT64" s="278" t="s">
        <v>150</v>
      </c>
      <c r="CJ64" s="278"/>
      <c r="CK64" s="278"/>
      <c r="CL64" s="278"/>
      <c r="CM64" s="278"/>
      <c r="CN64" s="278"/>
      <c r="CO64" s="278"/>
      <c r="CP64" s="268"/>
      <c r="CQ64" s="268"/>
      <c r="CR64" s="267"/>
      <c r="CS64" s="267"/>
      <c r="CT64" s="267"/>
      <c r="CU64" s="267"/>
      <c r="CV64" s="267"/>
      <c r="CW64" s="267"/>
      <c r="CX64" s="267"/>
      <c r="CY64" s="267"/>
      <c r="CZ64" s="267"/>
      <c r="DA64" s="267"/>
    </row>
    <row r="65" spans="1:105" ht="409.6">
      <c r="A65" s="16">
        <v>53</v>
      </c>
      <c r="B65" s="17">
        <v>46248</v>
      </c>
      <c r="C65" s="17" t="s">
        <v>277</v>
      </c>
      <c r="D65" s="17" t="s">
        <v>77</v>
      </c>
      <c r="E65" s="18">
        <v>7502327991373</v>
      </c>
      <c r="F65" s="16" t="s">
        <v>448</v>
      </c>
      <c r="G65" s="19" t="s">
        <v>449</v>
      </c>
      <c r="H65" s="20" t="s">
        <v>60</v>
      </c>
      <c r="I65" s="16" t="s">
        <v>147</v>
      </c>
      <c r="J65" s="19" t="s">
        <v>249</v>
      </c>
      <c r="K65" s="19" t="s">
        <v>281</v>
      </c>
      <c r="L65" s="16">
        <v>1</v>
      </c>
      <c r="M65" s="42" t="s">
        <v>282</v>
      </c>
      <c r="N65" s="37" t="s">
        <v>450</v>
      </c>
      <c r="O65" s="16" t="s">
        <v>284</v>
      </c>
      <c r="P65" s="348" t="s">
        <v>431</v>
      </c>
      <c r="Q65" s="23" t="s">
        <v>286</v>
      </c>
      <c r="R65" s="23">
        <v>10000</v>
      </c>
      <c r="S65" s="24" t="e">
        <f t="shared" ca="1" si="34"/>
        <v>#VALUE!</v>
      </c>
      <c r="T65" s="24" t="e">
        <f t="shared" ca="1" si="31"/>
        <v>#VALUE!</v>
      </c>
      <c r="U65" s="24" t="e">
        <f ca="1">(S65+T65)*0.0323</f>
        <v>#VALUE!</v>
      </c>
      <c r="V65" s="25" t="e">
        <f t="shared" ca="1" si="18"/>
        <v>#VALUE!</v>
      </c>
      <c r="W65" s="34">
        <v>149</v>
      </c>
      <c r="X65" s="24">
        <f t="shared" si="19"/>
        <v>128.44827586206898</v>
      </c>
      <c r="Y65" s="24">
        <f t="shared" si="20"/>
        <v>77.068965517241381</v>
      </c>
      <c r="Z65" s="27" t="e">
        <f t="shared" ca="1" si="21"/>
        <v>#VALUE!</v>
      </c>
      <c r="AA65" s="27" t="e">
        <f t="shared" ca="1" si="22"/>
        <v>#VALUE!</v>
      </c>
      <c r="AB65" s="28">
        <f t="shared" si="23"/>
        <v>0.4</v>
      </c>
      <c r="AC65" s="29" t="s">
        <v>287</v>
      </c>
      <c r="AD65" s="16"/>
      <c r="AE65" s="19">
        <v>6</v>
      </c>
      <c r="AF65" s="19">
        <v>144</v>
      </c>
      <c r="AG65" s="36" t="s">
        <v>330</v>
      </c>
      <c r="AH65" s="467">
        <v>46315</v>
      </c>
      <c r="AI65" s="274"/>
      <c r="AJ65" s="274"/>
      <c r="AL65" s="31">
        <v>96.85</v>
      </c>
      <c r="AM65" s="31">
        <f t="shared" si="24"/>
        <v>83.491379310344826</v>
      </c>
      <c r="AN65" s="32" t="e">
        <f t="shared" ca="1" si="25"/>
        <v>#VALUE!</v>
      </c>
      <c r="AO65" s="32" t="e">
        <f t="shared" ca="1" si="26"/>
        <v>#VALUE!</v>
      </c>
      <c r="AP65" s="33">
        <f t="shared" si="27"/>
        <v>0</v>
      </c>
      <c r="BA65" s="3">
        <v>1</v>
      </c>
      <c r="BB65" s="3">
        <v>1</v>
      </c>
      <c r="BC65" s="3">
        <v>1</v>
      </c>
      <c r="BD65" s="3">
        <v>1</v>
      </c>
      <c r="BE65" s="3"/>
      <c r="BF65" s="3"/>
      <c r="BG65" s="3"/>
      <c r="BH65" s="3"/>
      <c r="BI65" s="3"/>
      <c r="BJ65" s="3">
        <v>9</v>
      </c>
      <c r="BK65" s="3">
        <f t="shared" si="28"/>
        <v>4</v>
      </c>
      <c r="BL65" s="292">
        <f t="shared" si="29"/>
        <v>0.44444444444444442</v>
      </c>
      <c r="BM65" s="295"/>
      <c r="BN65" s="295"/>
      <c r="BO65" s="295"/>
      <c r="BP65" s="295"/>
      <c r="BQ65" s="295"/>
      <c r="BR65" s="320" t="str">
        <f t="shared" si="33"/>
        <v>Falta arte final de la caja. En espera suaje por parte de Daniel</v>
      </c>
      <c r="BS65" s="278"/>
      <c r="BT65" s="278" t="s">
        <v>150</v>
      </c>
      <c r="CJ65" s="278"/>
      <c r="CK65" s="278"/>
      <c r="CL65" s="278"/>
      <c r="CM65" s="278"/>
      <c r="CN65" s="278"/>
      <c r="CO65" s="278"/>
      <c r="CP65" s="268"/>
      <c r="CQ65" s="268"/>
      <c r="CR65" s="267"/>
      <c r="CS65" s="267"/>
      <c r="CT65" s="267"/>
      <c r="CU65" s="267"/>
      <c r="CV65" s="267"/>
      <c r="CW65" s="267"/>
      <c r="CX65" s="267"/>
      <c r="CY65" s="267"/>
      <c r="CZ65" s="267"/>
      <c r="DA65" s="267"/>
    </row>
    <row r="66" spans="1:105" ht="409.6">
      <c r="A66" s="16">
        <v>54</v>
      </c>
      <c r="B66" s="17">
        <v>46248</v>
      </c>
      <c r="C66" s="17" t="s">
        <v>277</v>
      </c>
      <c r="D66" s="17" t="s">
        <v>77</v>
      </c>
      <c r="E66" s="18">
        <v>7502327991380</v>
      </c>
      <c r="F66" s="16" t="s">
        <v>451</v>
      </c>
      <c r="G66" s="19" t="s">
        <v>452</v>
      </c>
      <c r="H66" s="20" t="s">
        <v>60</v>
      </c>
      <c r="I66" s="16" t="s">
        <v>147</v>
      </c>
      <c r="J66" s="19" t="s">
        <v>249</v>
      </c>
      <c r="K66" s="19" t="s">
        <v>281</v>
      </c>
      <c r="L66" s="16">
        <v>1</v>
      </c>
      <c r="M66" s="42" t="s">
        <v>282</v>
      </c>
      <c r="N66" s="37" t="s">
        <v>453</v>
      </c>
      <c r="O66" s="16" t="s">
        <v>284</v>
      </c>
      <c r="P66" s="348" t="s">
        <v>431</v>
      </c>
      <c r="Q66" s="23" t="s">
        <v>286</v>
      </c>
      <c r="R66" s="23">
        <v>10000</v>
      </c>
      <c r="S66" s="24" t="e">
        <f t="shared" ca="1" si="34"/>
        <v>#VALUE!</v>
      </c>
      <c r="T66" s="24" t="e">
        <f t="shared" ca="1" si="31"/>
        <v>#VALUE!</v>
      </c>
      <c r="U66" s="24" t="e">
        <f ca="1">(S66+T66)*0.0323</f>
        <v>#VALUE!</v>
      </c>
      <c r="V66" s="25" t="e">
        <f t="shared" ca="1" si="18"/>
        <v>#VALUE!</v>
      </c>
      <c r="W66" s="34">
        <v>149</v>
      </c>
      <c r="X66" s="24">
        <f t="shared" si="19"/>
        <v>128.44827586206898</v>
      </c>
      <c r="Y66" s="24">
        <f t="shared" si="20"/>
        <v>77.068965517241381</v>
      </c>
      <c r="Z66" s="27" t="e">
        <f t="shared" ca="1" si="21"/>
        <v>#VALUE!</v>
      </c>
      <c r="AA66" s="27" t="e">
        <f t="shared" ca="1" si="22"/>
        <v>#VALUE!</v>
      </c>
      <c r="AB66" s="28">
        <f t="shared" si="23"/>
        <v>0.4</v>
      </c>
      <c r="AC66" s="29" t="s">
        <v>287</v>
      </c>
      <c r="AD66" s="16"/>
      <c r="AE66" s="19">
        <v>6</v>
      </c>
      <c r="AF66" s="19">
        <v>144</v>
      </c>
      <c r="AG66" s="36" t="s">
        <v>330</v>
      </c>
      <c r="AH66" s="467">
        <v>46315</v>
      </c>
      <c r="AI66" s="274"/>
      <c r="AJ66" s="274"/>
      <c r="AL66" s="31">
        <v>96.85</v>
      </c>
      <c r="AM66" s="31">
        <f t="shared" si="24"/>
        <v>83.491379310344826</v>
      </c>
      <c r="AN66" s="32" t="e">
        <f t="shared" ca="1" si="25"/>
        <v>#VALUE!</v>
      </c>
      <c r="AO66" s="32" t="e">
        <f t="shared" ca="1" si="26"/>
        <v>#VALUE!</v>
      </c>
      <c r="AP66" s="33">
        <f t="shared" si="27"/>
        <v>0</v>
      </c>
      <c r="BA66" s="3">
        <v>1</v>
      </c>
      <c r="BB66" s="3">
        <v>1</v>
      </c>
      <c r="BC66" s="3">
        <v>1</v>
      </c>
      <c r="BD66" s="3">
        <v>1</v>
      </c>
      <c r="BE66" s="3"/>
      <c r="BF66" s="3"/>
      <c r="BG66" s="3"/>
      <c r="BH66" s="3"/>
      <c r="BI66" s="3"/>
      <c r="BJ66" s="3">
        <v>9</v>
      </c>
      <c r="BK66" s="3">
        <f t="shared" si="28"/>
        <v>4</v>
      </c>
      <c r="BL66" s="292">
        <f t="shared" si="29"/>
        <v>0.44444444444444442</v>
      </c>
      <c r="BM66" s="295"/>
      <c r="BN66" s="295"/>
      <c r="BO66" s="295"/>
      <c r="BP66" s="295"/>
      <c r="BQ66" s="295"/>
      <c r="BR66" s="320" t="str">
        <f t="shared" si="33"/>
        <v>Falta arte final de la caja. En espera suaje por parte de Daniel</v>
      </c>
      <c r="BS66" s="278"/>
      <c r="BT66" s="278" t="s">
        <v>150</v>
      </c>
      <c r="CJ66" s="278"/>
      <c r="CK66" s="278"/>
      <c r="CL66" s="278"/>
      <c r="CM66" s="278"/>
      <c r="CN66" s="278"/>
      <c r="CO66" s="278"/>
      <c r="CP66" s="268"/>
      <c r="CQ66" s="268"/>
      <c r="CR66" s="267"/>
      <c r="CS66" s="267"/>
      <c r="CT66" s="267"/>
      <c r="CU66" s="267"/>
      <c r="CV66" s="267"/>
      <c r="CW66" s="267"/>
      <c r="CX66" s="267"/>
      <c r="CY66" s="267"/>
      <c r="CZ66" s="267"/>
      <c r="DA66" s="267"/>
    </row>
    <row r="67" spans="1:105" ht="409.6">
      <c r="A67" s="16">
        <v>55</v>
      </c>
      <c r="B67" s="17">
        <v>46248</v>
      </c>
      <c r="C67" s="17" t="s">
        <v>277</v>
      </c>
      <c r="D67" s="17" t="s">
        <v>77</v>
      </c>
      <c r="E67" s="18">
        <v>7502327991397</v>
      </c>
      <c r="F67" s="16" t="s">
        <v>454</v>
      </c>
      <c r="G67" s="19" t="s">
        <v>455</v>
      </c>
      <c r="H67" s="20" t="s">
        <v>60</v>
      </c>
      <c r="I67" s="16" t="s">
        <v>147</v>
      </c>
      <c r="J67" s="19" t="s">
        <v>249</v>
      </c>
      <c r="K67" s="19" t="s">
        <v>281</v>
      </c>
      <c r="L67" s="16">
        <v>1</v>
      </c>
      <c r="M67" s="42" t="s">
        <v>282</v>
      </c>
      <c r="N67" s="37" t="s">
        <v>456</v>
      </c>
      <c r="O67" s="16" t="s">
        <v>284</v>
      </c>
      <c r="P67" s="348" t="s">
        <v>431</v>
      </c>
      <c r="Q67" s="23" t="s">
        <v>286</v>
      </c>
      <c r="R67" s="23">
        <v>10000</v>
      </c>
      <c r="S67" s="24" t="e">
        <f t="shared" ca="1" si="34"/>
        <v>#VALUE!</v>
      </c>
      <c r="T67" s="24" t="e">
        <f t="shared" ca="1" si="31"/>
        <v>#VALUE!</v>
      </c>
      <c r="U67" s="24" t="e">
        <f ca="1">(S67+T67)*0.0323</f>
        <v>#VALUE!</v>
      </c>
      <c r="V67" s="25" t="e">
        <f t="shared" ca="1" si="18"/>
        <v>#VALUE!</v>
      </c>
      <c r="W67" s="34">
        <v>149</v>
      </c>
      <c r="X67" s="24">
        <f t="shared" si="19"/>
        <v>128.44827586206898</v>
      </c>
      <c r="Y67" s="24">
        <f t="shared" si="20"/>
        <v>77.068965517241381</v>
      </c>
      <c r="Z67" s="27" t="e">
        <f t="shared" ca="1" si="21"/>
        <v>#VALUE!</v>
      </c>
      <c r="AA67" s="27" t="e">
        <f t="shared" ca="1" si="22"/>
        <v>#VALUE!</v>
      </c>
      <c r="AB67" s="28">
        <f t="shared" si="23"/>
        <v>0.4</v>
      </c>
      <c r="AC67" s="29" t="s">
        <v>287</v>
      </c>
      <c r="AD67" s="16"/>
      <c r="AE67" s="19">
        <v>6</v>
      </c>
      <c r="AF67" s="19">
        <v>144</v>
      </c>
      <c r="AG67" s="36" t="s">
        <v>330</v>
      </c>
      <c r="AH67" s="467">
        <v>46315</v>
      </c>
      <c r="AI67" s="274"/>
      <c r="AJ67" s="274"/>
      <c r="AL67" s="31">
        <v>96.85</v>
      </c>
      <c r="AM67" s="31">
        <f t="shared" si="24"/>
        <v>83.491379310344826</v>
      </c>
      <c r="AN67" s="32" t="e">
        <f t="shared" ca="1" si="25"/>
        <v>#VALUE!</v>
      </c>
      <c r="AO67" s="32" t="e">
        <f t="shared" ca="1" si="26"/>
        <v>#VALUE!</v>
      </c>
      <c r="AP67" s="33">
        <f t="shared" si="27"/>
        <v>0</v>
      </c>
      <c r="BA67" s="3">
        <v>1</v>
      </c>
      <c r="BB67" s="3">
        <v>1</v>
      </c>
      <c r="BC67" s="3">
        <v>1</v>
      </c>
      <c r="BD67" s="3">
        <v>1</v>
      </c>
      <c r="BE67" s="3"/>
      <c r="BF67" s="3"/>
      <c r="BG67" s="3"/>
      <c r="BH67" s="3"/>
      <c r="BI67" s="3"/>
      <c r="BJ67" s="3">
        <v>9</v>
      </c>
      <c r="BK67" s="3">
        <f t="shared" si="28"/>
        <v>4</v>
      </c>
      <c r="BL67" s="292">
        <f t="shared" si="29"/>
        <v>0.44444444444444442</v>
      </c>
      <c r="BM67" s="295"/>
      <c r="BN67" s="295"/>
      <c r="BO67" s="295"/>
      <c r="BP67" s="295"/>
      <c r="BQ67" s="295"/>
      <c r="BR67" s="320" t="str">
        <f t="shared" si="33"/>
        <v>Falta arte final de la caja. En espera suaje por parte de Daniel</v>
      </c>
      <c r="BS67" s="278"/>
      <c r="BT67" s="278" t="s">
        <v>150</v>
      </c>
      <c r="CJ67" s="278"/>
      <c r="CK67" s="278"/>
      <c r="CL67" s="278"/>
      <c r="CM67" s="278"/>
      <c r="CN67" s="278"/>
      <c r="CO67" s="278"/>
      <c r="CP67" s="268"/>
      <c r="CQ67" s="268"/>
      <c r="CR67" s="267"/>
      <c r="CS67" s="267"/>
      <c r="CT67" s="267"/>
      <c r="CU67" s="267"/>
      <c r="CV67" s="267"/>
      <c r="CW67" s="267"/>
      <c r="CX67" s="267"/>
      <c r="CY67" s="267"/>
      <c r="CZ67" s="267"/>
      <c r="DA67" s="267"/>
    </row>
    <row r="68" spans="1:105" ht="409.6">
      <c r="A68" s="16">
        <v>56</v>
      </c>
      <c r="B68" s="17">
        <v>46248</v>
      </c>
      <c r="C68" s="17" t="s">
        <v>277</v>
      </c>
      <c r="D68" s="17" t="s">
        <v>77</v>
      </c>
      <c r="E68" s="18">
        <v>7502327991403</v>
      </c>
      <c r="F68" s="16" t="s">
        <v>457</v>
      </c>
      <c r="G68" s="19" t="s">
        <v>458</v>
      </c>
      <c r="H68" s="20" t="s">
        <v>60</v>
      </c>
      <c r="I68" s="41" t="s">
        <v>459</v>
      </c>
      <c r="J68" s="19" t="s">
        <v>249</v>
      </c>
      <c r="K68" s="19" t="s">
        <v>281</v>
      </c>
      <c r="L68" s="16">
        <v>1</v>
      </c>
      <c r="M68" s="21" t="s">
        <v>376</v>
      </c>
      <c r="N68" s="22" t="s">
        <v>460</v>
      </c>
      <c r="O68" s="16" t="s">
        <v>284</v>
      </c>
      <c r="P68" s="348">
        <v>3</v>
      </c>
      <c r="Q68" s="23" t="s">
        <v>286</v>
      </c>
      <c r="R68" s="23">
        <v>10000</v>
      </c>
      <c r="S68" s="24" t="e">
        <f t="shared" ca="1" si="34"/>
        <v>#VALUE!</v>
      </c>
      <c r="T68" s="24" t="e">
        <f t="shared" ca="1" si="31"/>
        <v>#VALUE!</v>
      </c>
      <c r="U68" s="24" t="e">
        <f ca="1">(S68+T68)*0.0382</f>
        <v>#VALUE!</v>
      </c>
      <c r="V68" s="25" t="e">
        <f t="shared" ca="1" si="18"/>
        <v>#VALUE!</v>
      </c>
      <c r="W68" s="34">
        <v>219</v>
      </c>
      <c r="X68" s="24">
        <f t="shared" si="19"/>
        <v>188.79310344827587</v>
      </c>
      <c r="Y68" s="24">
        <f t="shared" si="20"/>
        <v>113.27586206896552</v>
      </c>
      <c r="Z68" s="27" t="e">
        <f t="shared" ca="1" si="21"/>
        <v>#VALUE!</v>
      </c>
      <c r="AA68" s="27" t="e">
        <f t="shared" ca="1" si="22"/>
        <v>#VALUE!</v>
      </c>
      <c r="AB68" s="28">
        <f t="shared" si="23"/>
        <v>0.4</v>
      </c>
      <c r="AC68" s="29" t="s">
        <v>287</v>
      </c>
      <c r="AD68" s="16"/>
      <c r="AE68" s="19">
        <v>6</v>
      </c>
      <c r="AF68" s="19">
        <v>144</v>
      </c>
      <c r="AG68" s="36" t="s">
        <v>288</v>
      </c>
      <c r="AH68" s="467">
        <v>46315</v>
      </c>
      <c r="AI68" s="274"/>
      <c r="AJ68" s="274"/>
      <c r="AL68" s="31">
        <v>142.35</v>
      </c>
      <c r="AM68" s="31">
        <f t="shared" si="24"/>
        <v>122.71551724137932</v>
      </c>
      <c r="AN68" s="32" t="e">
        <f t="shared" ca="1" si="25"/>
        <v>#VALUE!</v>
      </c>
      <c r="AO68" s="32" t="e">
        <f t="shared" ca="1" si="26"/>
        <v>#VALUE!</v>
      </c>
      <c r="AP68" s="33">
        <f t="shared" si="27"/>
        <v>0</v>
      </c>
      <c r="BA68" s="3">
        <v>1</v>
      </c>
      <c r="BB68" s="3">
        <v>1</v>
      </c>
      <c r="BC68" s="3">
        <v>1</v>
      </c>
      <c r="BD68" s="3">
        <v>1</v>
      </c>
      <c r="BE68" s="3"/>
      <c r="BF68" s="3"/>
      <c r="BG68" s="3"/>
      <c r="BH68" s="3"/>
      <c r="BI68" s="3"/>
      <c r="BJ68" s="3">
        <v>9</v>
      </c>
      <c r="BK68" s="3">
        <f t="shared" si="28"/>
        <v>4</v>
      </c>
      <c r="BL68" s="292">
        <f t="shared" si="29"/>
        <v>0.44444444444444442</v>
      </c>
      <c r="BM68" s="295"/>
      <c r="BN68" s="295"/>
      <c r="BO68" s="295"/>
      <c r="BP68" s="295"/>
      <c r="BQ68" s="295"/>
      <c r="BR68" s="320" t="str">
        <f t="shared" si="33"/>
        <v>En revisión de dummy para autorización final</v>
      </c>
      <c r="BS68" s="278"/>
      <c r="BT68" s="278" t="s">
        <v>129</v>
      </c>
      <c r="CJ68" s="278"/>
      <c r="CK68" s="278"/>
      <c r="CL68" s="278"/>
      <c r="CM68" s="278"/>
      <c r="CN68" s="278"/>
      <c r="CO68" s="278"/>
      <c r="CP68" s="268"/>
      <c r="CQ68" s="268"/>
      <c r="CR68" s="267"/>
      <c r="CS68" s="267"/>
      <c r="CT68" s="267"/>
      <c r="CU68" s="267"/>
      <c r="CV68" s="267"/>
      <c r="CW68" s="267"/>
      <c r="CX68" s="267"/>
      <c r="CY68" s="267"/>
      <c r="CZ68" s="267"/>
      <c r="DA68" s="267"/>
    </row>
    <row r="69" spans="1:105" ht="409.6">
      <c r="A69" s="16">
        <v>57</v>
      </c>
      <c r="B69" s="17">
        <v>46248</v>
      </c>
      <c r="C69" s="17" t="s">
        <v>277</v>
      </c>
      <c r="D69" s="17" t="s">
        <v>77</v>
      </c>
      <c r="E69" s="18">
        <v>7502327991410</v>
      </c>
      <c r="F69" s="16" t="s">
        <v>461</v>
      </c>
      <c r="G69" s="19" t="s">
        <v>462</v>
      </c>
      <c r="H69" s="20" t="s">
        <v>60</v>
      </c>
      <c r="I69" s="41" t="s">
        <v>459</v>
      </c>
      <c r="J69" s="19" t="s">
        <v>249</v>
      </c>
      <c r="K69" s="19" t="s">
        <v>281</v>
      </c>
      <c r="L69" s="16">
        <v>1</v>
      </c>
      <c r="M69" s="21" t="s">
        <v>376</v>
      </c>
      <c r="N69" s="22" t="s">
        <v>460</v>
      </c>
      <c r="O69" s="16" t="s">
        <v>284</v>
      </c>
      <c r="P69" s="348">
        <v>3</v>
      </c>
      <c r="Q69" s="23" t="s">
        <v>286</v>
      </c>
      <c r="R69" s="23">
        <v>10000</v>
      </c>
      <c r="S69" s="24" t="e">
        <f t="shared" ca="1" si="34"/>
        <v>#VALUE!</v>
      </c>
      <c r="T69" s="24" t="e">
        <f t="shared" ca="1" si="31"/>
        <v>#VALUE!</v>
      </c>
      <c r="U69" s="24" t="e">
        <f ca="1">(S69+T69)*0.0382</f>
        <v>#VALUE!</v>
      </c>
      <c r="V69" s="25" t="e">
        <f t="shared" ca="1" si="18"/>
        <v>#VALUE!</v>
      </c>
      <c r="W69" s="34">
        <v>219</v>
      </c>
      <c r="X69" s="24">
        <f t="shared" si="19"/>
        <v>188.79310344827587</v>
      </c>
      <c r="Y69" s="24">
        <f t="shared" si="20"/>
        <v>113.27586206896552</v>
      </c>
      <c r="Z69" s="27" t="e">
        <f t="shared" ca="1" si="21"/>
        <v>#VALUE!</v>
      </c>
      <c r="AA69" s="27" t="e">
        <f t="shared" ca="1" si="22"/>
        <v>#VALUE!</v>
      </c>
      <c r="AB69" s="28">
        <f t="shared" si="23"/>
        <v>0.4</v>
      </c>
      <c r="AC69" s="29" t="s">
        <v>287</v>
      </c>
      <c r="AD69" s="16"/>
      <c r="AE69" s="19">
        <v>6</v>
      </c>
      <c r="AF69" s="19">
        <v>144</v>
      </c>
      <c r="AG69" s="36" t="s">
        <v>288</v>
      </c>
      <c r="AH69" s="467">
        <v>46315</v>
      </c>
      <c r="AI69" s="274"/>
      <c r="AJ69" s="274"/>
      <c r="AL69" s="31">
        <v>142.35</v>
      </c>
      <c r="AM69" s="31">
        <f t="shared" si="24"/>
        <v>122.71551724137932</v>
      </c>
      <c r="AN69" s="32" t="e">
        <f t="shared" ca="1" si="25"/>
        <v>#VALUE!</v>
      </c>
      <c r="AO69" s="32" t="e">
        <f t="shared" ca="1" si="26"/>
        <v>#VALUE!</v>
      </c>
      <c r="AP69" s="33">
        <f t="shared" si="27"/>
        <v>0</v>
      </c>
      <c r="BA69" s="3">
        <v>1</v>
      </c>
      <c r="BB69" s="3">
        <v>1</v>
      </c>
      <c r="BC69" s="3">
        <v>1</v>
      </c>
      <c r="BD69" s="3">
        <v>1</v>
      </c>
      <c r="BE69" s="3"/>
      <c r="BF69" s="3"/>
      <c r="BG69" s="3"/>
      <c r="BH69" s="3"/>
      <c r="BI69" s="3"/>
      <c r="BJ69" s="3">
        <v>9</v>
      </c>
      <c r="BK69" s="3">
        <f t="shared" si="28"/>
        <v>4</v>
      </c>
      <c r="BL69" s="292">
        <f t="shared" si="29"/>
        <v>0.44444444444444442</v>
      </c>
      <c r="BM69" s="295"/>
      <c r="BN69" s="295"/>
      <c r="BO69" s="295"/>
      <c r="BP69" s="295"/>
      <c r="BQ69" s="295"/>
      <c r="BR69" s="320" t="str">
        <f t="shared" si="33"/>
        <v>En revisión de dummy para autorización final</v>
      </c>
      <c r="BS69" s="278"/>
      <c r="BT69" s="278" t="s">
        <v>129</v>
      </c>
    </row>
    <row r="70" spans="1:105" ht="409.6">
      <c r="A70" s="16">
        <v>58</v>
      </c>
      <c r="B70" s="17">
        <v>46248</v>
      </c>
      <c r="C70" s="17" t="s">
        <v>277</v>
      </c>
      <c r="D70" s="17" t="s">
        <v>77</v>
      </c>
      <c r="E70" s="18">
        <v>7502327991427</v>
      </c>
      <c r="F70" s="16" t="s">
        <v>463</v>
      </c>
      <c r="G70" s="19" t="s">
        <v>464</v>
      </c>
      <c r="H70" s="20" t="s">
        <v>60</v>
      </c>
      <c r="I70" s="41" t="s">
        <v>459</v>
      </c>
      <c r="J70" s="19" t="s">
        <v>249</v>
      </c>
      <c r="K70" s="19" t="s">
        <v>281</v>
      </c>
      <c r="L70" s="16">
        <v>1</v>
      </c>
      <c r="M70" s="21" t="s">
        <v>376</v>
      </c>
      <c r="N70" s="22" t="s">
        <v>460</v>
      </c>
      <c r="O70" s="16" t="s">
        <v>284</v>
      </c>
      <c r="P70" s="348">
        <v>3</v>
      </c>
      <c r="Q70" s="23" t="s">
        <v>286</v>
      </c>
      <c r="R70" s="23">
        <v>10000</v>
      </c>
      <c r="S70" s="24" t="e">
        <f t="shared" ca="1" si="34"/>
        <v>#VALUE!</v>
      </c>
      <c r="T70" s="24" t="e">
        <f t="shared" ca="1" si="31"/>
        <v>#VALUE!</v>
      </c>
      <c r="U70" s="24" t="e">
        <f ca="1">(S70+T70)*0.0382</f>
        <v>#VALUE!</v>
      </c>
      <c r="V70" s="25" t="e">
        <f t="shared" ca="1" si="18"/>
        <v>#VALUE!</v>
      </c>
      <c r="W70" s="34">
        <v>219</v>
      </c>
      <c r="X70" s="24">
        <f t="shared" si="19"/>
        <v>188.79310344827587</v>
      </c>
      <c r="Y70" s="24">
        <f t="shared" si="20"/>
        <v>113.27586206896552</v>
      </c>
      <c r="Z70" s="27" t="e">
        <f t="shared" ca="1" si="21"/>
        <v>#VALUE!</v>
      </c>
      <c r="AA70" s="27" t="e">
        <f t="shared" ca="1" si="22"/>
        <v>#VALUE!</v>
      </c>
      <c r="AB70" s="28">
        <f t="shared" si="23"/>
        <v>0.4</v>
      </c>
      <c r="AC70" s="29" t="s">
        <v>287</v>
      </c>
      <c r="AD70" s="16"/>
      <c r="AE70" s="19">
        <v>6</v>
      </c>
      <c r="AF70" s="19">
        <v>144</v>
      </c>
      <c r="AG70" s="36" t="s">
        <v>288</v>
      </c>
      <c r="AH70" s="467">
        <v>46315</v>
      </c>
      <c r="AI70" s="274"/>
      <c r="AJ70" s="274"/>
      <c r="AL70" s="31">
        <v>142.35</v>
      </c>
      <c r="AM70" s="31">
        <f t="shared" si="24"/>
        <v>122.71551724137932</v>
      </c>
      <c r="AN70" s="32" t="e">
        <f t="shared" ca="1" si="25"/>
        <v>#VALUE!</v>
      </c>
      <c r="AO70" s="32" t="e">
        <f t="shared" ca="1" si="26"/>
        <v>#VALUE!</v>
      </c>
      <c r="AP70" s="33">
        <f t="shared" si="27"/>
        <v>0</v>
      </c>
      <c r="BA70" s="3">
        <v>1</v>
      </c>
      <c r="BB70" s="3">
        <v>1</v>
      </c>
      <c r="BC70" s="3">
        <v>1</v>
      </c>
      <c r="BD70" s="3">
        <v>1</v>
      </c>
      <c r="BE70" s="3"/>
      <c r="BF70" s="3"/>
      <c r="BG70" s="3"/>
      <c r="BH70" s="3"/>
      <c r="BI70" s="3"/>
      <c r="BJ70" s="3">
        <v>9</v>
      </c>
      <c r="BK70" s="3">
        <f t="shared" si="28"/>
        <v>4</v>
      </c>
      <c r="BL70" s="292">
        <f t="shared" si="29"/>
        <v>0.44444444444444442</v>
      </c>
      <c r="BM70" s="295"/>
      <c r="BN70" s="295"/>
      <c r="BO70" s="295"/>
      <c r="BP70" s="295"/>
      <c r="BQ70" s="295"/>
      <c r="BR70" s="320" t="str">
        <f t="shared" si="33"/>
        <v>En revisión de dummy para autorización final</v>
      </c>
      <c r="BS70" s="278"/>
      <c r="BT70" s="278" t="s">
        <v>129</v>
      </c>
    </row>
    <row r="71" spans="1:105" ht="409.6">
      <c r="A71" s="16">
        <v>59</v>
      </c>
      <c r="B71" s="17">
        <v>46248</v>
      </c>
      <c r="C71" s="17" t="s">
        <v>277</v>
      </c>
      <c r="D71" s="17" t="s">
        <v>77</v>
      </c>
      <c r="E71" s="18">
        <v>7502327991434</v>
      </c>
      <c r="F71" s="16" t="s">
        <v>465</v>
      </c>
      <c r="G71" s="19" t="s">
        <v>466</v>
      </c>
      <c r="H71" s="20" t="s">
        <v>60</v>
      </c>
      <c r="I71" s="41" t="s">
        <v>459</v>
      </c>
      <c r="J71" s="19" t="s">
        <v>249</v>
      </c>
      <c r="K71" s="19" t="s">
        <v>281</v>
      </c>
      <c r="L71" s="16">
        <v>1</v>
      </c>
      <c r="M71" s="21" t="s">
        <v>376</v>
      </c>
      <c r="N71" s="22" t="s">
        <v>460</v>
      </c>
      <c r="O71" s="16" t="s">
        <v>284</v>
      </c>
      <c r="P71" s="348">
        <v>3</v>
      </c>
      <c r="Q71" s="23" t="s">
        <v>286</v>
      </c>
      <c r="R71" s="23">
        <v>10000</v>
      </c>
      <c r="S71" s="24" t="e">
        <f t="shared" ca="1" si="34"/>
        <v>#VALUE!</v>
      </c>
      <c r="T71" s="24" t="e">
        <f t="shared" ca="1" si="31"/>
        <v>#VALUE!</v>
      </c>
      <c r="U71" s="24" t="e">
        <f ca="1">(S71+T71)*0.0382</f>
        <v>#VALUE!</v>
      </c>
      <c r="V71" s="25" t="e">
        <f t="shared" ca="1" si="18"/>
        <v>#VALUE!</v>
      </c>
      <c r="W71" s="34">
        <v>219</v>
      </c>
      <c r="X71" s="24">
        <f t="shared" si="19"/>
        <v>188.79310344827587</v>
      </c>
      <c r="Y71" s="24">
        <f t="shared" si="20"/>
        <v>113.27586206896552</v>
      </c>
      <c r="Z71" s="27" t="e">
        <f t="shared" ca="1" si="21"/>
        <v>#VALUE!</v>
      </c>
      <c r="AA71" s="27" t="e">
        <f t="shared" ca="1" si="22"/>
        <v>#VALUE!</v>
      </c>
      <c r="AB71" s="28">
        <f t="shared" si="23"/>
        <v>0.4</v>
      </c>
      <c r="AC71" s="29" t="s">
        <v>287</v>
      </c>
      <c r="AD71" s="16"/>
      <c r="AE71" s="19">
        <v>6</v>
      </c>
      <c r="AF71" s="19">
        <v>144</v>
      </c>
      <c r="AG71" s="36" t="s">
        <v>288</v>
      </c>
      <c r="AH71" s="467">
        <v>46315</v>
      </c>
      <c r="AI71" s="274"/>
      <c r="AJ71" s="274"/>
      <c r="AL71" s="31">
        <v>142.35</v>
      </c>
      <c r="AM71" s="31">
        <f t="shared" si="24"/>
        <v>122.71551724137932</v>
      </c>
      <c r="AN71" s="32" t="e">
        <f t="shared" ca="1" si="25"/>
        <v>#VALUE!</v>
      </c>
      <c r="AO71" s="32" t="e">
        <f t="shared" ca="1" si="26"/>
        <v>#VALUE!</v>
      </c>
      <c r="AP71" s="33">
        <f t="shared" si="27"/>
        <v>0</v>
      </c>
      <c r="BA71" s="3">
        <v>1</v>
      </c>
      <c r="BB71" s="3">
        <v>1</v>
      </c>
      <c r="BC71" s="3">
        <v>1</v>
      </c>
      <c r="BD71" s="3">
        <v>1</v>
      </c>
      <c r="BE71" s="3"/>
      <c r="BF71" s="3"/>
      <c r="BG71" s="3"/>
      <c r="BH71" s="3"/>
      <c r="BI71" s="3"/>
      <c r="BJ71" s="3">
        <v>9</v>
      </c>
      <c r="BK71" s="3">
        <f t="shared" si="28"/>
        <v>4</v>
      </c>
      <c r="BL71" s="292">
        <f t="shared" si="29"/>
        <v>0.44444444444444442</v>
      </c>
      <c r="BM71" s="295"/>
      <c r="BN71" s="295"/>
      <c r="BO71" s="295"/>
      <c r="BP71" s="295"/>
      <c r="BQ71" s="295"/>
      <c r="BR71" s="320" t="str">
        <f t="shared" si="33"/>
        <v>En revisión de dummy para autorización final</v>
      </c>
      <c r="BS71" s="278"/>
      <c r="BT71" s="278" t="s">
        <v>129</v>
      </c>
    </row>
    <row r="72" spans="1:105" ht="409.6">
      <c r="A72" s="16">
        <v>60</v>
      </c>
      <c r="B72" s="17">
        <v>46248</v>
      </c>
      <c r="C72" s="17" t="s">
        <v>277</v>
      </c>
      <c r="D72" s="17" t="s">
        <v>77</v>
      </c>
      <c r="E72" s="18">
        <v>7502327991441</v>
      </c>
      <c r="F72" s="16" t="s">
        <v>467</v>
      </c>
      <c r="G72" s="19" t="s">
        <v>468</v>
      </c>
      <c r="H72" s="20" t="s">
        <v>60</v>
      </c>
      <c r="I72" s="16" t="s">
        <v>469</v>
      </c>
      <c r="J72" s="19" t="s">
        <v>249</v>
      </c>
      <c r="K72" s="19" t="s">
        <v>281</v>
      </c>
      <c r="L72" s="16">
        <v>1</v>
      </c>
      <c r="M72" s="21" t="s">
        <v>282</v>
      </c>
      <c r="N72" s="22" t="s">
        <v>470</v>
      </c>
      <c r="O72" s="16" t="s">
        <v>284</v>
      </c>
      <c r="P72" s="348" t="s">
        <v>471</v>
      </c>
      <c r="Q72" s="23" t="s">
        <v>286</v>
      </c>
      <c r="R72" s="23">
        <v>10000</v>
      </c>
      <c r="S72" s="24" t="e">
        <f t="shared" ca="1" si="34"/>
        <v>#VALUE!</v>
      </c>
      <c r="T72" s="24" t="e">
        <f t="shared" ca="1" si="31"/>
        <v>#VALUE!</v>
      </c>
      <c r="U72" s="24" t="e">
        <f ca="1">(S72+T72)*0.0462</f>
        <v>#VALUE!</v>
      </c>
      <c r="V72" s="25" t="e">
        <f t="shared" ca="1" si="18"/>
        <v>#VALUE!</v>
      </c>
      <c r="W72" s="34">
        <v>149</v>
      </c>
      <c r="X72" s="24">
        <f t="shared" si="19"/>
        <v>128.44827586206898</v>
      </c>
      <c r="Y72" s="24">
        <f t="shared" si="20"/>
        <v>77.068965517241381</v>
      </c>
      <c r="Z72" s="27" t="e">
        <f t="shared" ca="1" si="21"/>
        <v>#VALUE!</v>
      </c>
      <c r="AA72" s="27" t="e">
        <f t="shared" ca="1" si="22"/>
        <v>#VALUE!</v>
      </c>
      <c r="AB72" s="28">
        <f t="shared" si="23"/>
        <v>0.4</v>
      </c>
      <c r="AC72" s="29" t="s">
        <v>287</v>
      </c>
      <c r="AD72" s="16"/>
      <c r="AE72" s="19">
        <v>6</v>
      </c>
      <c r="AF72" s="19">
        <v>144</v>
      </c>
      <c r="AG72" s="36" t="s">
        <v>330</v>
      </c>
      <c r="AH72" s="467">
        <v>46315</v>
      </c>
      <c r="AI72" s="274"/>
      <c r="AJ72" s="274"/>
      <c r="AL72" s="31">
        <v>96.85</v>
      </c>
      <c r="AM72" s="31">
        <f t="shared" si="24"/>
        <v>83.491379310344826</v>
      </c>
      <c r="AN72" s="32" t="e">
        <f t="shared" ca="1" si="25"/>
        <v>#VALUE!</v>
      </c>
      <c r="AO72" s="32" t="e">
        <f t="shared" ca="1" si="26"/>
        <v>#VALUE!</v>
      </c>
      <c r="AP72" s="33">
        <f t="shared" si="27"/>
        <v>0</v>
      </c>
      <c r="BA72" s="3">
        <v>1</v>
      </c>
      <c r="BB72" s="3">
        <v>1</v>
      </c>
      <c r="BC72" s="3">
        <v>1</v>
      </c>
      <c r="BD72" s="3">
        <v>1</v>
      </c>
      <c r="BE72" s="3"/>
      <c r="BF72" s="3"/>
      <c r="BG72" s="3"/>
      <c r="BH72" s="3"/>
      <c r="BI72" s="3"/>
      <c r="BJ72" s="3">
        <v>9</v>
      </c>
      <c r="BK72" s="3">
        <f t="shared" si="28"/>
        <v>4</v>
      </c>
      <c r="BL72" s="292">
        <f t="shared" si="29"/>
        <v>0.44444444444444442</v>
      </c>
      <c r="BM72" s="295"/>
      <c r="BN72" s="295"/>
      <c r="BO72" s="295"/>
      <c r="BP72" s="295"/>
      <c r="BQ72" s="295"/>
      <c r="BR72" s="320" t="str">
        <f t="shared" si="33"/>
        <v>Falta arte final de la caja. En espera suaje por parte de Daniel</v>
      </c>
      <c r="BS72" s="278"/>
      <c r="BT72" s="278" t="s">
        <v>150</v>
      </c>
    </row>
    <row r="73" spans="1:105" ht="409.6">
      <c r="A73" s="16">
        <v>61</v>
      </c>
      <c r="B73" s="17">
        <v>46248</v>
      </c>
      <c r="C73" s="17" t="s">
        <v>277</v>
      </c>
      <c r="D73" s="17" t="s">
        <v>77</v>
      </c>
      <c r="E73" s="18">
        <v>7502327991458</v>
      </c>
      <c r="F73" s="16" t="s">
        <v>472</v>
      </c>
      <c r="G73" s="19" t="s">
        <v>473</v>
      </c>
      <c r="H73" s="20" t="s">
        <v>60</v>
      </c>
      <c r="I73" s="16" t="s">
        <v>469</v>
      </c>
      <c r="J73" s="19" t="s">
        <v>249</v>
      </c>
      <c r="K73" s="19" t="s">
        <v>281</v>
      </c>
      <c r="L73" s="16">
        <v>1</v>
      </c>
      <c r="M73" s="21" t="s">
        <v>282</v>
      </c>
      <c r="N73" s="22" t="s">
        <v>470</v>
      </c>
      <c r="O73" s="16" t="s">
        <v>284</v>
      </c>
      <c r="P73" s="348" t="s">
        <v>471</v>
      </c>
      <c r="Q73" s="23" t="s">
        <v>286</v>
      </c>
      <c r="R73" s="23">
        <v>10000</v>
      </c>
      <c r="S73" s="24" t="e">
        <f t="shared" ca="1" si="34"/>
        <v>#VALUE!</v>
      </c>
      <c r="T73" s="24" t="e">
        <f t="shared" ca="1" si="31"/>
        <v>#VALUE!</v>
      </c>
      <c r="U73" s="24" t="e">
        <f ca="1">(S73+T73)*0.0462</f>
        <v>#VALUE!</v>
      </c>
      <c r="V73" s="25" t="e">
        <f t="shared" ca="1" si="18"/>
        <v>#VALUE!</v>
      </c>
      <c r="W73" s="34">
        <v>149</v>
      </c>
      <c r="X73" s="24">
        <f t="shared" si="19"/>
        <v>128.44827586206898</v>
      </c>
      <c r="Y73" s="24">
        <f t="shared" si="20"/>
        <v>77.068965517241381</v>
      </c>
      <c r="Z73" s="27" t="e">
        <f t="shared" ca="1" si="21"/>
        <v>#VALUE!</v>
      </c>
      <c r="AA73" s="27" t="e">
        <f t="shared" ca="1" si="22"/>
        <v>#VALUE!</v>
      </c>
      <c r="AB73" s="28">
        <f t="shared" si="23"/>
        <v>0.4</v>
      </c>
      <c r="AC73" s="29" t="s">
        <v>287</v>
      </c>
      <c r="AD73" s="16"/>
      <c r="AE73" s="19">
        <v>6</v>
      </c>
      <c r="AF73" s="19">
        <v>144</v>
      </c>
      <c r="AG73" s="36" t="s">
        <v>330</v>
      </c>
      <c r="AH73" s="467">
        <v>46315</v>
      </c>
      <c r="AI73" s="274"/>
      <c r="AJ73" s="274"/>
      <c r="AL73" s="31">
        <v>96.85</v>
      </c>
      <c r="AM73" s="31">
        <f t="shared" si="24"/>
        <v>83.491379310344826</v>
      </c>
      <c r="AN73" s="32" t="e">
        <f t="shared" ca="1" si="25"/>
        <v>#VALUE!</v>
      </c>
      <c r="AO73" s="32" t="e">
        <f t="shared" ca="1" si="26"/>
        <v>#VALUE!</v>
      </c>
      <c r="AP73" s="33">
        <f t="shared" si="27"/>
        <v>0</v>
      </c>
      <c r="BA73" s="3">
        <v>1</v>
      </c>
      <c r="BB73" s="3">
        <v>1</v>
      </c>
      <c r="BC73" s="3">
        <v>1</v>
      </c>
      <c r="BD73" s="3">
        <v>1</v>
      </c>
      <c r="BE73" s="3"/>
      <c r="BF73" s="3"/>
      <c r="BG73" s="3"/>
      <c r="BH73" s="3"/>
      <c r="BI73" s="3"/>
      <c r="BJ73" s="3">
        <v>9</v>
      </c>
      <c r="BK73" s="3">
        <f t="shared" si="28"/>
        <v>4</v>
      </c>
      <c r="BL73" s="292">
        <f t="shared" si="29"/>
        <v>0.44444444444444442</v>
      </c>
      <c r="BM73" s="295"/>
      <c r="BN73" s="295"/>
      <c r="BO73" s="295"/>
      <c r="BP73" s="295"/>
      <c r="BQ73" s="295"/>
      <c r="BR73" s="320" t="str">
        <f t="shared" si="33"/>
        <v>Falta arte final de la caja. En espera suaje por parte de Daniel</v>
      </c>
      <c r="BS73" s="278"/>
      <c r="BT73" s="278" t="s">
        <v>150</v>
      </c>
    </row>
    <row r="74" spans="1:105" ht="409.6">
      <c r="A74" s="16">
        <v>62</v>
      </c>
      <c r="B74" s="17">
        <v>46248</v>
      </c>
      <c r="C74" s="17" t="s">
        <v>277</v>
      </c>
      <c r="D74" s="17" t="s">
        <v>77</v>
      </c>
      <c r="E74" s="18">
        <v>7502327991465</v>
      </c>
      <c r="F74" s="16" t="s">
        <v>474</v>
      </c>
      <c r="G74" s="19" t="s">
        <v>475</v>
      </c>
      <c r="H74" s="20" t="s">
        <v>60</v>
      </c>
      <c r="I74" s="16" t="s">
        <v>469</v>
      </c>
      <c r="J74" s="19" t="s">
        <v>249</v>
      </c>
      <c r="K74" s="19" t="s">
        <v>281</v>
      </c>
      <c r="L74" s="16">
        <v>1</v>
      </c>
      <c r="M74" s="21" t="s">
        <v>282</v>
      </c>
      <c r="N74" s="22" t="s">
        <v>470</v>
      </c>
      <c r="O74" s="16" t="s">
        <v>284</v>
      </c>
      <c r="P74" s="348" t="s">
        <v>471</v>
      </c>
      <c r="Q74" s="23" t="s">
        <v>286</v>
      </c>
      <c r="R74" s="23">
        <v>10000</v>
      </c>
      <c r="S74" s="24" t="e">
        <f t="shared" ca="1" si="34"/>
        <v>#VALUE!</v>
      </c>
      <c r="T74" s="24" t="e">
        <f t="shared" ca="1" si="31"/>
        <v>#VALUE!</v>
      </c>
      <c r="U74" s="24" t="e">
        <f ca="1">(S74+T74)*0.0462</f>
        <v>#VALUE!</v>
      </c>
      <c r="V74" s="25" t="e">
        <f t="shared" ca="1" si="18"/>
        <v>#VALUE!</v>
      </c>
      <c r="W74" s="34">
        <v>149</v>
      </c>
      <c r="X74" s="24">
        <f t="shared" si="19"/>
        <v>128.44827586206898</v>
      </c>
      <c r="Y74" s="24">
        <f t="shared" si="20"/>
        <v>77.068965517241381</v>
      </c>
      <c r="Z74" s="27" t="e">
        <f t="shared" ca="1" si="21"/>
        <v>#VALUE!</v>
      </c>
      <c r="AA74" s="27" t="e">
        <f t="shared" ca="1" si="22"/>
        <v>#VALUE!</v>
      </c>
      <c r="AB74" s="28">
        <f t="shared" si="23"/>
        <v>0.4</v>
      </c>
      <c r="AC74" s="29" t="s">
        <v>287</v>
      </c>
      <c r="AD74" s="16"/>
      <c r="AE74" s="19">
        <v>6</v>
      </c>
      <c r="AF74" s="19">
        <v>144</v>
      </c>
      <c r="AG74" s="36" t="s">
        <v>330</v>
      </c>
      <c r="AH74" s="467">
        <v>46315</v>
      </c>
      <c r="AI74" s="274"/>
      <c r="AJ74" s="274"/>
      <c r="AL74" s="31">
        <v>96.85</v>
      </c>
      <c r="AM74" s="31">
        <f t="shared" si="24"/>
        <v>83.491379310344826</v>
      </c>
      <c r="AN74" s="32" t="e">
        <f t="shared" ca="1" si="25"/>
        <v>#VALUE!</v>
      </c>
      <c r="AO74" s="32" t="e">
        <f t="shared" ca="1" si="26"/>
        <v>#VALUE!</v>
      </c>
      <c r="AP74" s="33">
        <f t="shared" si="27"/>
        <v>0</v>
      </c>
      <c r="BA74" s="3">
        <v>1</v>
      </c>
      <c r="BB74" s="3">
        <v>1</v>
      </c>
      <c r="BC74" s="3">
        <v>1</v>
      </c>
      <c r="BD74" s="3">
        <v>1</v>
      </c>
      <c r="BE74" s="3"/>
      <c r="BF74" s="3"/>
      <c r="BG74" s="3"/>
      <c r="BH74" s="3"/>
      <c r="BI74" s="3"/>
      <c r="BJ74" s="3">
        <v>9</v>
      </c>
      <c r="BK74" s="3">
        <f t="shared" si="28"/>
        <v>4</v>
      </c>
      <c r="BL74" s="292">
        <f t="shared" si="29"/>
        <v>0.44444444444444442</v>
      </c>
      <c r="BM74" s="295"/>
      <c r="BN74" s="295"/>
      <c r="BO74" s="295"/>
      <c r="BP74" s="295"/>
      <c r="BQ74" s="295"/>
      <c r="BR74" s="320" t="str">
        <f t="shared" si="33"/>
        <v>Falta arte final de la caja. En espera suaje por parte de Daniel</v>
      </c>
      <c r="BS74" s="278"/>
      <c r="BT74" s="278" t="s">
        <v>150</v>
      </c>
    </row>
    <row r="75" spans="1:105" ht="409.6">
      <c r="A75" s="16">
        <v>63</v>
      </c>
      <c r="B75" s="17">
        <v>46248</v>
      </c>
      <c r="C75" s="17" t="s">
        <v>277</v>
      </c>
      <c r="D75" s="17" t="s">
        <v>77</v>
      </c>
      <c r="E75" s="18">
        <v>7502327991472</v>
      </c>
      <c r="F75" s="16" t="s">
        <v>476</v>
      </c>
      <c r="G75" s="19" t="s">
        <v>477</v>
      </c>
      <c r="H75" s="20" t="s">
        <v>60</v>
      </c>
      <c r="I75" s="16" t="s">
        <v>469</v>
      </c>
      <c r="J75" s="19" t="s">
        <v>249</v>
      </c>
      <c r="K75" s="19" t="s">
        <v>281</v>
      </c>
      <c r="L75" s="16">
        <v>1</v>
      </c>
      <c r="M75" s="21" t="s">
        <v>282</v>
      </c>
      <c r="N75" s="22" t="s">
        <v>470</v>
      </c>
      <c r="O75" s="16" t="s">
        <v>284</v>
      </c>
      <c r="P75" s="348" t="s">
        <v>471</v>
      </c>
      <c r="Q75" s="23" t="s">
        <v>286</v>
      </c>
      <c r="R75" s="23">
        <v>10000</v>
      </c>
      <c r="S75" s="24" t="e">
        <f t="shared" ca="1" si="34"/>
        <v>#VALUE!</v>
      </c>
      <c r="T75" s="24" t="e">
        <f t="shared" ca="1" si="31"/>
        <v>#VALUE!</v>
      </c>
      <c r="U75" s="24" t="e">
        <f ca="1">(S75+T75)*0.0462</f>
        <v>#VALUE!</v>
      </c>
      <c r="V75" s="25" t="e">
        <f t="shared" ca="1" si="18"/>
        <v>#VALUE!</v>
      </c>
      <c r="W75" s="34">
        <v>149</v>
      </c>
      <c r="X75" s="24">
        <f t="shared" si="19"/>
        <v>128.44827586206898</v>
      </c>
      <c r="Y75" s="24">
        <f t="shared" si="20"/>
        <v>77.068965517241381</v>
      </c>
      <c r="Z75" s="27" t="e">
        <f t="shared" ca="1" si="21"/>
        <v>#VALUE!</v>
      </c>
      <c r="AA75" s="27" t="e">
        <f t="shared" ca="1" si="22"/>
        <v>#VALUE!</v>
      </c>
      <c r="AB75" s="28">
        <f t="shared" si="23"/>
        <v>0.4</v>
      </c>
      <c r="AC75" s="29" t="s">
        <v>287</v>
      </c>
      <c r="AD75" s="16"/>
      <c r="AE75" s="19">
        <v>6</v>
      </c>
      <c r="AF75" s="19">
        <v>144</v>
      </c>
      <c r="AG75" s="36" t="s">
        <v>330</v>
      </c>
      <c r="AH75" s="467">
        <v>46315</v>
      </c>
      <c r="AI75" s="274"/>
      <c r="AJ75" s="274"/>
      <c r="AL75" s="31">
        <v>96.85</v>
      </c>
      <c r="AM75" s="31">
        <f t="shared" si="24"/>
        <v>83.491379310344826</v>
      </c>
      <c r="AN75" s="32" t="e">
        <f t="shared" ca="1" si="25"/>
        <v>#VALUE!</v>
      </c>
      <c r="AO75" s="32" t="e">
        <f t="shared" ca="1" si="26"/>
        <v>#VALUE!</v>
      </c>
      <c r="AP75" s="33">
        <f t="shared" si="27"/>
        <v>0</v>
      </c>
      <c r="BA75" s="3">
        <v>1</v>
      </c>
      <c r="BB75" s="3">
        <v>1</v>
      </c>
      <c r="BC75" s="3">
        <v>1</v>
      </c>
      <c r="BD75" s="3">
        <v>1</v>
      </c>
      <c r="BE75" s="3"/>
      <c r="BF75" s="3"/>
      <c r="BG75" s="3"/>
      <c r="BH75" s="3"/>
      <c r="BI75" s="3"/>
      <c r="BJ75" s="3">
        <v>9</v>
      </c>
      <c r="BK75" s="3">
        <f t="shared" si="28"/>
        <v>4</v>
      </c>
      <c r="BL75" s="292">
        <f t="shared" si="29"/>
        <v>0.44444444444444442</v>
      </c>
      <c r="BM75" s="295"/>
      <c r="BN75" s="295"/>
      <c r="BO75" s="295"/>
      <c r="BP75" s="295"/>
      <c r="BQ75" s="295"/>
      <c r="BR75" s="320" t="str">
        <f t="shared" si="33"/>
        <v>Falta arte final de la caja. En espera suaje por parte de Daniel</v>
      </c>
      <c r="BS75" s="278"/>
      <c r="BT75" s="278" t="s">
        <v>150</v>
      </c>
    </row>
    <row r="76" spans="1:105" ht="409.6">
      <c r="A76" s="16">
        <v>64</v>
      </c>
      <c r="B76" s="17">
        <v>46248</v>
      </c>
      <c r="C76" s="17" t="s">
        <v>277</v>
      </c>
      <c r="D76" s="17" t="s">
        <v>77</v>
      </c>
      <c r="E76" s="18">
        <v>7502327991489</v>
      </c>
      <c r="F76" s="16" t="s">
        <v>478</v>
      </c>
      <c r="G76" s="19" t="s">
        <v>479</v>
      </c>
      <c r="H76" s="20" t="s">
        <v>60</v>
      </c>
      <c r="I76" s="16" t="s">
        <v>469</v>
      </c>
      <c r="J76" s="19" t="s">
        <v>249</v>
      </c>
      <c r="K76" s="19" t="s">
        <v>281</v>
      </c>
      <c r="L76" s="16">
        <v>1</v>
      </c>
      <c r="M76" s="21" t="s">
        <v>282</v>
      </c>
      <c r="N76" s="22" t="s">
        <v>470</v>
      </c>
      <c r="O76" s="16" t="s">
        <v>284</v>
      </c>
      <c r="P76" s="348" t="s">
        <v>471</v>
      </c>
      <c r="Q76" s="23" t="s">
        <v>286</v>
      </c>
      <c r="R76" s="23">
        <v>10000</v>
      </c>
      <c r="S76" s="24" t="e">
        <f t="shared" ca="1" si="34"/>
        <v>#VALUE!</v>
      </c>
      <c r="T76" s="24" t="e">
        <f t="shared" ca="1" si="31"/>
        <v>#VALUE!</v>
      </c>
      <c r="U76" s="24" t="e">
        <f ca="1">(S76+T76)*0.0462</f>
        <v>#VALUE!</v>
      </c>
      <c r="V76" s="25" t="e">
        <f t="shared" ca="1" si="18"/>
        <v>#VALUE!</v>
      </c>
      <c r="W76" s="34">
        <v>149</v>
      </c>
      <c r="X76" s="24">
        <f t="shared" si="19"/>
        <v>128.44827586206898</v>
      </c>
      <c r="Y76" s="24">
        <f t="shared" si="20"/>
        <v>77.068965517241381</v>
      </c>
      <c r="Z76" s="27" t="e">
        <f t="shared" ca="1" si="21"/>
        <v>#VALUE!</v>
      </c>
      <c r="AA76" s="27" t="e">
        <f t="shared" ca="1" si="22"/>
        <v>#VALUE!</v>
      </c>
      <c r="AB76" s="28">
        <f t="shared" si="23"/>
        <v>0.4</v>
      </c>
      <c r="AC76" s="29" t="s">
        <v>287</v>
      </c>
      <c r="AD76" s="16"/>
      <c r="AE76" s="19">
        <v>6</v>
      </c>
      <c r="AF76" s="19">
        <v>144</v>
      </c>
      <c r="AG76" s="36" t="s">
        <v>330</v>
      </c>
      <c r="AH76" s="467">
        <v>46315</v>
      </c>
      <c r="AI76" s="274"/>
      <c r="AJ76" s="274"/>
      <c r="AL76" s="31">
        <v>96.85</v>
      </c>
      <c r="AM76" s="31">
        <f t="shared" si="24"/>
        <v>83.491379310344826</v>
      </c>
      <c r="AN76" s="32" t="e">
        <f t="shared" ca="1" si="25"/>
        <v>#VALUE!</v>
      </c>
      <c r="AO76" s="32" t="e">
        <f t="shared" ca="1" si="26"/>
        <v>#VALUE!</v>
      </c>
      <c r="AP76" s="33">
        <f t="shared" si="27"/>
        <v>0</v>
      </c>
      <c r="BA76" s="3">
        <v>1</v>
      </c>
      <c r="BB76" s="3">
        <v>1</v>
      </c>
      <c r="BC76" s="3">
        <v>1</v>
      </c>
      <c r="BD76" s="3">
        <v>1</v>
      </c>
      <c r="BE76" s="3"/>
      <c r="BF76" s="3"/>
      <c r="BG76" s="3"/>
      <c r="BH76" s="3"/>
      <c r="BI76" s="3"/>
      <c r="BJ76" s="3">
        <v>9</v>
      </c>
      <c r="BK76" s="3">
        <f t="shared" si="28"/>
        <v>4</v>
      </c>
      <c r="BL76" s="292">
        <f t="shared" si="29"/>
        <v>0.44444444444444442</v>
      </c>
      <c r="BM76" s="295"/>
      <c r="BN76" s="295"/>
      <c r="BO76" s="295"/>
      <c r="BP76" s="295"/>
      <c r="BQ76" s="295"/>
      <c r="BR76" s="320" t="str">
        <f t="shared" si="33"/>
        <v>Falta arte final de la caja. En espera suaje por parte de Daniel</v>
      </c>
      <c r="BS76" s="278"/>
      <c r="BT76" s="278" t="s">
        <v>150</v>
      </c>
    </row>
    <row r="77" spans="1:105" ht="409.6">
      <c r="A77" s="16">
        <v>65</v>
      </c>
      <c r="B77" s="17">
        <v>46248</v>
      </c>
      <c r="C77" s="17" t="s">
        <v>277</v>
      </c>
      <c r="D77" s="17" t="s">
        <v>77</v>
      </c>
      <c r="E77" s="18">
        <v>7502327991496</v>
      </c>
      <c r="F77" s="16" t="s">
        <v>480</v>
      </c>
      <c r="G77" s="19" t="s">
        <v>481</v>
      </c>
      <c r="H77" s="44" t="s">
        <v>60</v>
      </c>
      <c r="I77" s="16" t="s">
        <v>280</v>
      </c>
      <c r="J77" s="19" t="s">
        <v>249</v>
      </c>
      <c r="K77" s="19" t="s">
        <v>281</v>
      </c>
      <c r="L77" s="16">
        <v>1</v>
      </c>
      <c r="M77" s="21" t="s">
        <v>282</v>
      </c>
      <c r="N77" s="39" t="s">
        <v>482</v>
      </c>
      <c r="O77" s="16" t="s">
        <v>284</v>
      </c>
      <c r="P77" s="348">
        <v>7</v>
      </c>
      <c r="Q77" s="23" t="s">
        <v>286</v>
      </c>
      <c r="R77" s="23">
        <v>10000</v>
      </c>
      <c r="S77" s="24" t="e">
        <f t="shared" ca="1" si="34"/>
        <v>#VALUE!</v>
      </c>
      <c r="T77" s="24" t="e">
        <f ca="1">+S77*0.25</f>
        <v>#VALUE!</v>
      </c>
      <c r="U77" s="24" t="e">
        <f ca="1">(S77+T77)*0.0696</f>
        <v>#VALUE!</v>
      </c>
      <c r="V77" s="25" t="e">
        <f t="shared" ca="1" si="18"/>
        <v>#VALUE!</v>
      </c>
      <c r="W77" s="34">
        <v>199</v>
      </c>
      <c r="X77" s="24">
        <f t="shared" si="19"/>
        <v>171.55172413793105</v>
      </c>
      <c r="Y77" s="24">
        <f t="shared" si="20"/>
        <v>102.93103448275862</v>
      </c>
      <c r="Z77" s="27" t="e">
        <f t="shared" ca="1" si="21"/>
        <v>#VALUE!</v>
      </c>
      <c r="AA77" s="27" t="e">
        <f t="shared" ca="1" si="22"/>
        <v>#VALUE!</v>
      </c>
      <c r="AB77" s="28">
        <f t="shared" si="23"/>
        <v>0.4</v>
      </c>
      <c r="AC77" s="29" t="s">
        <v>287</v>
      </c>
      <c r="AD77" s="16"/>
      <c r="AE77" s="19">
        <v>4</v>
      </c>
      <c r="AF77" s="19">
        <v>48</v>
      </c>
      <c r="AG77" s="36" t="s">
        <v>288</v>
      </c>
      <c r="AH77" s="467">
        <v>46308</v>
      </c>
      <c r="AI77" s="274"/>
      <c r="AJ77" s="274"/>
      <c r="AL77" s="31">
        <v>129.35</v>
      </c>
      <c r="AM77" s="31">
        <f t="shared" si="24"/>
        <v>111.50862068965517</v>
      </c>
      <c r="AN77" s="32" t="e">
        <f t="shared" ca="1" si="25"/>
        <v>#VALUE!</v>
      </c>
      <c r="AO77" s="32" t="e">
        <f t="shared" ca="1" si="26"/>
        <v>#VALUE!</v>
      </c>
      <c r="AP77" s="33">
        <f t="shared" si="27"/>
        <v>0</v>
      </c>
      <c r="BA77" s="3">
        <v>1</v>
      </c>
      <c r="BB77" s="3">
        <v>1</v>
      </c>
      <c r="BC77" s="3">
        <v>1</v>
      </c>
      <c r="BD77" s="3">
        <v>1</v>
      </c>
      <c r="BE77" s="3"/>
      <c r="BF77" s="3"/>
      <c r="BG77" s="3"/>
      <c r="BH77" s="3"/>
      <c r="BI77" s="3"/>
      <c r="BJ77" s="3">
        <v>9</v>
      </c>
      <c r="BK77" s="3">
        <f t="shared" si="28"/>
        <v>4</v>
      </c>
      <c r="BL77" s="292">
        <f t="shared" si="29"/>
        <v>0.44444444444444442</v>
      </c>
      <c r="BM77" s="295"/>
      <c r="BN77" s="295"/>
      <c r="BO77" s="295"/>
      <c r="BP77" s="295"/>
      <c r="BQ77" s="295"/>
      <c r="BR77" s="320" t="s">
        <v>483</v>
      </c>
      <c r="BS77" s="278"/>
      <c r="BT77" s="278" t="s">
        <v>150</v>
      </c>
    </row>
    <row r="78" spans="1:105" ht="34.5">
      <c r="A78" s="16">
        <v>66</v>
      </c>
      <c r="B78" s="17">
        <v>46248</v>
      </c>
      <c r="C78" s="17" t="s">
        <v>277</v>
      </c>
      <c r="D78" s="17" t="s">
        <v>77</v>
      </c>
      <c r="E78" s="18">
        <v>7502327991502</v>
      </c>
      <c r="F78" s="16" t="s">
        <v>484</v>
      </c>
      <c r="G78" s="19" t="s">
        <v>485</v>
      </c>
      <c r="H78" s="44" t="s">
        <v>60</v>
      </c>
      <c r="I78" s="16" t="s">
        <v>486</v>
      </c>
      <c r="J78" s="19" t="s">
        <v>249</v>
      </c>
      <c r="K78" s="19" t="s">
        <v>281</v>
      </c>
      <c r="L78" s="16">
        <v>1</v>
      </c>
      <c r="M78" s="45" t="s">
        <v>282</v>
      </c>
      <c r="N78" s="39" t="s">
        <v>487</v>
      </c>
      <c r="O78" s="16" t="s">
        <v>488</v>
      </c>
      <c r="P78" s="348" t="s">
        <v>489</v>
      </c>
      <c r="Q78" s="23" t="s">
        <v>286</v>
      </c>
      <c r="R78" s="23">
        <v>10000</v>
      </c>
      <c r="S78" s="24" t="e">
        <f t="shared" ca="1" si="34"/>
        <v>#VALUE!</v>
      </c>
      <c r="T78" s="24" t="e">
        <f ca="1">+S78*0.25</f>
        <v>#VALUE!</v>
      </c>
      <c r="U78" s="24" t="e">
        <f ca="1">(S78+T78)*0.0179</f>
        <v>#VALUE!</v>
      </c>
      <c r="V78" s="25" t="e">
        <f t="shared" ca="1" si="18"/>
        <v>#VALUE!</v>
      </c>
      <c r="W78" s="34">
        <v>299</v>
      </c>
      <c r="X78" s="24">
        <f t="shared" si="19"/>
        <v>257.75862068965517</v>
      </c>
      <c r="Y78" s="24">
        <f t="shared" si="20"/>
        <v>154.65517241379311</v>
      </c>
      <c r="Z78" s="27" t="e">
        <f t="shared" ca="1" si="21"/>
        <v>#VALUE!</v>
      </c>
      <c r="AA78" s="27" t="e">
        <f t="shared" ca="1" si="22"/>
        <v>#VALUE!</v>
      </c>
      <c r="AB78" s="28">
        <f t="shared" si="23"/>
        <v>0.4</v>
      </c>
      <c r="AC78" s="29" t="s">
        <v>287</v>
      </c>
      <c r="AD78" s="16"/>
      <c r="AE78" s="19">
        <v>6</v>
      </c>
      <c r="AF78" s="19">
        <v>72</v>
      </c>
      <c r="AG78" s="36" t="s">
        <v>288</v>
      </c>
      <c r="AH78" s="16"/>
      <c r="AI78" s="274"/>
      <c r="AJ78" s="274"/>
      <c r="AL78" s="31">
        <v>194.35</v>
      </c>
      <c r="AM78" s="31">
        <f t="shared" si="24"/>
        <v>167.54310344827587</v>
      </c>
      <c r="AN78" s="32" t="e">
        <f t="shared" si="25"/>
        <v>#VALUE!</v>
      </c>
      <c r="AO78" s="32" t="e">
        <f t="shared" si="26"/>
        <v>#VALUE!</v>
      </c>
      <c r="AP78" s="33">
        <f t="shared" si="27"/>
        <v>0</v>
      </c>
      <c r="BA78" s="3">
        <v>1</v>
      </c>
      <c r="BB78" s="3">
        <v>1</v>
      </c>
      <c r="BC78" s="3">
        <v>1</v>
      </c>
      <c r="BD78" s="3">
        <v>1</v>
      </c>
      <c r="BE78" s="3"/>
      <c r="BF78" s="3"/>
      <c r="BG78" s="3"/>
      <c r="BH78" s="3"/>
      <c r="BI78" s="3"/>
      <c r="BJ78" s="3">
        <v>9</v>
      </c>
      <c r="BK78" s="3">
        <f t="shared" si="28"/>
        <v>4</v>
      </c>
      <c r="BL78" s="292">
        <f t="shared" si="29"/>
        <v>0.44444444444444442</v>
      </c>
      <c r="BM78" s="295"/>
      <c r="BN78" s="295"/>
      <c r="BO78" s="295"/>
      <c r="BP78" s="295"/>
      <c r="BQ78" s="295"/>
      <c r="BR78" s="320" t="str">
        <f t="shared" si="33"/>
        <v>En revisión de dummy para autorización final</v>
      </c>
      <c r="BS78" s="278"/>
      <c r="BT78" s="278" t="s">
        <v>129</v>
      </c>
    </row>
    <row r="79" spans="1:105" ht="34.5">
      <c r="A79" s="16">
        <v>67</v>
      </c>
      <c r="B79" s="17">
        <v>46248</v>
      </c>
      <c r="C79" s="17" t="s">
        <v>277</v>
      </c>
      <c r="D79" s="17" t="s">
        <v>77</v>
      </c>
      <c r="E79" s="18">
        <v>7502327991519</v>
      </c>
      <c r="F79" s="16" t="s">
        <v>490</v>
      </c>
      <c r="G79" s="19" t="s">
        <v>491</v>
      </c>
      <c r="H79" s="20" t="s">
        <v>60</v>
      </c>
      <c r="I79" s="16" t="s">
        <v>492</v>
      </c>
      <c r="J79" s="19" t="s">
        <v>249</v>
      </c>
      <c r="K79" s="19" t="s">
        <v>281</v>
      </c>
      <c r="L79" s="16">
        <v>1</v>
      </c>
      <c r="M79" s="42" t="s">
        <v>493</v>
      </c>
      <c r="N79" s="39" t="s">
        <v>494</v>
      </c>
      <c r="O79" s="16" t="s">
        <v>488</v>
      </c>
      <c r="P79" s="348" t="s">
        <v>495</v>
      </c>
      <c r="Q79" s="23" t="s">
        <v>64</v>
      </c>
      <c r="R79" s="23">
        <v>10000</v>
      </c>
      <c r="S79" s="24" t="e">
        <f>+P79*18.5</f>
        <v>#VALUE!</v>
      </c>
      <c r="T79" s="24" t="e">
        <f>+S79*0.25</f>
        <v>#VALUE!</v>
      </c>
      <c r="U79" s="24" t="e">
        <f>(S79+T79)*0.101</f>
        <v>#VALUE!</v>
      </c>
      <c r="V79" s="25" t="e">
        <f t="shared" si="18"/>
        <v>#VALUE!</v>
      </c>
      <c r="W79" s="34">
        <v>179</v>
      </c>
      <c r="X79" s="24">
        <f t="shared" si="19"/>
        <v>154.31034482758622</v>
      </c>
      <c r="Y79" s="24">
        <f t="shared" si="20"/>
        <v>92.58620689655173</v>
      </c>
      <c r="Z79" s="27" t="e">
        <f t="shared" si="21"/>
        <v>#VALUE!</v>
      </c>
      <c r="AA79" s="27" t="e">
        <f t="shared" si="22"/>
        <v>#VALUE!</v>
      </c>
      <c r="AB79" s="28">
        <f t="shared" si="23"/>
        <v>0.4</v>
      </c>
      <c r="AC79" s="29" t="s">
        <v>287</v>
      </c>
      <c r="AD79" s="16"/>
      <c r="AE79" s="19">
        <v>4</v>
      </c>
      <c r="AF79" s="19">
        <v>48</v>
      </c>
      <c r="AG79" s="36" t="s">
        <v>496</v>
      </c>
      <c r="AH79" s="16"/>
      <c r="AI79" s="274"/>
      <c r="AJ79" s="274"/>
      <c r="AL79" s="31">
        <v>116.35</v>
      </c>
      <c r="AM79" s="31">
        <f t="shared" si="24"/>
        <v>100.30172413793103</v>
      </c>
      <c r="AN79" s="32" t="e">
        <f t="shared" ca="1" si="25"/>
        <v>#VALUE!</v>
      </c>
      <c r="AO79" s="32" t="e">
        <f t="shared" ca="1" si="26"/>
        <v>#VALUE!</v>
      </c>
      <c r="AP79" s="33">
        <f t="shared" si="27"/>
        <v>0</v>
      </c>
      <c r="BA79" s="3">
        <v>1</v>
      </c>
      <c r="BB79" s="3">
        <v>1</v>
      </c>
      <c r="BC79" s="3">
        <v>1</v>
      </c>
      <c r="BD79" s="3">
        <v>1</v>
      </c>
      <c r="BE79" s="3"/>
      <c r="BF79" s="3"/>
      <c r="BG79" s="3"/>
      <c r="BH79" s="3"/>
      <c r="BI79" s="3"/>
      <c r="BJ79" s="3">
        <v>9</v>
      </c>
      <c r="BK79" s="3">
        <f t="shared" si="28"/>
        <v>4</v>
      </c>
      <c r="BL79" s="292">
        <f t="shared" si="29"/>
        <v>0.44444444444444442</v>
      </c>
      <c r="BM79" s="295"/>
      <c r="BN79" s="295"/>
      <c r="BO79" s="295"/>
      <c r="BP79" s="295"/>
      <c r="BQ79" s="295"/>
      <c r="BR79" s="320" t="str">
        <f t="shared" si="33"/>
        <v>En proceso de realizacion de dummy para autorizacion final</v>
      </c>
      <c r="BS79" s="278"/>
      <c r="BT79" s="278" t="s">
        <v>129</v>
      </c>
    </row>
    <row r="80" spans="1:105" ht="34.5">
      <c r="A80" s="16">
        <v>69</v>
      </c>
      <c r="B80" s="17">
        <v>46248</v>
      </c>
      <c r="C80" s="17" t="s">
        <v>277</v>
      </c>
      <c r="D80" s="17" t="s">
        <v>77</v>
      </c>
      <c r="E80" s="18">
        <v>7502327991533</v>
      </c>
      <c r="F80" s="16" t="s">
        <v>497</v>
      </c>
      <c r="G80" s="19" t="s">
        <v>498</v>
      </c>
      <c r="H80" s="44" t="s">
        <v>60</v>
      </c>
      <c r="I80" s="16" t="s">
        <v>499</v>
      </c>
      <c r="J80" s="19" t="s">
        <v>249</v>
      </c>
      <c r="K80" s="19" t="s">
        <v>281</v>
      </c>
      <c r="L80" s="16">
        <v>1</v>
      </c>
      <c r="M80" s="42" t="s">
        <v>282</v>
      </c>
      <c r="N80" s="16"/>
      <c r="O80" s="16" t="s">
        <v>488</v>
      </c>
      <c r="P80" s="348" t="s">
        <v>345</v>
      </c>
      <c r="Q80" s="23" t="s">
        <v>286</v>
      </c>
      <c r="R80" s="23">
        <v>10000</v>
      </c>
      <c r="S80" s="24" t="e">
        <f ca="1">+P80*$T$25</f>
        <v>#VALUE!</v>
      </c>
      <c r="T80" s="24" t="e">
        <f ca="1">+S80*0.12</f>
        <v>#VALUE!</v>
      </c>
      <c r="U80" s="24" t="e">
        <f ca="1">(S80+T80)*0.0696</f>
        <v>#VALUE!</v>
      </c>
      <c r="V80" s="25" t="e">
        <f t="shared" ca="1" si="18"/>
        <v>#VALUE!</v>
      </c>
      <c r="W80" s="34">
        <v>219</v>
      </c>
      <c r="X80" s="24">
        <f t="shared" si="19"/>
        <v>188.79310344827587</v>
      </c>
      <c r="Y80" s="24">
        <f t="shared" si="20"/>
        <v>113.27586206896552</v>
      </c>
      <c r="Z80" s="27" t="e">
        <f t="shared" ca="1" si="21"/>
        <v>#VALUE!</v>
      </c>
      <c r="AA80" s="27" t="e">
        <f t="shared" ca="1" si="22"/>
        <v>#VALUE!</v>
      </c>
      <c r="AB80" s="28">
        <f t="shared" si="23"/>
        <v>0.4</v>
      </c>
      <c r="AC80" s="29" t="s">
        <v>287</v>
      </c>
      <c r="AD80" s="16"/>
      <c r="AE80" s="19">
        <v>6</v>
      </c>
      <c r="AF80" s="19">
        <v>36</v>
      </c>
      <c r="AG80" s="36" t="s">
        <v>288</v>
      </c>
      <c r="AH80" s="16"/>
      <c r="AI80" s="274"/>
      <c r="AJ80" s="274"/>
      <c r="AL80" s="31">
        <v>142.35</v>
      </c>
      <c r="AM80" s="31">
        <f t="shared" si="24"/>
        <v>122.71551724137932</v>
      </c>
      <c r="AN80" s="32" t="e">
        <f t="shared" ca="1" si="25"/>
        <v>#VALUE!</v>
      </c>
      <c r="AO80" s="32" t="e">
        <f t="shared" ca="1" si="26"/>
        <v>#VALUE!</v>
      </c>
      <c r="AP80" s="33">
        <f t="shared" si="27"/>
        <v>0</v>
      </c>
      <c r="BA80" s="3">
        <v>1</v>
      </c>
      <c r="BB80" s="3">
        <v>1</v>
      </c>
      <c r="BC80" s="3">
        <v>1</v>
      </c>
      <c r="BD80" s="3">
        <v>1</v>
      </c>
      <c r="BE80" s="3"/>
      <c r="BF80" s="3"/>
      <c r="BG80" s="3"/>
      <c r="BH80" s="3"/>
      <c r="BI80" s="3"/>
      <c r="BJ80" s="3">
        <v>9</v>
      </c>
      <c r="BK80" s="3">
        <f t="shared" si="28"/>
        <v>4</v>
      </c>
      <c r="BL80" s="292">
        <f t="shared" si="29"/>
        <v>0.44444444444444442</v>
      </c>
      <c r="BM80" s="295"/>
      <c r="BN80" s="295"/>
      <c r="BO80" s="295"/>
      <c r="BP80" s="295"/>
      <c r="BQ80" s="295"/>
      <c r="BR80" s="320" t="s">
        <v>483</v>
      </c>
      <c r="BS80" s="278"/>
      <c r="BT80" s="278" t="s">
        <v>150</v>
      </c>
    </row>
    <row r="81" spans="1:72" ht="34.5">
      <c r="A81" s="16">
        <v>70</v>
      </c>
      <c r="B81" s="17">
        <v>46248</v>
      </c>
      <c r="C81" s="17" t="s">
        <v>277</v>
      </c>
      <c r="D81" s="17" t="s">
        <v>77</v>
      </c>
      <c r="E81" s="18">
        <v>7502327991540</v>
      </c>
      <c r="F81" s="16" t="s">
        <v>500</v>
      </c>
      <c r="G81" s="19" t="s">
        <v>501</v>
      </c>
      <c r="H81" s="44" t="s">
        <v>60</v>
      </c>
      <c r="I81" s="16" t="s">
        <v>499</v>
      </c>
      <c r="J81" s="19" t="s">
        <v>249</v>
      </c>
      <c r="K81" s="19" t="s">
        <v>281</v>
      </c>
      <c r="L81" s="16">
        <v>1</v>
      </c>
      <c r="M81" s="42" t="s">
        <v>282</v>
      </c>
      <c r="N81" s="16"/>
      <c r="O81" s="16" t="s">
        <v>488</v>
      </c>
      <c r="P81" s="348" t="s">
        <v>345</v>
      </c>
      <c r="Q81" s="23" t="s">
        <v>286</v>
      </c>
      <c r="R81" s="23">
        <v>10000</v>
      </c>
      <c r="S81" s="24" t="e">
        <f ca="1">+P81*$T$25</f>
        <v>#VALUE!</v>
      </c>
      <c r="T81" s="24" t="e">
        <f ca="1">+S81*0.12</f>
        <v>#VALUE!</v>
      </c>
      <c r="U81" s="24" t="e">
        <f ca="1">(S81+T81)*0.0696</f>
        <v>#VALUE!</v>
      </c>
      <c r="V81" s="25" t="e">
        <f t="shared" ref="V81:V107" ca="1" si="35">S81+T81+U81</f>
        <v>#VALUE!</v>
      </c>
      <c r="W81" s="34">
        <v>219</v>
      </c>
      <c r="X81" s="24">
        <f t="shared" ref="X81:X108" si="36">W81/1.16</f>
        <v>188.79310344827587</v>
      </c>
      <c r="Y81" s="24">
        <f t="shared" ref="Y81:Y108" si="37">X81*0.6</f>
        <v>113.27586206896552</v>
      </c>
      <c r="Z81" s="27" t="e">
        <f t="shared" ref="Z81:Z108" ca="1" si="38">V81/Y81</f>
        <v>#VALUE!</v>
      </c>
      <c r="AA81" s="27" t="e">
        <f t="shared" ref="AA81:AA108" ca="1" si="39">1-(V81/Y81)</f>
        <v>#VALUE!</v>
      </c>
      <c r="AB81" s="28">
        <f t="shared" ref="AB81:AB108" si="40">1-(Y81/(W81/1.16))</f>
        <v>0.4</v>
      </c>
      <c r="AC81" s="29" t="s">
        <v>287</v>
      </c>
      <c r="AD81" s="16"/>
      <c r="AE81" s="19">
        <v>6</v>
      </c>
      <c r="AF81" s="19">
        <v>36</v>
      </c>
      <c r="AG81" s="36" t="s">
        <v>288</v>
      </c>
      <c r="AH81" s="16"/>
      <c r="AI81" s="274"/>
      <c r="AJ81" s="274"/>
      <c r="AL81" s="31">
        <v>142.35</v>
      </c>
      <c r="AM81" s="31">
        <f t="shared" ref="AM81:AM108" si="41">+AL81/1.16</f>
        <v>122.71551724137932</v>
      </c>
      <c r="AN81" s="32" t="e">
        <f t="shared" ref="AN81:AN108" ca="1" si="42">+V82/AM81</f>
        <v>#VALUE!</v>
      </c>
      <c r="AO81" s="32" t="e">
        <f t="shared" ref="AO81:AO108" ca="1" si="43">1-V82/AM81</f>
        <v>#VALUE!</v>
      </c>
      <c r="AP81" s="33">
        <f t="shared" ref="AP81:AP108" si="44">1-(AM81/(AL81/1.16))</f>
        <v>0</v>
      </c>
      <c r="BA81" s="3">
        <v>1</v>
      </c>
      <c r="BB81" s="3">
        <v>1</v>
      </c>
      <c r="BC81" s="3">
        <v>1</v>
      </c>
      <c r="BD81" s="3">
        <v>1</v>
      </c>
      <c r="BE81" s="3"/>
      <c r="BF81" s="3"/>
      <c r="BG81" s="3"/>
      <c r="BH81" s="3"/>
      <c r="BI81" s="3"/>
      <c r="BJ81" s="3">
        <v>9</v>
      </c>
      <c r="BK81" s="3">
        <f t="shared" ref="BK81:BK109" si="45">SUM(BA81:BI81)</f>
        <v>4</v>
      </c>
      <c r="BL81" s="292">
        <f t="shared" ref="BL81:BL109" si="46">+BK81/BJ81</f>
        <v>0.44444444444444442</v>
      </c>
      <c r="BM81" s="295"/>
      <c r="BN81" s="295"/>
      <c r="BO81" s="295"/>
      <c r="BP81" s="295"/>
      <c r="BQ81" s="295"/>
      <c r="BR81" s="320" t="s">
        <v>483</v>
      </c>
      <c r="BS81" s="278"/>
      <c r="BT81" s="278" t="s">
        <v>150</v>
      </c>
    </row>
    <row r="82" spans="1:72" ht="73.5" customHeight="1">
      <c r="A82" s="16">
        <v>71</v>
      </c>
      <c r="B82" s="17">
        <v>46248</v>
      </c>
      <c r="C82" s="17" t="s">
        <v>277</v>
      </c>
      <c r="D82" s="17" t="s">
        <v>77</v>
      </c>
      <c r="E82" s="18">
        <v>7502327991557</v>
      </c>
      <c r="F82" s="16" t="s">
        <v>502</v>
      </c>
      <c r="G82" s="19" t="s">
        <v>503</v>
      </c>
      <c r="H82" s="20" t="s">
        <v>60</v>
      </c>
      <c r="I82" s="16" t="s">
        <v>504</v>
      </c>
      <c r="J82" s="19" t="s">
        <v>249</v>
      </c>
      <c r="K82" s="19" t="s">
        <v>281</v>
      </c>
      <c r="L82" s="16">
        <v>1</v>
      </c>
      <c r="M82" s="42" t="s">
        <v>376</v>
      </c>
      <c r="N82" s="16"/>
      <c r="O82" s="16" t="s">
        <v>488</v>
      </c>
      <c r="P82" s="348" t="s">
        <v>345</v>
      </c>
      <c r="Q82" s="23" t="s">
        <v>286</v>
      </c>
      <c r="R82" s="23">
        <v>10000</v>
      </c>
      <c r="S82" s="24" t="e">
        <f ca="1">+P82*$T$25</f>
        <v>#VALUE!</v>
      </c>
      <c r="T82" s="24" t="e">
        <f t="shared" ref="T82:T90" ca="1" si="47">+S82*0.25</f>
        <v>#VALUE!</v>
      </c>
      <c r="U82" s="24" t="e">
        <f ca="1">(S82+T82)*0.1546</f>
        <v>#VALUE!</v>
      </c>
      <c r="V82" s="25" t="e">
        <f t="shared" ca="1" si="35"/>
        <v>#VALUE!</v>
      </c>
      <c r="W82" s="34">
        <v>299</v>
      </c>
      <c r="X82" s="24">
        <f t="shared" si="36"/>
        <v>257.75862068965517</v>
      </c>
      <c r="Y82" s="24">
        <f t="shared" si="37"/>
        <v>154.65517241379311</v>
      </c>
      <c r="Z82" s="27" t="e">
        <f t="shared" ca="1" si="38"/>
        <v>#VALUE!</v>
      </c>
      <c r="AA82" s="27" t="e">
        <f t="shared" ca="1" si="39"/>
        <v>#VALUE!</v>
      </c>
      <c r="AB82" s="28">
        <f t="shared" si="40"/>
        <v>0.4</v>
      </c>
      <c r="AC82" s="29" t="s">
        <v>287</v>
      </c>
      <c r="AD82" s="16"/>
      <c r="AE82" s="19">
        <v>4</v>
      </c>
      <c r="AF82" s="19">
        <v>24</v>
      </c>
      <c r="AG82" s="36" t="s">
        <v>505</v>
      </c>
      <c r="AH82" s="16"/>
      <c r="AI82" s="274"/>
      <c r="AJ82" s="274"/>
      <c r="AL82" s="31">
        <v>194.35</v>
      </c>
      <c r="AM82" s="31">
        <f t="shared" si="41"/>
        <v>167.54310344827587</v>
      </c>
      <c r="AN82" s="32">
        <f t="shared" si="42"/>
        <v>2.1686635708772832</v>
      </c>
      <c r="AO82" s="32">
        <f t="shared" si="43"/>
        <v>-1.1686635708772832</v>
      </c>
      <c r="AP82" s="33">
        <f t="shared" si="44"/>
        <v>0</v>
      </c>
      <c r="BA82" s="3">
        <v>1</v>
      </c>
      <c r="BB82" s="3">
        <v>1</v>
      </c>
      <c r="BC82" s="3">
        <v>1</v>
      </c>
      <c r="BD82" s="3">
        <v>1</v>
      </c>
      <c r="BE82" s="3"/>
      <c r="BF82" s="3"/>
      <c r="BG82" s="3"/>
      <c r="BH82" s="3"/>
      <c r="BI82" s="3"/>
      <c r="BJ82" s="3">
        <v>9</v>
      </c>
      <c r="BK82" s="3">
        <f t="shared" si="45"/>
        <v>4</v>
      </c>
      <c r="BL82" s="292">
        <f t="shared" si="46"/>
        <v>0.44444444444444442</v>
      </c>
      <c r="BM82" s="295"/>
      <c r="BN82" s="295"/>
      <c r="BO82" s="295"/>
      <c r="BP82" s="295"/>
      <c r="BQ82" s="295"/>
      <c r="BR82" s="320" t="str">
        <f t="shared" ref="BR82:BR109" si="48">+AG82</f>
        <v>En proceso de render para solicitar autorizacion final</v>
      </c>
      <c r="BS82" s="278"/>
      <c r="BT82" s="278" t="s">
        <v>129</v>
      </c>
    </row>
    <row r="83" spans="1:72" ht="34.5">
      <c r="A83" s="16">
        <v>72</v>
      </c>
      <c r="B83" s="17">
        <v>46248</v>
      </c>
      <c r="C83" s="17" t="s">
        <v>277</v>
      </c>
      <c r="D83" s="17" t="s">
        <v>77</v>
      </c>
      <c r="E83" s="18">
        <v>7502327991564</v>
      </c>
      <c r="F83" s="16" t="s">
        <v>506</v>
      </c>
      <c r="G83" s="19" t="s">
        <v>507</v>
      </c>
      <c r="H83" s="20" t="s">
        <v>60</v>
      </c>
      <c r="I83" s="16" t="s">
        <v>508</v>
      </c>
      <c r="J83" s="19" t="s">
        <v>249</v>
      </c>
      <c r="K83" s="19" t="s">
        <v>281</v>
      </c>
      <c r="L83" s="16">
        <v>1</v>
      </c>
      <c r="M83" s="42" t="s">
        <v>493</v>
      </c>
      <c r="N83" s="16"/>
      <c r="O83" s="16" t="s">
        <v>488</v>
      </c>
      <c r="P83" s="348">
        <v>14</v>
      </c>
      <c r="Q83" s="23" t="s">
        <v>64</v>
      </c>
      <c r="R83" s="23">
        <v>30000</v>
      </c>
      <c r="S83" s="24">
        <f t="shared" ref="S83:S88" si="49">+P83*18.5</f>
        <v>259</v>
      </c>
      <c r="T83" s="24">
        <f t="shared" si="47"/>
        <v>64.75</v>
      </c>
      <c r="U83" s="24">
        <f>(S83+T83)*0.1223</f>
        <v>39.594625000000001</v>
      </c>
      <c r="V83" s="25">
        <f t="shared" si="35"/>
        <v>363.34462500000001</v>
      </c>
      <c r="W83" s="34">
        <v>29</v>
      </c>
      <c r="X83" s="24">
        <f t="shared" si="36"/>
        <v>25</v>
      </c>
      <c r="Y83" s="24">
        <f t="shared" si="37"/>
        <v>15</v>
      </c>
      <c r="Z83" s="27">
        <f t="shared" si="38"/>
        <v>24.222975000000002</v>
      </c>
      <c r="AA83" s="27">
        <f t="shared" si="39"/>
        <v>-23.222975000000002</v>
      </c>
      <c r="AB83" s="28">
        <f t="shared" si="40"/>
        <v>0.4</v>
      </c>
      <c r="AC83" s="29" t="s">
        <v>287</v>
      </c>
      <c r="AD83" s="16"/>
      <c r="AE83" s="19">
        <v>12</v>
      </c>
      <c r="AF83" s="19">
        <v>480</v>
      </c>
      <c r="AG83" s="36" t="s">
        <v>505</v>
      </c>
      <c r="AH83" s="16"/>
      <c r="AI83" s="274"/>
      <c r="AJ83" s="274"/>
      <c r="AL83" s="31">
        <v>18.850000000000001</v>
      </c>
      <c r="AM83" s="31">
        <f t="shared" si="41"/>
        <v>16.250000000000004</v>
      </c>
      <c r="AN83" s="32">
        <f t="shared" si="42"/>
        <v>1.5971192307692303</v>
      </c>
      <c r="AO83" s="32">
        <f t="shared" si="43"/>
        <v>-0.59711923076923035</v>
      </c>
      <c r="AP83" s="33">
        <f t="shared" si="44"/>
        <v>0</v>
      </c>
      <c r="BA83" s="3">
        <v>1</v>
      </c>
      <c r="BB83" s="3">
        <v>1</v>
      </c>
      <c r="BC83" s="3">
        <v>1</v>
      </c>
      <c r="BD83" s="3">
        <v>1</v>
      </c>
      <c r="BE83" s="3"/>
      <c r="BF83" s="3"/>
      <c r="BG83" s="3"/>
      <c r="BH83" s="3"/>
      <c r="BI83" s="3"/>
      <c r="BJ83" s="3">
        <v>9</v>
      </c>
      <c r="BK83" s="3">
        <f t="shared" si="45"/>
        <v>4</v>
      </c>
      <c r="BL83" s="292">
        <f t="shared" si="46"/>
        <v>0.44444444444444442</v>
      </c>
      <c r="BM83" s="295"/>
      <c r="BN83" s="295"/>
      <c r="BO83" s="295"/>
      <c r="BP83" s="295"/>
      <c r="BQ83" s="295"/>
      <c r="BR83" s="320" t="str">
        <f t="shared" si="48"/>
        <v>En proceso de render para solicitar autorizacion final</v>
      </c>
      <c r="BS83" s="278"/>
      <c r="BT83" s="278" t="s">
        <v>129</v>
      </c>
    </row>
    <row r="84" spans="1:72" ht="34.5">
      <c r="A84" s="16">
        <v>73</v>
      </c>
      <c r="B84" s="17">
        <v>46248</v>
      </c>
      <c r="C84" s="17" t="s">
        <v>277</v>
      </c>
      <c r="D84" s="17" t="s">
        <v>77</v>
      </c>
      <c r="E84" s="18">
        <v>7502327991571</v>
      </c>
      <c r="F84" s="16" t="s">
        <v>509</v>
      </c>
      <c r="G84" s="19" t="s">
        <v>510</v>
      </c>
      <c r="H84" s="20" t="s">
        <v>60</v>
      </c>
      <c r="I84" s="16" t="s">
        <v>508</v>
      </c>
      <c r="J84" s="19" t="s">
        <v>249</v>
      </c>
      <c r="K84" s="19" t="s">
        <v>281</v>
      </c>
      <c r="L84" s="16">
        <v>1</v>
      </c>
      <c r="M84" s="42" t="s">
        <v>493</v>
      </c>
      <c r="N84" s="16"/>
      <c r="O84" s="16" t="s">
        <v>488</v>
      </c>
      <c r="P84" s="348">
        <v>1</v>
      </c>
      <c r="Q84" s="23" t="s">
        <v>64</v>
      </c>
      <c r="R84" s="23">
        <v>30000</v>
      </c>
      <c r="S84" s="24">
        <f t="shared" si="49"/>
        <v>18.5</v>
      </c>
      <c r="T84" s="24">
        <f t="shared" si="47"/>
        <v>4.625</v>
      </c>
      <c r="U84" s="24">
        <f>(S84+T84)*0.1223</f>
        <v>2.8281875000000003</v>
      </c>
      <c r="V84" s="25">
        <f t="shared" si="35"/>
        <v>25.953187499999999</v>
      </c>
      <c r="W84" s="34">
        <v>29</v>
      </c>
      <c r="X84" s="24">
        <f t="shared" si="36"/>
        <v>25</v>
      </c>
      <c r="Y84" s="24">
        <f t="shared" si="37"/>
        <v>15</v>
      </c>
      <c r="Z84" s="27">
        <f t="shared" si="38"/>
        <v>1.7302124999999999</v>
      </c>
      <c r="AA84" s="27">
        <f t="shared" si="39"/>
        <v>-0.73021249999999993</v>
      </c>
      <c r="AB84" s="28">
        <f t="shared" si="40"/>
        <v>0.4</v>
      </c>
      <c r="AC84" s="29" t="s">
        <v>287</v>
      </c>
      <c r="AD84" s="16"/>
      <c r="AE84" s="19">
        <v>12</v>
      </c>
      <c r="AF84" s="19">
        <v>480</v>
      </c>
      <c r="AG84" s="36" t="s">
        <v>505</v>
      </c>
      <c r="AH84" s="16"/>
      <c r="AI84" s="274"/>
      <c r="AJ84" s="274"/>
      <c r="AL84" s="31">
        <v>18.850000000000001</v>
      </c>
      <c r="AM84" s="31">
        <f t="shared" si="41"/>
        <v>16.250000000000004</v>
      </c>
      <c r="AN84" s="32">
        <f t="shared" si="42"/>
        <v>1.5971192307692303</v>
      </c>
      <c r="AO84" s="32">
        <f t="shared" si="43"/>
        <v>-0.59711923076923035</v>
      </c>
      <c r="AP84" s="33">
        <f t="shared" si="44"/>
        <v>0</v>
      </c>
      <c r="BA84" s="3">
        <v>1</v>
      </c>
      <c r="BB84" s="3">
        <v>1</v>
      </c>
      <c r="BC84" s="3">
        <v>1</v>
      </c>
      <c r="BD84" s="3">
        <v>1</v>
      </c>
      <c r="BE84" s="3"/>
      <c r="BF84" s="3"/>
      <c r="BG84" s="3"/>
      <c r="BH84" s="3"/>
      <c r="BI84" s="3"/>
      <c r="BJ84" s="3">
        <v>9</v>
      </c>
      <c r="BK84" s="3">
        <f t="shared" si="45"/>
        <v>4</v>
      </c>
      <c r="BL84" s="292">
        <f t="shared" si="46"/>
        <v>0.44444444444444442</v>
      </c>
      <c r="BM84" s="295"/>
      <c r="BN84" s="295"/>
      <c r="BO84" s="295"/>
      <c r="BP84" s="295"/>
      <c r="BQ84" s="295"/>
      <c r="BR84" s="320" t="str">
        <f t="shared" si="48"/>
        <v>En proceso de render para solicitar autorizacion final</v>
      </c>
      <c r="BS84" s="278"/>
      <c r="BT84" s="278" t="s">
        <v>129</v>
      </c>
    </row>
    <row r="85" spans="1:72" ht="34.5">
      <c r="A85" s="16">
        <v>74</v>
      </c>
      <c r="B85" s="17">
        <v>46248</v>
      </c>
      <c r="C85" s="17" t="s">
        <v>277</v>
      </c>
      <c r="D85" s="17" t="s">
        <v>77</v>
      </c>
      <c r="E85" s="18">
        <v>7502327991588</v>
      </c>
      <c r="F85" s="16" t="s">
        <v>511</v>
      </c>
      <c r="G85" s="19" t="s">
        <v>512</v>
      </c>
      <c r="H85" s="20" t="s">
        <v>60</v>
      </c>
      <c r="I85" s="16" t="s">
        <v>508</v>
      </c>
      <c r="J85" s="19" t="s">
        <v>249</v>
      </c>
      <c r="K85" s="19" t="s">
        <v>281</v>
      </c>
      <c r="L85" s="16">
        <v>1</v>
      </c>
      <c r="M85" s="42" t="s">
        <v>493</v>
      </c>
      <c r="N85" s="16"/>
      <c r="O85" s="16" t="s">
        <v>488</v>
      </c>
      <c r="P85" s="348">
        <v>1</v>
      </c>
      <c r="Q85" s="23" t="s">
        <v>64</v>
      </c>
      <c r="R85" s="23">
        <v>30000</v>
      </c>
      <c r="S85" s="24">
        <f t="shared" si="49"/>
        <v>18.5</v>
      </c>
      <c r="T85" s="24">
        <f t="shared" si="47"/>
        <v>4.625</v>
      </c>
      <c r="U85" s="24">
        <f>(S85+T85)*0.1223</f>
        <v>2.8281875000000003</v>
      </c>
      <c r="V85" s="25">
        <f t="shared" si="35"/>
        <v>25.953187499999999</v>
      </c>
      <c r="W85" s="34">
        <v>29</v>
      </c>
      <c r="X85" s="24">
        <f t="shared" si="36"/>
        <v>25</v>
      </c>
      <c r="Y85" s="24">
        <f t="shared" si="37"/>
        <v>15</v>
      </c>
      <c r="Z85" s="27">
        <f t="shared" si="38"/>
        <v>1.7302124999999999</v>
      </c>
      <c r="AA85" s="27">
        <f t="shared" si="39"/>
        <v>-0.73021249999999993</v>
      </c>
      <c r="AB85" s="28">
        <f t="shared" si="40"/>
        <v>0.4</v>
      </c>
      <c r="AC85" s="29" t="s">
        <v>287</v>
      </c>
      <c r="AD85" s="16"/>
      <c r="AE85" s="19">
        <v>12</v>
      </c>
      <c r="AF85" s="19">
        <v>480</v>
      </c>
      <c r="AG85" s="36" t="s">
        <v>505</v>
      </c>
      <c r="AH85" s="16"/>
      <c r="AI85" s="274"/>
      <c r="AJ85" s="274"/>
      <c r="AL85" s="31">
        <v>18.850000000000001</v>
      </c>
      <c r="AM85" s="31">
        <f t="shared" si="41"/>
        <v>16.250000000000004</v>
      </c>
      <c r="AN85" s="32">
        <f t="shared" si="42"/>
        <v>1.5971192307692303</v>
      </c>
      <c r="AO85" s="32">
        <f t="shared" si="43"/>
        <v>-0.59711923076923035</v>
      </c>
      <c r="AP85" s="33">
        <f t="shared" si="44"/>
        <v>0</v>
      </c>
      <c r="BA85" s="3">
        <v>1</v>
      </c>
      <c r="BB85" s="3">
        <v>1</v>
      </c>
      <c r="BC85" s="3">
        <v>1</v>
      </c>
      <c r="BD85" s="3">
        <v>1</v>
      </c>
      <c r="BE85" s="3"/>
      <c r="BF85" s="3"/>
      <c r="BG85" s="3"/>
      <c r="BH85" s="3"/>
      <c r="BI85" s="3"/>
      <c r="BJ85" s="3">
        <v>9</v>
      </c>
      <c r="BK85" s="3">
        <f t="shared" si="45"/>
        <v>4</v>
      </c>
      <c r="BL85" s="292">
        <f t="shared" si="46"/>
        <v>0.44444444444444442</v>
      </c>
      <c r="BM85" s="295"/>
      <c r="BN85" s="295"/>
      <c r="BO85" s="295"/>
      <c r="BP85" s="295"/>
      <c r="BQ85" s="295"/>
      <c r="BR85" s="320" t="str">
        <f t="shared" si="48"/>
        <v>En proceso de render para solicitar autorizacion final</v>
      </c>
      <c r="BS85" s="278"/>
      <c r="BT85" s="278" t="s">
        <v>129</v>
      </c>
    </row>
    <row r="86" spans="1:72" ht="34.5">
      <c r="A86" s="16">
        <v>75</v>
      </c>
      <c r="B86" s="17">
        <v>46248</v>
      </c>
      <c r="C86" s="17" t="s">
        <v>277</v>
      </c>
      <c r="D86" s="17" t="s">
        <v>77</v>
      </c>
      <c r="E86" s="18">
        <v>7502327991595</v>
      </c>
      <c r="F86" s="16" t="s">
        <v>513</v>
      </c>
      <c r="G86" s="19" t="s">
        <v>514</v>
      </c>
      <c r="H86" s="20" t="s">
        <v>60</v>
      </c>
      <c r="I86" s="16" t="s">
        <v>508</v>
      </c>
      <c r="J86" s="19" t="s">
        <v>249</v>
      </c>
      <c r="K86" s="19" t="s">
        <v>281</v>
      </c>
      <c r="L86" s="16">
        <v>1</v>
      </c>
      <c r="M86" s="42" t="s">
        <v>493</v>
      </c>
      <c r="N86" s="16"/>
      <c r="O86" s="16" t="s">
        <v>488</v>
      </c>
      <c r="P86" s="348">
        <v>1</v>
      </c>
      <c r="Q86" s="23" t="s">
        <v>64</v>
      </c>
      <c r="R86" s="23">
        <v>30000</v>
      </c>
      <c r="S86" s="24">
        <f t="shared" si="49"/>
        <v>18.5</v>
      </c>
      <c r="T86" s="24">
        <f t="shared" si="47"/>
        <v>4.625</v>
      </c>
      <c r="U86" s="24">
        <f>(S86+T86)*0.1223</f>
        <v>2.8281875000000003</v>
      </c>
      <c r="V86" s="25">
        <f t="shared" si="35"/>
        <v>25.953187499999999</v>
      </c>
      <c r="W86" s="34">
        <v>29</v>
      </c>
      <c r="X86" s="24">
        <f t="shared" si="36"/>
        <v>25</v>
      </c>
      <c r="Y86" s="24">
        <f t="shared" si="37"/>
        <v>15</v>
      </c>
      <c r="Z86" s="27">
        <f t="shared" si="38"/>
        <v>1.7302124999999999</v>
      </c>
      <c r="AA86" s="27">
        <f t="shared" si="39"/>
        <v>-0.73021249999999993</v>
      </c>
      <c r="AB86" s="28">
        <f t="shared" si="40"/>
        <v>0.4</v>
      </c>
      <c r="AC86" s="29" t="s">
        <v>287</v>
      </c>
      <c r="AD86" s="16"/>
      <c r="AE86" s="19">
        <v>12</v>
      </c>
      <c r="AF86" s="19">
        <v>480</v>
      </c>
      <c r="AG86" s="36" t="s">
        <v>505</v>
      </c>
      <c r="AH86" s="16"/>
      <c r="AI86" s="274"/>
      <c r="AJ86" s="274"/>
      <c r="AL86" s="31">
        <v>18.850000000000001</v>
      </c>
      <c r="AM86" s="31">
        <f t="shared" si="41"/>
        <v>16.250000000000004</v>
      </c>
      <c r="AN86" s="32">
        <f t="shared" si="42"/>
        <v>1.5971192307692303</v>
      </c>
      <c r="AO86" s="32">
        <f t="shared" si="43"/>
        <v>-0.59711923076923035</v>
      </c>
      <c r="AP86" s="33">
        <f t="shared" si="44"/>
        <v>0</v>
      </c>
      <c r="BA86" s="3">
        <v>1</v>
      </c>
      <c r="BB86" s="3">
        <v>1</v>
      </c>
      <c r="BC86" s="3">
        <v>1</v>
      </c>
      <c r="BD86" s="3">
        <v>1</v>
      </c>
      <c r="BE86" s="3"/>
      <c r="BF86" s="3"/>
      <c r="BG86" s="3"/>
      <c r="BH86" s="3"/>
      <c r="BI86" s="3"/>
      <c r="BJ86" s="3">
        <v>9</v>
      </c>
      <c r="BK86" s="3">
        <f t="shared" si="45"/>
        <v>4</v>
      </c>
      <c r="BL86" s="292">
        <f t="shared" si="46"/>
        <v>0.44444444444444442</v>
      </c>
      <c r="BM86" s="295"/>
      <c r="BN86" s="295"/>
      <c r="BO86" s="295"/>
      <c r="BP86" s="295"/>
      <c r="BQ86" s="295"/>
      <c r="BR86" s="320" t="str">
        <f t="shared" si="48"/>
        <v>En proceso de render para solicitar autorizacion final</v>
      </c>
      <c r="BS86" s="278"/>
      <c r="BT86" s="278" t="s">
        <v>129</v>
      </c>
    </row>
    <row r="87" spans="1:72" ht="34.5">
      <c r="A87" s="16">
        <v>76</v>
      </c>
      <c r="B87" s="17">
        <v>46248</v>
      </c>
      <c r="C87" s="17" t="s">
        <v>277</v>
      </c>
      <c r="D87" s="17" t="s">
        <v>77</v>
      </c>
      <c r="E87" s="18">
        <v>7502327991601</v>
      </c>
      <c r="F87" s="16" t="s">
        <v>515</v>
      </c>
      <c r="G87" s="19" t="s">
        <v>516</v>
      </c>
      <c r="H87" s="20" t="s">
        <v>60</v>
      </c>
      <c r="I87" s="16" t="s">
        <v>508</v>
      </c>
      <c r="J87" s="19" t="s">
        <v>249</v>
      </c>
      <c r="K87" s="19" t="s">
        <v>281</v>
      </c>
      <c r="L87" s="16">
        <v>1</v>
      </c>
      <c r="M87" s="42" t="s">
        <v>493</v>
      </c>
      <c r="N87" s="16"/>
      <c r="O87" s="16" t="s">
        <v>488</v>
      </c>
      <c r="P87" s="348">
        <v>1</v>
      </c>
      <c r="Q87" s="23" t="s">
        <v>64</v>
      </c>
      <c r="R87" s="23">
        <v>30000</v>
      </c>
      <c r="S87" s="24">
        <f t="shared" si="49"/>
        <v>18.5</v>
      </c>
      <c r="T87" s="24">
        <f t="shared" si="47"/>
        <v>4.625</v>
      </c>
      <c r="U87" s="24">
        <f>(S87+T87)*0.1223</f>
        <v>2.8281875000000003</v>
      </c>
      <c r="V87" s="25">
        <f t="shared" si="35"/>
        <v>25.953187499999999</v>
      </c>
      <c r="W87" s="34">
        <v>29</v>
      </c>
      <c r="X87" s="24">
        <f t="shared" si="36"/>
        <v>25</v>
      </c>
      <c r="Y87" s="24">
        <f t="shared" si="37"/>
        <v>15</v>
      </c>
      <c r="Z87" s="27">
        <f t="shared" si="38"/>
        <v>1.7302124999999999</v>
      </c>
      <c r="AA87" s="27">
        <f t="shared" si="39"/>
        <v>-0.73021249999999993</v>
      </c>
      <c r="AB87" s="28">
        <f t="shared" si="40"/>
        <v>0.4</v>
      </c>
      <c r="AC87" s="29" t="s">
        <v>287</v>
      </c>
      <c r="AD87" s="16"/>
      <c r="AE87" s="19">
        <v>12</v>
      </c>
      <c r="AF87" s="19">
        <v>480</v>
      </c>
      <c r="AG87" s="36" t="s">
        <v>505</v>
      </c>
      <c r="AH87" s="16"/>
      <c r="AI87" s="274"/>
      <c r="AJ87" s="274"/>
      <c r="AL87" s="31">
        <v>18.850000000000001</v>
      </c>
      <c r="AM87" s="31">
        <f t="shared" si="41"/>
        <v>16.250000000000004</v>
      </c>
      <c r="AN87" s="32" t="e">
        <f t="shared" si="42"/>
        <v>#VALUE!</v>
      </c>
      <c r="AO87" s="32" t="e">
        <f t="shared" si="43"/>
        <v>#VALUE!</v>
      </c>
      <c r="AP87" s="33">
        <f t="shared" si="44"/>
        <v>0</v>
      </c>
      <c r="BA87" s="3">
        <v>1</v>
      </c>
      <c r="BB87" s="3">
        <v>1</v>
      </c>
      <c r="BC87" s="3">
        <v>1</v>
      </c>
      <c r="BD87" s="3">
        <v>1</v>
      </c>
      <c r="BE87" s="3"/>
      <c r="BF87" s="3"/>
      <c r="BG87" s="3"/>
      <c r="BH87" s="3"/>
      <c r="BI87" s="3"/>
      <c r="BJ87" s="3">
        <v>9</v>
      </c>
      <c r="BK87" s="3">
        <f t="shared" si="45"/>
        <v>4</v>
      </c>
      <c r="BL87" s="292">
        <f t="shared" si="46"/>
        <v>0.44444444444444442</v>
      </c>
      <c r="BM87" s="295"/>
      <c r="BN87" s="295"/>
      <c r="BO87" s="295"/>
      <c r="BP87" s="295"/>
      <c r="BQ87" s="295"/>
      <c r="BR87" s="320" t="str">
        <f t="shared" si="48"/>
        <v>En proceso de render para solicitar autorizacion final</v>
      </c>
      <c r="BS87" s="278"/>
      <c r="BT87" s="278" t="s">
        <v>129</v>
      </c>
    </row>
    <row r="88" spans="1:72" ht="34.5">
      <c r="A88" s="16">
        <v>77</v>
      </c>
      <c r="B88" s="17">
        <v>46248</v>
      </c>
      <c r="C88" s="17" t="s">
        <v>277</v>
      </c>
      <c r="D88" s="17" t="s">
        <v>77</v>
      </c>
      <c r="E88" s="18">
        <v>7502327991618</v>
      </c>
      <c r="F88" s="16" t="s">
        <v>517</v>
      </c>
      <c r="G88" s="19" t="s">
        <v>518</v>
      </c>
      <c r="H88" s="20" t="s">
        <v>60</v>
      </c>
      <c r="I88" s="16" t="s">
        <v>508</v>
      </c>
      <c r="J88" s="19" t="s">
        <v>249</v>
      </c>
      <c r="K88" s="19" t="s">
        <v>281</v>
      </c>
      <c r="L88" s="16">
        <v>1</v>
      </c>
      <c r="M88" s="42" t="s">
        <v>493</v>
      </c>
      <c r="N88" s="16"/>
      <c r="O88" s="16" t="s">
        <v>488</v>
      </c>
      <c r="P88" s="348" t="s">
        <v>519</v>
      </c>
      <c r="Q88" s="23" t="s">
        <v>64</v>
      </c>
      <c r="R88" s="23">
        <v>30000</v>
      </c>
      <c r="S88" s="24" t="e">
        <f t="shared" si="49"/>
        <v>#VALUE!</v>
      </c>
      <c r="T88" s="24" t="e">
        <f t="shared" si="47"/>
        <v>#VALUE!</v>
      </c>
      <c r="U88" s="24" t="e">
        <f>(S88+T88)*0.1206</f>
        <v>#VALUE!</v>
      </c>
      <c r="V88" s="25" t="e">
        <f t="shared" si="35"/>
        <v>#VALUE!</v>
      </c>
      <c r="W88" s="34">
        <v>129</v>
      </c>
      <c r="X88" s="24">
        <f t="shared" si="36"/>
        <v>111.20689655172414</v>
      </c>
      <c r="Y88" s="24">
        <f t="shared" si="37"/>
        <v>66.724137931034477</v>
      </c>
      <c r="Z88" s="27" t="e">
        <f t="shared" si="38"/>
        <v>#VALUE!</v>
      </c>
      <c r="AA88" s="27" t="e">
        <f t="shared" si="39"/>
        <v>#VALUE!</v>
      </c>
      <c r="AB88" s="28">
        <f t="shared" si="40"/>
        <v>0.4</v>
      </c>
      <c r="AC88" s="29" t="s">
        <v>287</v>
      </c>
      <c r="AD88" s="16"/>
      <c r="AE88" s="19">
        <v>6</v>
      </c>
      <c r="AF88" s="19">
        <v>72</v>
      </c>
      <c r="AG88" s="36" t="s">
        <v>505</v>
      </c>
      <c r="AH88" s="16"/>
      <c r="AI88" s="274"/>
      <c r="AJ88" s="274"/>
      <c r="AL88" s="31">
        <v>83.85</v>
      </c>
      <c r="AM88" s="31">
        <f t="shared" si="41"/>
        <v>72.284482758620683</v>
      </c>
      <c r="AN88" s="32" t="e">
        <f t="shared" ca="1" si="42"/>
        <v>#VALUE!</v>
      </c>
      <c r="AO88" s="32" t="e">
        <f t="shared" ca="1" si="43"/>
        <v>#VALUE!</v>
      </c>
      <c r="AP88" s="33">
        <f t="shared" si="44"/>
        <v>0</v>
      </c>
      <c r="BA88" s="3">
        <v>1</v>
      </c>
      <c r="BB88" s="3">
        <v>1</v>
      </c>
      <c r="BC88" s="3">
        <v>1</v>
      </c>
      <c r="BD88" s="3">
        <v>1</v>
      </c>
      <c r="BE88" s="3"/>
      <c r="BF88" s="3"/>
      <c r="BG88" s="3"/>
      <c r="BH88" s="3"/>
      <c r="BI88" s="3"/>
      <c r="BJ88" s="3">
        <v>9</v>
      </c>
      <c r="BK88" s="3">
        <f t="shared" si="45"/>
        <v>4</v>
      </c>
      <c r="BL88" s="292">
        <f t="shared" si="46"/>
        <v>0.44444444444444442</v>
      </c>
      <c r="BM88" s="295"/>
      <c r="BN88" s="295"/>
      <c r="BO88" s="295"/>
      <c r="BP88" s="295"/>
      <c r="BQ88" s="295"/>
      <c r="BR88" s="320" t="str">
        <f t="shared" si="48"/>
        <v>En proceso de render para solicitar autorizacion final</v>
      </c>
      <c r="BS88" s="278"/>
      <c r="BT88" s="278" t="s">
        <v>129</v>
      </c>
    </row>
    <row r="89" spans="1:72" ht="34.5">
      <c r="A89" s="16">
        <v>78</v>
      </c>
      <c r="B89" s="17">
        <v>46248</v>
      </c>
      <c r="C89" s="17" t="s">
        <v>277</v>
      </c>
      <c r="D89" s="17" t="s">
        <v>77</v>
      </c>
      <c r="E89" s="18">
        <v>7502327991625</v>
      </c>
      <c r="F89" s="16" t="s">
        <v>520</v>
      </c>
      <c r="G89" s="19" t="s">
        <v>521</v>
      </c>
      <c r="H89" s="20" t="s">
        <v>60</v>
      </c>
      <c r="I89" s="16" t="s">
        <v>522</v>
      </c>
      <c r="J89" s="19" t="s">
        <v>249</v>
      </c>
      <c r="K89" s="19" t="s">
        <v>281</v>
      </c>
      <c r="L89" s="16">
        <v>1</v>
      </c>
      <c r="M89" s="42" t="s">
        <v>282</v>
      </c>
      <c r="N89" s="39" t="s">
        <v>523</v>
      </c>
      <c r="O89" s="16" t="s">
        <v>524</v>
      </c>
      <c r="P89" s="348" t="s">
        <v>525</v>
      </c>
      <c r="Q89" s="23" t="s">
        <v>286</v>
      </c>
      <c r="R89" s="23">
        <v>10000</v>
      </c>
      <c r="S89" s="24" t="e">
        <f ca="1">+P89*$T$25</f>
        <v>#VALUE!</v>
      </c>
      <c r="T89" s="24" t="e">
        <f t="shared" ca="1" si="47"/>
        <v>#VALUE!</v>
      </c>
      <c r="U89" s="24" t="e">
        <f ca="1">(S89+T89)*0.1726</f>
        <v>#VALUE!</v>
      </c>
      <c r="V89" s="25" t="e">
        <f t="shared" ca="1" si="35"/>
        <v>#VALUE!</v>
      </c>
      <c r="W89" s="34">
        <v>195</v>
      </c>
      <c r="X89" s="24">
        <f t="shared" si="36"/>
        <v>168.10344827586209</v>
      </c>
      <c r="Y89" s="24">
        <f t="shared" si="37"/>
        <v>100.86206896551725</v>
      </c>
      <c r="Z89" s="27" t="e">
        <f t="shared" ca="1" si="38"/>
        <v>#VALUE!</v>
      </c>
      <c r="AA89" s="27" t="e">
        <f t="shared" ca="1" si="39"/>
        <v>#VALUE!</v>
      </c>
      <c r="AB89" s="28">
        <f t="shared" si="40"/>
        <v>0.4</v>
      </c>
      <c r="AC89" s="29" t="s">
        <v>287</v>
      </c>
      <c r="AD89" s="16"/>
      <c r="AE89" s="19">
        <v>4</v>
      </c>
      <c r="AF89" s="19">
        <v>48</v>
      </c>
      <c r="AG89" s="36" t="s">
        <v>505</v>
      </c>
      <c r="AH89" s="16"/>
      <c r="AI89" s="274"/>
      <c r="AJ89" s="274"/>
      <c r="AL89" s="31">
        <v>126.75</v>
      </c>
      <c r="AM89" s="31">
        <f t="shared" si="41"/>
        <v>109.26724137931035</v>
      </c>
      <c r="AN89" s="32" t="e">
        <f t="shared" ca="1" si="42"/>
        <v>#VALUE!</v>
      </c>
      <c r="AO89" s="32" t="e">
        <f t="shared" ca="1" si="43"/>
        <v>#VALUE!</v>
      </c>
      <c r="AP89" s="33">
        <f t="shared" si="44"/>
        <v>0</v>
      </c>
      <c r="BA89" s="3">
        <v>1</v>
      </c>
      <c r="BB89" s="3">
        <v>1</v>
      </c>
      <c r="BC89" s="3">
        <v>1</v>
      </c>
      <c r="BD89" s="3">
        <v>1</v>
      </c>
      <c r="BE89" s="3"/>
      <c r="BF89" s="3"/>
      <c r="BG89" s="3"/>
      <c r="BH89" s="3"/>
      <c r="BI89" s="3"/>
      <c r="BJ89" s="3">
        <v>9</v>
      </c>
      <c r="BK89" s="3">
        <f t="shared" si="45"/>
        <v>4</v>
      </c>
      <c r="BL89" s="292">
        <f t="shared" si="46"/>
        <v>0.44444444444444442</v>
      </c>
      <c r="BM89" s="295"/>
      <c r="BN89" s="295"/>
      <c r="BO89" s="295"/>
      <c r="BP89" s="295"/>
      <c r="BQ89" s="295"/>
      <c r="BR89" s="320" t="str">
        <f t="shared" si="48"/>
        <v>En proceso de render para solicitar autorizacion final</v>
      </c>
      <c r="BS89" s="278"/>
      <c r="BT89" s="278" t="s">
        <v>129</v>
      </c>
    </row>
    <row r="90" spans="1:72" ht="34.5">
      <c r="A90" s="16">
        <v>79</v>
      </c>
      <c r="B90" s="17">
        <v>46248</v>
      </c>
      <c r="C90" s="17" t="s">
        <v>277</v>
      </c>
      <c r="D90" s="17" t="s">
        <v>77</v>
      </c>
      <c r="E90" s="18">
        <v>7502327991632</v>
      </c>
      <c r="F90" s="16" t="s">
        <v>526</v>
      </c>
      <c r="G90" s="19" t="s">
        <v>527</v>
      </c>
      <c r="H90" s="20" t="s">
        <v>60</v>
      </c>
      <c r="I90" s="16" t="s">
        <v>522</v>
      </c>
      <c r="J90" s="19" t="s">
        <v>249</v>
      </c>
      <c r="K90" s="19" t="s">
        <v>281</v>
      </c>
      <c r="L90" s="16">
        <v>1</v>
      </c>
      <c r="M90" s="42" t="s">
        <v>282</v>
      </c>
      <c r="N90" s="39" t="s">
        <v>528</v>
      </c>
      <c r="O90" s="16" t="s">
        <v>524</v>
      </c>
      <c r="P90" s="348" t="s">
        <v>525</v>
      </c>
      <c r="Q90" s="23" t="s">
        <v>286</v>
      </c>
      <c r="R90" s="23">
        <v>10000</v>
      </c>
      <c r="S90" s="24" t="e">
        <f ca="1">+P90*$T$25</f>
        <v>#VALUE!</v>
      </c>
      <c r="T90" s="24" t="e">
        <f t="shared" ca="1" si="47"/>
        <v>#VALUE!</v>
      </c>
      <c r="U90" s="24" t="e">
        <f ca="1">(S90+T90)*0.1726</f>
        <v>#VALUE!</v>
      </c>
      <c r="V90" s="25" t="e">
        <f t="shared" ca="1" si="35"/>
        <v>#VALUE!</v>
      </c>
      <c r="W90" s="34">
        <v>195</v>
      </c>
      <c r="X90" s="24">
        <f t="shared" si="36"/>
        <v>168.10344827586209</v>
      </c>
      <c r="Y90" s="24">
        <f t="shared" si="37"/>
        <v>100.86206896551725</v>
      </c>
      <c r="Z90" s="27" t="e">
        <f t="shared" ca="1" si="38"/>
        <v>#VALUE!</v>
      </c>
      <c r="AA90" s="27" t="e">
        <f t="shared" ca="1" si="39"/>
        <v>#VALUE!</v>
      </c>
      <c r="AB90" s="28">
        <f t="shared" si="40"/>
        <v>0.4</v>
      </c>
      <c r="AC90" s="29" t="s">
        <v>287</v>
      </c>
      <c r="AD90" s="16"/>
      <c r="AE90" s="19">
        <v>4</v>
      </c>
      <c r="AF90" s="19">
        <v>48</v>
      </c>
      <c r="AG90" s="36" t="s">
        <v>505</v>
      </c>
      <c r="AH90" s="16"/>
      <c r="AI90" s="274"/>
      <c r="AJ90" s="274"/>
      <c r="AL90" s="31">
        <v>126.75</v>
      </c>
      <c r="AM90" s="31">
        <f t="shared" si="41"/>
        <v>109.26724137931035</v>
      </c>
      <c r="AN90" s="32" t="e">
        <f t="shared" si="42"/>
        <v>#VALUE!</v>
      </c>
      <c r="AO90" s="32" t="e">
        <f t="shared" si="43"/>
        <v>#VALUE!</v>
      </c>
      <c r="AP90" s="33">
        <f t="shared" si="44"/>
        <v>0</v>
      </c>
      <c r="BA90" s="3">
        <v>1</v>
      </c>
      <c r="BB90" s="3">
        <v>1</v>
      </c>
      <c r="BC90" s="3">
        <v>1</v>
      </c>
      <c r="BD90" s="3">
        <v>1</v>
      </c>
      <c r="BE90" s="3"/>
      <c r="BF90" s="3"/>
      <c r="BG90" s="3"/>
      <c r="BH90" s="3"/>
      <c r="BI90" s="3"/>
      <c r="BJ90" s="3">
        <v>9</v>
      </c>
      <c r="BK90" s="3">
        <f t="shared" si="45"/>
        <v>4</v>
      </c>
      <c r="BL90" s="292">
        <f t="shared" si="46"/>
        <v>0.44444444444444442</v>
      </c>
      <c r="BM90" s="295"/>
      <c r="BN90" s="295"/>
      <c r="BO90" s="295"/>
      <c r="BP90" s="295"/>
      <c r="BQ90" s="295"/>
      <c r="BR90" s="320" t="str">
        <f t="shared" si="48"/>
        <v>En proceso de render para solicitar autorizacion final</v>
      </c>
      <c r="BS90" s="278"/>
      <c r="BT90" s="278" t="s">
        <v>129</v>
      </c>
    </row>
    <row r="91" spans="1:72" ht="34.5">
      <c r="A91" s="16">
        <v>83</v>
      </c>
      <c r="B91" s="17">
        <v>46248</v>
      </c>
      <c r="C91" s="17" t="s">
        <v>277</v>
      </c>
      <c r="D91" s="17" t="s">
        <v>77</v>
      </c>
      <c r="E91" s="18">
        <v>7502327991670</v>
      </c>
      <c r="F91" s="16" t="s">
        <v>529</v>
      </c>
      <c r="G91" s="19" t="s">
        <v>530</v>
      </c>
      <c r="H91" s="20" t="s">
        <v>60</v>
      </c>
      <c r="I91" s="16">
        <v>1</v>
      </c>
      <c r="J91" s="19" t="s">
        <v>249</v>
      </c>
      <c r="K91" s="19" t="s">
        <v>281</v>
      </c>
      <c r="L91" s="16">
        <v>1</v>
      </c>
      <c r="M91" s="42" t="s">
        <v>282</v>
      </c>
      <c r="N91" s="16"/>
      <c r="O91" s="16" t="s">
        <v>531</v>
      </c>
      <c r="P91" s="348" t="s">
        <v>532</v>
      </c>
      <c r="Q91" s="23" t="s">
        <v>64</v>
      </c>
      <c r="R91" s="23">
        <v>10000</v>
      </c>
      <c r="S91" s="24" t="e">
        <f>+P91*18.5</f>
        <v>#VALUE!</v>
      </c>
      <c r="T91" s="24" t="e">
        <f>+S91*0.15</f>
        <v>#VALUE!</v>
      </c>
      <c r="U91" s="24" t="e">
        <f>(S91+T91)*0.2484</f>
        <v>#VALUE!</v>
      </c>
      <c r="V91" s="25" t="e">
        <f t="shared" si="35"/>
        <v>#VALUE!</v>
      </c>
      <c r="W91" s="34">
        <v>149</v>
      </c>
      <c r="X91" s="24">
        <f t="shared" si="36"/>
        <v>128.44827586206898</v>
      </c>
      <c r="Y91" s="24">
        <f t="shared" si="37"/>
        <v>77.068965517241381</v>
      </c>
      <c r="Z91" s="27" t="e">
        <f t="shared" si="38"/>
        <v>#VALUE!</v>
      </c>
      <c r="AA91" s="27" t="e">
        <f t="shared" si="39"/>
        <v>#VALUE!</v>
      </c>
      <c r="AB91" s="28">
        <f t="shared" si="40"/>
        <v>0.4</v>
      </c>
      <c r="AC91" s="29" t="s">
        <v>287</v>
      </c>
      <c r="AD91" s="16"/>
      <c r="AE91" s="19">
        <v>6</v>
      </c>
      <c r="AF91" s="19">
        <v>144</v>
      </c>
      <c r="AG91" s="36" t="s">
        <v>496</v>
      </c>
      <c r="AH91" s="16"/>
      <c r="AI91" s="274"/>
      <c r="AJ91" s="274"/>
      <c r="AL91" s="31">
        <v>96.85</v>
      </c>
      <c r="AM91" s="31">
        <f t="shared" si="41"/>
        <v>83.491379310344826</v>
      </c>
      <c r="AN91" s="32">
        <f t="shared" si="42"/>
        <v>0</v>
      </c>
      <c r="AO91" s="32">
        <f t="shared" si="43"/>
        <v>1</v>
      </c>
      <c r="AP91" s="33">
        <f t="shared" si="44"/>
        <v>0</v>
      </c>
      <c r="BA91" s="3">
        <v>1</v>
      </c>
      <c r="BB91" s="3">
        <v>1</v>
      </c>
      <c r="BC91" s="3">
        <v>1</v>
      </c>
      <c r="BD91" s="3">
        <v>1</v>
      </c>
      <c r="BE91" s="3"/>
      <c r="BF91" s="3"/>
      <c r="BG91" s="3"/>
      <c r="BH91" s="3"/>
      <c r="BI91" s="3"/>
      <c r="BJ91" s="3">
        <v>9</v>
      </c>
      <c r="BK91" s="3">
        <f t="shared" si="45"/>
        <v>4</v>
      </c>
      <c r="BL91" s="292">
        <f t="shared" si="46"/>
        <v>0.44444444444444442</v>
      </c>
      <c r="BM91" s="295"/>
      <c r="BN91" s="295"/>
      <c r="BO91" s="295"/>
      <c r="BP91" s="295"/>
      <c r="BQ91" s="295"/>
      <c r="BR91" s="320" t="str">
        <f t="shared" si="48"/>
        <v>En proceso de realizacion de dummy para autorizacion final</v>
      </c>
      <c r="BS91" s="278"/>
      <c r="BT91" s="278" t="s">
        <v>129</v>
      </c>
    </row>
    <row r="92" spans="1:72" ht="34.5">
      <c r="A92" s="16">
        <v>84</v>
      </c>
      <c r="B92" s="17">
        <v>46248</v>
      </c>
      <c r="C92" s="17" t="s">
        <v>277</v>
      </c>
      <c r="D92" s="17" t="s">
        <v>77</v>
      </c>
      <c r="E92" s="18">
        <v>7502327991687</v>
      </c>
      <c r="F92" s="16" t="s">
        <v>533</v>
      </c>
      <c r="G92" s="19" t="s">
        <v>534</v>
      </c>
      <c r="H92" s="44" t="s">
        <v>60</v>
      </c>
      <c r="I92" s="16">
        <v>6</v>
      </c>
      <c r="J92" s="19" t="s">
        <v>249</v>
      </c>
      <c r="K92" s="19" t="s">
        <v>281</v>
      </c>
      <c r="L92" s="16">
        <v>1</v>
      </c>
      <c r="M92" s="46" t="s">
        <v>535</v>
      </c>
      <c r="N92" s="16"/>
      <c r="O92" s="16" t="s">
        <v>536</v>
      </c>
      <c r="P92" s="348"/>
      <c r="Q92" s="23" t="s">
        <v>64</v>
      </c>
      <c r="R92" s="23">
        <v>15000</v>
      </c>
      <c r="S92" s="24">
        <f>+P92*18.5</f>
        <v>0</v>
      </c>
      <c r="T92" s="24">
        <f>+S92*0.15</f>
        <v>0</v>
      </c>
      <c r="U92" s="24">
        <f>(S92+T92)*0.0472</f>
        <v>0</v>
      </c>
      <c r="V92" s="25">
        <f t="shared" si="35"/>
        <v>0</v>
      </c>
      <c r="W92" s="34">
        <v>549</v>
      </c>
      <c r="X92" s="24">
        <f t="shared" si="36"/>
        <v>473.27586206896552</v>
      </c>
      <c r="Y92" s="24">
        <f t="shared" si="37"/>
        <v>283.9655172413793</v>
      </c>
      <c r="Z92" s="27">
        <f t="shared" si="38"/>
        <v>0</v>
      </c>
      <c r="AA92" s="27">
        <f t="shared" si="39"/>
        <v>1</v>
      </c>
      <c r="AB92" s="28">
        <f t="shared" si="40"/>
        <v>0.4</v>
      </c>
      <c r="AC92" s="29" t="s">
        <v>287</v>
      </c>
      <c r="AD92" s="16"/>
      <c r="AE92" s="19">
        <v>4</v>
      </c>
      <c r="AF92" s="19">
        <v>24</v>
      </c>
      <c r="AG92" s="36" t="s">
        <v>537</v>
      </c>
      <c r="AH92" s="16"/>
      <c r="AI92" s="274"/>
      <c r="AJ92" s="274"/>
      <c r="AL92" s="31">
        <v>356.85</v>
      </c>
      <c r="AM92" s="31">
        <f t="shared" si="41"/>
        <v>307.62931034482762</v>
      </c>
      <c r="AN92" s="32">
        <f t="shared" si="42"/>
        <v>0</v>
      </c>
      <c r="AO92" s="32">
        <f t="shared" si="43"/>
        <v>1</v>
      </c>
      <c r="AP92" s="33">
        <f t="shared" si="44"/>
        <v>0</v>
      </c>
      <c r="BA92" s="3">
        <v>1</v>
      </c>
      <c r="BB92" s="3">
        <v>1</v>
      </c>
      <c r="BC92" s="3">
        <v>1</v>
      </c>
      <c r="BD92" s="3">
        <v>1</v>
      </c>
      <c r="BE92" s="3"/>
      <c r="BF92" s="3"/>
      <c r="BG92" s="3"/>
      <c r="BH92" s="3"/>
      <c r="BI92" s="3"/>
      <c r="BJ92" s="3">
        <v>9</v>
      </c>
      <c r="BK92" s="3">
        <f t="shared" si="45"/>
        <v>4</v>
      </c>
      <c r="BL92" s="292">
        <f t="shared" si="46"/>
        <v>0.44444444444444442</v>
      </c>
      <c r="BM92" s="295"/>
      <c r="BN92" s="295"/>
      <c r="BO92" s="295"/>
      <c r="BP92" s="295"/>
      <c r="BQ92" s="295"/>
      <c r="BR92" s="320" t="str">
        <f t="shared" si="48"/>
        <v>Cancelado</v>
      </c>
      <c r="BS92" s="278"/>
      <c r="BT92" s="278"/>
    </row>
    <row r="93" spans="1:72" ht="34.5">
      <c r="A93" s="16">
        <v>85</v>
      </c>
      <c r="B93" s="17">
        <v>46248</v>
      </c>
      <c r="C93" s="17" t="s">
        <v>277</v>
      </c>
      <c r="D93" s="17" t="s">
        <v>77</v>
      </c>
      <c r="E93" s="18">
        <v>7502327991694</v>
      </c>
      <c r="F93" s="16" t="s">
        <v>538</v>
      </c>
      <c r="G93" s="19" t="s">
        <v>539</v>
      </c>
      <c r="H93" s="44" t="s">
        <v>60</v>
      </c>
      <c r="I93" s="16">
        <v>11</v>
      </c>
      <c r="J93" s="19" t="s">
        <v>249</v>
      </c>
      <c r="K93" s="19" t="s">
        <v>281</v>
      </c>
      <c r="L93" s="16">
        <v>1</v>
      </c>
      <c r="M93" s="46" t="s">
        <v>535</v>
      </c>
      <c r="N93" s="16"/>
      <c r="O93" s="16" t="s">
        <v>536</v>
      </c>
      <c r="P93" s="348"/>
      <c r="Q93" s="23" t="s">
        <v>64</v>
      </c>
      <c r="R93" s="23">
        <v>15000</v>
      </c>
      <c r="S93" s="24">
        <f>+P93*18.5</f>
        <v>0</v>
      </c>
      <c r="T93" s="24">
        <f>+S93*0.15</f>
        <v>0</v>
      </c>
      <c r="U93" s="24">
        <f>(S93+T93)*0.0739</f>
        <v>0</v>
      </c>
      <c r="V93" s="25">
        <f t="shared" si="35"/>
        <v>0</v>
      </c>
      <c r="W93" s="34">
        <v>699</v>
      </c>
      <c r="X93" s="24">
        <f t="shared" si="36"/>
        <v>602.58620689655174</v>
      </c>
      <c r="Y93" s="24">
        <f t="shared" si="37"/>
        <v>361.55172413793105</v>
      </c>
      <c r="Z93" s="27">
        <f t="shared" si="38"/>
        <v>0</v>
      </c>
      <c r="AA93" s="27">
        <f t="shared" si="39"/>
        <v>1</v>
      </c>
      <c r="AB93" s="28">
        <f t="shared" si="40"/>
        <v>0.4</v>
      </c>
      <c r="AC93" s="29" t="s">
        <v>287</v>
      </c>
      <c r="AD93" s="16"/>
      <c r="AE93" s="19">
        <v>4</v>
      </c>
      <c r="AF93" s="19">
        <v>24</v>
      </c>
      <c r="AG93" s="36" t="s">
        <v>537</v>
      </c>
      <c r="AH93" s="16"/>
      <c r="AI93" s="274"/>
      <c r="AJ93" s="274"/>
      <c r="AL93" s="31">
        <v>454.35</v>
      </c>
      <c r="AM93" s="31">
        <f t="shared" si="41"/>
        <v>391.68103448275866</v>
      </c>
      <c r="AN93" s="32" t="e">
        <f t="shared" ca="1" si="42"/>
        <v>#VALUE!</v>
      </c>
      <c r="AO93" s="32" t="e">
        <f t="shared" ca="1" si="43"/>
        <v>#VALUE!</v>
      </c>
      <c r="AP93" s="33">
        <f t="shared" si="44"/>
        <v>0</v>
      </c>
      <c r="BA93" s="3">
        <v>1</v>
      </c>
      <c r="BB93" s="3">
        <v>1</v>
      </c>
      <c r="BC93" s="3">
        <v>1</v>
      </c>
      <c r="BD93" s="3">
        <v>1</v>
      </c>
      <c r="BE93" s="3"/>
      <c r="BF93" s="3"/>
      <c r="BG93" s="3"/>
      <c r="BH93" s="3"/>
      <c r="BI93" s="3"/>
      <c r="BJ93" s="3">
        <v>9</v>
      </c>
      <c r="BK93" s="3">
        <f t="shared" si="45"/>
        <v>4</v>
      </c>
      <c r="BL93" s="292">
        <f t="shared" si="46"/>
        <v>0.44444444444444442</v>
      </c>
      <c r="BM93" s="295"/>
      <c r="BN93" s="295"/>
      <c r="BO93" s="295"/>
      <c r="BP93" s="295"/>
      <c r="BQ93" s="295"/>
      <c r="BR93" s="320" t="str">
        <f t="shared" si="48"/>
        <v>Cancelado</v>
      </c>
      <c r="BS93" s="278"/>
      <c r="BT93" s="278"/>
    </row>
    <row r="94" spans="1:72" ht="34.5">
      <c r="A94" s="16">
        <v>86</v>
      </c>
      <c r="B94" s="17">
        <v>46248</v>
      </c>
      <c r="C94" s="17" t="s">
        <v>277</v>
      </c>
      <c r="D94" s="17" t="s">
        <v>77</v>
      </c>
      <c r="E94" s="18">
        <v>7502327991700</v>
      </c>
      <c r="F94" s="16" t="s">
        <v>540</v>
      </c>
      <c r="G94" s="19" t="s">
        <v>541</v>
      </c>
      <c r="H94" s="20" t="s">
        <v>60</v>
      </c>
      <c r="I94" s="16" t="s">
        <v>542</v>
      </c>
      <c r="J94" s="19" t="s">
        <v>249</v>
      </c>
      <c r="K94" s="19" t="s">
        <v>281</v>
      </c>
      <c r="L94" s="16">
        <v>1</v>
      </c>
      <c r="M94" s="42" t="s">
        <v>543</v>
      </c>
      <c r="N94" s="39" t="s">
        <v>544</v>
      </c>
      <c r="O94" s="16" t="s">
        <v>536</v>
      </c>
      <c r="P94" s="348" t="s">
        <v>471</v>
      </c>
      <c r="Q94" s="23" t="s">
        <v>286</v>
      </c>
      <c r="R94" s="23">
        <v>10000</v>
      </c>
      <c r="S94" s="24" t="e">
        <f ca="1">+P94*$T$25</f>
        <v>#VALUE!</v>
      </c>
      <c r="T94" s="24" t="e">
        <f ca="1">+S94*0.15</f>
        <v>#VALUE!</v>
      </c>
      <c r="U94" s="24" t="e">
        <f ca="1">(S94+T94)*0.5213</f>
        <v>#VALUE!</v>
      </c>
      <c r="V94" s="25" t="e">
        <f t="shared" ca="1" si="35"/>
        <v>#VALUE!</v>
      </c>
      <c r="W94" s="34">
        <v>99</v>
      </c>
      <c r="X94" s="24">
        <f t="shared" si="36"/>
        <v>85.344827586206904</v>
      </c>
      <c r="Y94" s="24">
        <f t="shared" si="37"/>
        <v>51.206896551724142</v>
      </c>
      <c r="Z94" s="27" t="e">
        <f t="shared" ca="1" si="38"/>
        <v>#VALUE!</v>
      </c>
      <c r="AA94" s="27" t="e">
        <f t="shared" ca="1" si="39"/>
        <v>#VALUE!</v>
      </c>
      <c r="AB94" s="28">
        <f t="shared" si="40"/>
        <v>0.4</v>
      </c>
      <c r="AC94" s="29" t="s">
        <v>287</v>
      </c>
      <c r="AD94" s="16"/>
      <c r="AE94" s="19">
        <v>6</v>
      </c>
      <c r="AF94" s="19">
        <v>144</v>
      </c>
      <c r="AG94" s="36" t="s">
        <v>288</v>
      </c>
      <c r="AH94" s="16"/>
      <c r="AI94" s="274"/>
      <c r="AJ94" s="274"/>
      <c r="AL94" s="31">
        <v>64.349999999999994</v>
      </c>
      <c r="AM94" s="31">
        <f t="shared" si="41"/>
        <v>55.474137931034484</v>
      </c>
      <c r="AN94" s="32">
        <f t="shared" si="42"/>
        <v>1.0635914491064491</v>
      </c>
      <c r="AO94" s="32">
        <f t="shared" si="43"/>
        <v>-6.3591449106449094E-2</v>
      </c>
      <c r="AP94" s="33">
        <f t="shared" si="44"/>
        <v>0</v>
      </c>
      <c r="BA94" s="3">
        <v>1</v>
      </c>
      <c r="BB94" s="3">
        <v>1</v>
      </c>
      <c r="BC94" s="3">
        <v>1</v>
      </c>
      <c r="BD94" s="3">
        <v>1</v>
      </c>
      <c r="BE94" s="3"/>
      <c r="BF94" s="3">
        <v>1</v>
      </c>
      <c r="BG94" s="3"/>
      <c r="BH94" s="3"/>
      <c r="BI94" s="3"/>
      <c r="BJ94" s="3">
        <v>9</v>
      </c>
      <c r="BK94" s="3">
        <f t="shared" si="45"/>
        <v>5</v>
      </c>
      <c r="BL94" s="292">
        <f t="shared" si="46"/>
        <v>0.55555555555555558</v>
      </c>
      <c r="BM94" s="295"/>
      <c r="BN94" s="295"/>
      <c r="BO94" s="295"/>
      <c r="BP94" s="295"/>
      <c r="BQ94" s="295"/>
      <c r="BR94" s="320" t="str">
        <f t="shared" si="48"/>
        <v>En revisión de dummy para autorización final</v>
      </c>
      <c r="BS94" s="278"/>
      <c r="BT94" s="278" t="s">
        <v>150</v>
      </c>
    </row>
    <row r="95" spans="1:72" ht="34.5">
      <c r="A95" s="16">
        <v>87</v>
      </c>
      <c r="B95" s="17">
        <v>46248</v>
      </c>
      <c r="C95" s="17" t="s">
        <v>277</v>
      </c>
      <c r="D95" s="17" t="s">
        <v>77</v>
      </c>
      <c r="E95" s="18">
        <v>7502327991717</v>
      </c>
      <c r="F95" s="16" t="s">
        <v>545</v>
      </c>
      <c r="G95" s="19" t="s">
        <v>546</v>
      </c>
      <c r="H95" s="20" t="s">
        <v>60</v>
      </c>
      <c r="I95" s="36" t="s">
        <v>547</v>
      </c>
      <c r="J95" s="19" t="s">
        <v>249</v>
      </c>
      <c r="K95" s="19" t="s">
        <v>281</v>
      </c>
      <c r="L95" s="16">
        <v>1</v>
      </c>
      <c r="M95" s="46" t="s">
        <v>548</v>
      </c>
      <c r="N95" s="22" t="s">
        <v>549</v>
      </c>
      <c r="O95" s="36" t="s">
        <v>284</v>
      </c>
      <c r="P95" s="349">
        <v>2.4500000000000002</v>
      </c>
      <c r="Q95" s="23" t="s">
        <v>64</v>
      </c>
      <c r="R95" s="47">
        <v>15000</v>
      </c>
      <c r="S95" s="24">
        <f>+P95*18.5</f>
        <v>45.325000000000003</v>
      </c>
      <c r="T95" s="24">
        <f>+S95*0.25</f>
        <v>11.331250000000001</v>
      </c>
      <c r="U95" s="24">
        <f>(S95+T95)*0.0414</f>
        <v>2.34556875</v>
      </c>
      <c r="V95" s="25">
        <f t="shared" si="35"/>
        <v>59.001818749999998</v>
      </c>
      <c r="W95" s="34">
        <v>389</v>
      </c>
      <c r="X95" s="24">
        <f t="shared" si="36"/>
        <v>335.34482758620692</v>
      </c>
      <c r="Y95" s="24">
        <f t="shared" si="37"/>
        <v>201.20689655172416</v>
      </c>
      <c r="Z95" s="27">
        <f t="shared" si="38"/>
        <v>0.29323954477292197</v>
      </c>
      <c r="AA95" s="27">
        <f t="shared" si="39"/>
        <v>0.70676045522707809</v>
      </c>
      <c r="AB95" s="28">
        <f t="shared" si="40"/>
        <v>0.4</v>
      </c>
      <c r="AC95" s="29" t="s">
        <v>287</v>
      </c>
      <c r="AD95" s="36"/>
      <c r="AE95" s="19">
        <v>6</v>
      </c>
      <c r="AF95" s="19">
        <v>72</v>
      </c>
      <c r="AG95" s="36" t="s">
        <v>288</v>
      </c>
      <c r="AH95" s="36"/>
      <c r="AI95" s="275"/>
      <c r="AJ95" s="275"/>
      <c r="AL95" s="48">
        <v>252.85</v>
      </c>
      <c r="AM95" s="31">
        <f t="shared" si="41"/>
        <v>217.97413793103451</v>
      </c>
      <c r="AN95" s="32">
        <f t="shared" si="42"/>
        <v>0.27068265671346642</v>
      </c>
      <c r="AO95" s="32">
        <f t="shared" si="43"/>
        <v>0.72931734328653364</v>
      </c>
      <c r="AP95" s="33">
        <f t="shared" si="44"/>
        <v>0</v>
      </c>
      <c r="BA95" s="3">
        <v>1</v>
      </c>
      <c r="BB95" s="3">
        <v>1</v>
      </c>
      <c r="BC95" s="3">
        <v>1</v>
      </c>
      <c r="BD95" s="3">
        <v>1</v>
      </c>
      <c r="BE95" s="3"/>
      <c r="BF95" s="3"/>
      <c r="BG95" s="3"/>
      <c r="BH95" s="3"/>
      <c r="BI95" s="3"/>
      <c r="BJ95" s="3">
        <v>9</v>
      </c>
      <c r="BK95" s="3">
        <f t="shared" si="45"/>
        <v>4</v>
      </c>
      <c r="BL95" s="292">
        <f t="shared" si="46"/>
        <v>0.44444444444444442</v>
      </c>
      <c r="BM95" s="295"/>
      <c r="BN95" s="295"/>
      <c r="BO95" s="295"/>
      <c r="BP95" s="295"/>
      <c r="BQ95" s="295"/>
      <c r="BR95" s="320" t="str">
        <f t="shared" si="48"/>
        <v>En revisión de dummy para autorización final</v>
      </c>
      <c r="BS95" s="278"/>
      <c r="BT95" s="278" t="s">
        <v>129</v>
      </c>
    </row>
    <row r="96" spans="1:72" ht="34.5">
      <c r="A96" s="16">
        <v>88</v>
      </c>
      <c r="B96" s="17">
        <v>46248</v>
      </c>
      <c r="C96" s="17" t="s">
        <v>277</v>
      </c>
      <c r="D96" s="17" t="s">
        <v>77</v>
      </c>
      <c r="E96" s="18">
        <v>7502327991724</v>
      </c>
      <c r="F96" s="16" t="s">
        <v>550</v>
      </c>
      <c r="G96" s="19" t="s">
        <v>551</v>
      </c>
      <c r="H96" s="20" t="s">
        <v>60</v>
      </c>
      <c r="I96" s="36" t="s">
        <v>547</v>
      </c>
      <c r="J96" s="19" t="s">
        <v>249</v>
      </c>
      <c r="K96" s="19" t="s">
        <v>281</v>
      </c>
      <c r="L96" s="16">
        <v>1</v>
      </c>
      <c r="M96" s="46" t="s">
        <v>548</v>
      </c>
      <c r="N96" s="22" t="s">
        <v>552</v>
      </c>
      <c r="O96" s="36" t="s">
        <v>284</v>
      </c>
      <c r="P96" s="349">
        <v>2.4500000000000002</v>
      </c>
      <c r="Q96" s="23" t="s">
        <v>64</v>
      </c>
      <c r="R96" s="47">
        <v>15000</v>
      </c>
      <c r="S96" s="24">
        <f>+P96*18.5</f>
        <v>45.325000000000003</v>
      </c>
      <c r="T96" s="24">
        <f>+S96*0.25</f>
        <v>11.331250000000001</v>
      </c>
      <c r="U96" s="24">
        <f>(S96+T96)*0.0414</f>
        <v>2.34556875</v>
      </c>
      <c r="V96" s="25">
        <f t="shared" si="35"/>
        <v>59.001818749999998</v>
      </c>
      <c r="W96" s="34">
        <v>389</v>
      </c>
      <c r="X96" s="24">
        <f t="shared" si="36"/>
        <v>335.34482758620692</v>
      </c>
      <c r="Y96" s="24">
        <f t="shared" si="37"/>
        <v>201.20689655172416</v>
      </c>
      <c r="Z96" s="27">
        <f t="shared" si="38"/>
        <v>0.29323954477292197</v>
      </c>
      <c r="AA96" s="27">
        <f t="shared" si="39"/>
        <v>0.70676045522707809</v>
      </c>
      <c r="AB96" s="28">
        <f t="shared" si="40"/>
        <v>0.4</v>
      </c>
      <c r="AC96" s="29" t="s">
        <v>287</v>
      </c>
      <c r="AD96" s="36"/>
      <c r="AE96" s="19">
        <v>6</v>
      </c>
      <c r="AF96" s="19">
        <v>72</v>
      </c>
      <c r="AG96" s="36" t="s">
        <v>288</v>
      </c>
      <c r="AH96" s="36"/>
      <c r="AI96" s="275"/>
      <c r="AJ96" s="275"/>
      <c r="AL96" s="48">
        <v>252.85</v>
      </c>
      <c r="AM96" s="31">
        <f t="shared" si="41"/>
        <v>217.97413793103451</v>
      </c>
      <c r="AN96" s="32">
        <f t="shared" si="42"/>
        <v>0.27068265671346642</v>
      </c>
      <c r="AO96" s="32">
        <f t="shared" si="43"/>
        <v>0.72931734328653364</v>
      </c>
      <c r="AP96" s="33">
        <f t="shared" si="44"/>
        <v>0</v>
      </c>
      <c r="BA96" s="3">
        <v>1</v>
      </c>
      <c r="BB96" s="3">
        <v>1</v>
      </c>
      <c r="BC96" s="3">
        <v>1</v>
      </c>
      <c r="BD96" s="3">
        <v>1</v>
      </c>
      <c r="BE96" s="3"/>
      <c r="BF96" s="3"/>
      <c r="BG96" s="3"/>
      <c r="BH96" s="3"/>
      <c r="BI96" s="3"/>
      <c r="BJ96" s="3">
        <v>9</v>
      </c>
      <c r="BK96" s="3">
        <f t="shared" si="45"/>
        <v>4</v>
      </c>
      <c r="BL96" s="292">
        <f t="shared" si="46"/>
        <v>0.44444444444444442</v>
      </c>
      <c r="BM96" s="295"/>
      <c r="BN96" s="295"/>
      <c r="BO96" s="295"/>
      <c r="BP96" s="295"/>
      <c r="BQ96" s="295"/>
      <c r="BR96" s="320" t="str">
        <f t="shared" si="48"/>
        <v>En revisión de dummy para autorización final</v>
      </c>
      <c r="BS96" s="278"/>
      <c r="BT96" s="278" t="s">
        <v>129</v>
      </c>
    </row>
    <row r="97" spans="1:72" ht="34.5">
      <c r="A97" s="16">
        <v>89</v>
      </c>
      <c r="B97" s="17">
        <v>46248</v>
      </c>
      <c r="C97" s="17" t="s">
        <v>277</v>
      </c>
      <c r="D97" s="17" t="s">
        <v>77</v>
      </c>
      <c r="E97" s="18">
        <v>7502327991731</v>
      </c>
      <c r="F97" s="16" t="s">
        <v>553</v>
      </c>
      <c r="G97" s="19" t="s">
        <v>554</v>
      </c>
      <c r="H97" s="20" t="s">
        <v>60</v>
      </c>
      <c r="I97" s="36" t="s">
        <v>547</v>
      </c>
      <c r="J97" s="19" t="s">
        <v>249</v>
      </c>
      <c r="K97" s="19" t="s">
        <v>281</v>
      </c>
      <c r="L97" s="16">
        <v>1</v>
      </c>
      <c r="M97" s="46" t="s">
        <v>548</v>
      </c>
      <c r="N97" s="22" t="s">
        <v>555</v>
      </c>
      <c r="O97" s="36" t="s">
        <v>284</v>
      </c>
      <c r="P97" s="349">
        <v>2.4500000000000002</v>
      </c>
      <c r="Q97" s="23" t="s">
        <v>64</v>
      </c>
      <c r="R97" s="47">
        <v>15000</v>
      </c>
      <c r="S97" s="24">
        <f>+P97*18.5</f>
        <v>45.325000000000003</v>
      </c>
      <c r="T97" s="24">
        <f>+S97*0.25</f>
        <v>11.331250000000001</v>
      </c>
      <c r="U97" s="24">
        <f>(S97+T97)*0.0414</f>
        <v>2.34556875</v>
      </c>
      <c r="V97" s="25">
        <f t="shared" si="35"/>
        <v>59.001818749999998</v>
      </c>
      <c r="W97" s="34">
        <v>389</v>
      </c>
      <c r="X97" s="24">
        <f t="shared" si="36"/>
        <v>335.34482758620692</v>
      </c>
      <c r="Y97" s="24">
        <f t="shared" si="37"/>
        <v>201.20689655172416</v>
      </c>
      <c r="Z97" s="27">
        <f t="shared" si="38"/>
        <v>0.29323954477292197</v>
      </c>
      <c r="AA97" s="27">
        <f t="shared" si="39"/>
        <v>0.70676045522707809</v>
      </c>
      <c r="AB97" s="28">
        <f t="shared" si="40"/>
        <v>0.4</v>
      </c>
      <c r="AC97" s="29" t="s">
        <v>287</v>
      </c>
      <c r="AD97" s="36"/>
      <c r="AE97" s="19">
        <v>6</v>
      </c>
      <c r="AF97" s="19">
        <v>72</v>
      </c>
      <c r="AG97" s="36" t="s">
        <v>537</v>
      </c>
      <c r="AH97" s="36"/>
      <c r="AI97" s="275"/>
      <c r="AJ97" s="275"/>
      <c r="AL97" s="48">
        <v>252.85</v>
      </c>
      <c r="AM97" s="31">
        <f t="shared" si="41"/>
        <v>217.97413793103451</v>
      </c>
      <c r="AN97" s="32" t="e">
        <f t="shared" ca="1" si="42"/>
        <v>#VALUE!</v>
      </c>
      <c r="AO97" s="32" t="e">
        <f t="shared" ca="1" si="43"/>
        <v>#VALUE!</v>
      </c>
      <c r="AP97" s="33">
        <f t="shared" si="44"/>
        <v>0</v>
      </c>
      <c r="BA97" s="3">
        <v>1</v>
      </c>
      <c r="BB97" s="3">
        <v>1</v>
      </c>
      <c r="BC97" s="3">
        <v>1</v>
      </c>
      <c r="BD97" s="3">
        <v>1</v>
      </c>
      <c r="BE97" s="3"/>
      <c r="BF97" s="3"/>
      <c r="BG97" s="3"/>
      <c r="BH97" s="3"/>
      <c r="BI97" s="3"/>
      <c r="BJ97" s="3">
        <v>9</v>
      </c>
      <c r="BK97" s="3">
        <f t="shared" si="45"/>
        <v>4</v>
      </c>
      <c r="BL97" s="292">
        <f t="shared" si="46"/>
        <v>0.44444444444444442</v>
      </c>
      <c r="BM97" s="295"/>
      <c r="BN97" s="295"/>
      <c r="BO97" s="295"/>
      <c r="BP97" s="295"/>
      <c r="BQ97" s="295"/>
      <c r="BR97" s="320" t="str">
        <f t="shared" si="48"/>
        <v>Cancelado</v>
      </c>
      <c r="BS97" s="278"/>
      <c r="BT97" s="278"/>
    </row>
    <row r="98" spans="1:72" ht="34.5">
      <c r="A98" s="16">
        <v>90</v>
      </c>
      <c r="B98" s="17">
        <v>46248</v>
      </c>
      <c r="C98" s="17" t="s">
        <v>277</v>
      </c>
      <c r="D98" s="17" t="s">
        <v>77</v>
      </c>
      <c r="E98" s="18">
        <v>7502327991748</v>
      </c>
      <c r="F98" s="16" t="s">
        <v>556</v>
      </c>
      <c r="G98" s="19" t="s">
        <v>557</v>
      </c>
      <c r="H98" s="44" t="s">
        <v>60</v>
      </c>
      <c r="I98" s="36" t="s">
        <v>558</v>
      </c>
      <c r="J98" s="19" t="s">
        <v>249</v>
      </c>
      <c r="K98" s="19" t="s">
        <v>281</v>
      </c>
      <c r="L98" s="16">
        <v>1</v>
      </c>
      <c r="M98" s="46" t="s">
        <v>376</v>
      </c>
      <c r="N98" s="22" t="s">
        <v>555</v>
      </c>
      <c r="O98" s="36" t="s">
        <v>284</v>
      </c>
      <c r="P98" s="349">
        <v>4.7</v>
      </c>
      <c r="Q98" s="23" t="s">
        <v>286</v>
      </c>
      <c r="R98" s="47">
        <v>10000</v>
      </c>
      <c r="S98" s="24" t="e">
        <f t="shared" ref="S98:S107" ca="1" si="50">+P98*$T$25</f>
        <v>#VALUE!</v>
      </c>
      <c r="T98" s="24" t="e">
        <f ca="1">+S98*0.25</f>
        <v>#VALUE!</v>
      </c>
      <c r="U98" s="24" t="e">
        <f ca="1">(S98+T98)*0.0753</f>
        <v>#VALUE!</v>
      </c>
      <c r="V98" s="25" t="e">
        <f t="shared" ca="1" si="35"/>
        <v>#VALUE!</v>
      </c>
      <c r="W98" s="34">
        <v>219</v>
      </c>
      <c r="X98" s="24">
        <f t="shared" si="36"/>
        <v>188.79310344827587</v>
      </c>
      <c r="Y98" s="24">
        <f t="shared" si="37"/>
        <v>113.27586206896552</v>
      </c>
      <c r="Z98" s="27" t="e">
        <f t="shared" ca="1" si="38"/>
        <v>#VALUE!</v>
      </c>
      <c r="AA98" s="27" t="e">
        <f t="shared" ca="1" si="39"/>
        <v>#VALUE!</v>
      </c>
      <c r="AB98" s="28">
        <f t="shared" si="40"/>
        <v>0.4</v>
      </c>
      <c r="AC98" s="29" t="s">
        <v>287</v>
      </c>
      <c r="AD98" s="36"/>
      <c r="AE98" s="19">
        <v>6</v>
      </c>
      <c r="AF98" s="19">
        <v>144</v>
      </c>
      <c r="AG98" s="36" t="s">
        <v>537</v>
      </c>
      <c r="AH98" s="36"/>
      <c r="AI98" s="275"/>
      <c r="AJ98" s="275"/>
      <c r="AL98" s="48">
        <v>142.35</v>
      </c>
      <c r="AM98" s="31">
        <f t="shared" si="41"/>
        <v>122.71551724137932</v>
      </c>
      <c r="AN98" s="32" t="e">
        <f t="shared" ca="1" si="42"/>
        <v>#VALUE!</v>
      </c>
      <c r="AO98" s="32" t="e">
        <f t="shared" ca="1" si="43"/>
        <v>#VALUE!</v>
      </c>
      <c r="AP98" s="33">
        <f t="shared" si="44"/>
        <v>0</v>
      </c>
      <c r="BA98" s="3">
        <v>1</v>
      </c>
      <c r="BB98" s="3">
        <v>1</v>
      </c>
      <c r="BC98" s="3">
        <v>1</v>
      </c>
      <c r="BD98" s="3">
        <v>1</v>
      </c>
      <c r="BE98" s="3"/>
      <c r="BF98" s="3"/>
      <c r="BG98" s="3"/>
      <c r="BH98" s="3"/>
      <c r="BI98" s="3"/>
      <c r="BJ98" s="3">
        <v>9</v>
      </c>
      <c r="BK98" s="3">
        <f t="shared" si="45"/>
        <v>4</v>
      </c>
      <c r="BL98" s="292">
        <f t="shared" si="46"/>
        <v>0.44444444444444442</v>
      </c>
      <c r="BM98" s="295"/>
      <c r="BN98" s="295"/>
      <c r="BO98" s="295"/>
      <c r="BP98" s="295"/>
      <c r="BQ98" s="295"/>
      <c r="BR98" s="320" t="str">
        <f t="shared" si="48"/>
        <v>Cancelado</v>
      </c>
      <c r="BS98" s="278"/>
      <c r="BT98" s="278"/>
    </row>
    <row r="99" spans="1:72" ht="34.5">
      <c r="A99" s="16">
        <v>91</v>
      </c>
      <c r="B99" s="17">
        <v>46248</v>
      </c>
      <c r="C99" s="17" t="s">
        <v>277</v>
      </c>
      <c r="D99" s="17" t="s">
        <v>77</v>
      </c>
      <c r="E99" s="18">
        <v>7502327991755</v>
      </c>
      <c r="F99" s="16" t="s">
        <v>559</v>
      </c>
      <c r="G99" s="36" t="s">
        <v>560</v>
      </c>
      <c r="H99" s="44" t="s">
        <v>60</v>
      </c>
      <c r="I99" s="36" t="s">
        <v>561</v>
      </c>
      <c r="J99" s="19" t="s">
        <v>249</v>
      </c>
      <c r="K99" s="19" t="s">
        <v>281</v>
      </c>
      <c r="L99" s="16">
        <v>1</v>
      </c>
      <c r="M99" s="46" t="s">
        <v>376</v>
      </c>
      <c r="N99" s="22" t="s">
        <v>555</v>
      </c>
      <c r="O99" s="36" t="s">
        <v>284</v>
      </c>
      <c r="P99" s="349">
        <v>3.2</v>
      </c>
      <c r="Q99" s="23" t="s">
        <v>286</v>
      </c>
      <c r="R99" s="47">
        <v>10000</v>
      </c>
      <c r="S99" s="24" t="e">
        <f t="shared" ca="1" si="50"/>
        <v>#VALUE!</v>
      </c>
      <c r="T99" s="24" t="e">
        <f t="shared" ref="T99:T107" ca="1" si="51">+S99*0.36</f>
        <v>#VALUE!</v>
      </c>
      <c r="U99" s="24" t="e">
        <f ca="1">(S99+T99)*0.0586</f>
        <v>#VALUE!</v>
      </c>
      <c r="V99" s="25" t="e">
        <f t="shared" ca="1" si="35"/>
        <v>#VALUE!</v>
      </c>
      <c r="W99" s="34">
        <v>229</v>
      </c>
      <c r="X99" s="24">
        <f t="shared" si="36"/>
        <v>197.41379310344828</v>
      </c>
      <c r="Y99" s="24">
        <f t="shared" si="37"/>
        <v>118.44827586206897</v>
      </c>
      <c r="Z99" s="27" t="e">
        <f t="shared" ca="1" si="38"/>
        <v>#VALUE!</v>
      </c>
      <c r="AA99" s="27" t="e">
        <f t="shared" ca="1" si="39"/>
        <v>#VALUE!</v>
      </c>
      <c r="AB99" s="28">
        <f t="shared" si="40"/>
        <v>0.4</v>
      </c>
      <c r="AC99" s="29" t="s">
        <v>287</v>
      </c>
      <c r="AD99" s="36"/>
      <c r="AE99" s="19">
        <v>6</v>
      </c>
      <c r="AF99" s="19">
        <v>144</v>
      </c>
      <c r="AG99" s="36" t="s">
        <v>288</v>
      </c>
      <c r="AH99" s="36"/>
      <c r="AI99" s="275"/>
      <c r="AJ99" s="275"/>
      <c r="AL99" s="48">
        <v>148.85</v>
      </c>
      <c r="AM99" s="31">
        <f t="shared" si="41"/>
        <v>128.31896551724139</v>
      </c>
      <c r="AN99" s="32" t="e">
        <f t="shared" ca="1" si="42"/>
        <v>#VALUE!</v>
      </c>
      <c r="AO99" s="32" t="e">
        <f t="shared" ca="1" si="43"/>
        <v>#VALUE!</v>
      </c>
      <c r="AP99" s="33">
        <f t="shared" si="44"/>
        <v>0</v>
      </c>
      <c r="BA99" s="3">
        <v>1</v>
      </c>
      <c r="BB99" s="3">
        <v>1</v>
      </c>
      <c r="BC99" s="3">
        <v>1</v>
      </c>
      <c r="BD99" s="3">
        <v>1</v>
      </c>
      <c r="BE99" s="3"/>
      <c r="BF99" s="3"/>
      <c r="BG99" s="3"/>
      <c r="BH99" s="3"/>
      <c r="BI99" s="3"/>
      <c r="BJ99" s="3">
        <v>9</v>
      </c>
      <c r="BK99" s="3">
        <f t="shared" si="45"/>
        <v>4</v>
      </c>
      <c r="BL99" s="292">
        <f t="shared" si="46"/>
        <v>0.44444444444444442</v>
      </c>
      <c r="BM99" s="295"/>
      <c r="BN99" s="295"/>
      <c r="BO99" s="295"/>
      <c r="BP99" s="295"/>
      <c r="BQ99" s="295"/>
      <c r="BR99" s="320" t="s">
        <v>483</v>
      </c>
      <c r="BS99" s="278"/>
      <c r="BT99" s="278" t="s">
        <v>150</v>
      </c>
    </row>
    <row r="100" spans="1:72" ht="34.5">
      <c r="A100" s="16">
        <v>92</v>
      </c>
      <c r="B100" s="17">
        <v>46248</v>
      </c>
      <c r="C100" s="17" t="s">
        <v>277</v>
      </c>
      <c r="D100" s="17" t="s">
        <v>77</v>
      </c>
      <c r="E100" s="18">
        <v>7502327991762</v>
      </c>
      <c r="F100" s="16" t="s">
        <v>562</v>
      </c>
      <c r="G100" s="36" t="s">
        <v>563</v>
      </c>
      <c r="H100" s="44" t="s">
        <v>60</v>
      </c>
      <c r="I100" s="36" t="s">
        <v>564</v>
      </c>
      <c r="J100" s="19" t="s">
        <v>249</v>
      </c>
      <c r="K100" s="19" t="s">
        <v>281</v>
      </c>
      <c r="L100" s="16">
        <v>1</v>
      </c>
      <c r="M100" s="46" t="s">
        <v>376</v>
      </c>
      <c r="N100" s="22" t="s">
        <v>555</v>
      </c>
      <c r="O100" s="36" t="s">
        <v>284</v>
      </c>
      <c r="P100" s="349">
        <v>3.2</v>
      </c>
      <c r="Q100" s="23" t="s">
        <v>286</v>
      </c>
      <c r="R100" s="47">
        <v>10000</v>
      </c>
      <c r="S100" s="24" t="e">
        <f t="shared" ca="1" si="50"/>
        <v>#VALUE!</v>
      </c>
      <c r="T100" s="24" t="e">
        <f t="shared" ca="1" si="51"/>
        <v>#VALUE!</v>
      </c>
      <c r="U100" s="24" t="e">
        <f ca="1">(S100+T100)*0.0586</f>
        <v>#VALUE!</v>
      </c>
      <c r="V100" s="25" t="e">
        <f t="shared" ca="1" si="35"/>
        <v>#VALUE!</v>
      </c>
      <c r="W100" s="34">
        <v>229</v>
      </c>
      <c r="X100" s="24">
        <f t="shared" si="36"/>
        <v>197.41379310344828</v>
      </c>
      <c r="Y100" s="24">
        <f t="shared" si="37"/>
        <v>118.44827586206897</v>
      </c>
      <c r="Z100" s="27" t="e">
        <f t="shared" ca="1" si="38"/>
        <v>#VALUE!</v>
      </c>
      <c r="AA100" s="27" t="e">
        <f t="shared" ca="1" si="39"/>
        <v>#VALUE!</v>
      </c>
      <c r="AB100" s="28">
        <f t="shared" si="40"/>
        <v>0.4</v>
      </c>
      <c r="AC100" s="29" t="s">
        <v>287</v>
      </c>
      <c r="AD100" s="36"/>
      <c r="AE100" s="19">
        <v>6</v>
      </c>
      <c r="AF100" s="19">
        <v>144</v>
      </c>
      <c r="AG100" s="36" t="s">
        <v>288</v>
      </c>
      <c r="AH100" s="36"/>
      <c r="AI100" s="275"/>
      <c r="AJ100" s="275"/>
      <c r="AL100" s="48">
        <v>148.85</v>
      </c>
      <c r="AM100" s="31">
        <f t="shared" si="41"/>
        <v>128.31896551724139</v>
      </c>
      <c r="AN100" s="32" t="e">
        <f t="shared" ca="1" si="42"/>
        <v>#VALUE!</v>
      </c>
      <c r="AO100" s="32" t="e">
        <f t="shared" ca="1" si="43"/>
        <v>#VALUE!</v>
      </c>
      <c r="AP100" s="33">
        <f t="shared" si="44"/>
        <v>0</v>
      </c>
      <c r="BA100" s="3">
        <v>1</v>
      </c>
      <c r="BB100" s="3">
        <v>1</v>
      </c>
      <c r="BC100" s="3">
        <v>1</v>
      </c>
      <c r="BD100" s="3">
        <v>1</v>
      </c>
      <c r="BE100" s="3"/>
      <c r="BF100" s="3"/>
      <c r="BG100" s="3"/>
      <c r="BH100" s="3"/>
      <c r="BI100" s="3"/>
      <c r="BJ100" s="3">
        <v>9</v>
      </c>
      <c r="BK100" s="3">
        <f t="shared" si="45"/>
        <v>4</v>
      </c>
      <c r="BL100" s="292">
        <f t="shared" si="46"/>
        <v>0.44444444444444442</v>
      </c>
      <c r="BM100" s="295"/>
      <c r="BN100" s="295"/>
      <c r="BO100" s="295"/>
      <c r="BP100" s="295"/>
      <c r="BQ100" s="295"/>
      <c r="BR100" s="320" t="s">
        <v>483</v>
      </c>
      <c r="BS100" s="278"/>
      <c r="BT100" s="278" t="s">
        <v>150</v>
      </c>
    </row>
    <row r="101" spans="1:72" ht="34.5">
      <c r="A101" s="16">
        <v>93</v>
      </c>
      <c r="B101" s="17">
        <v>46248</v>
      </c>
      <c r="C101" s="17" t="s">
        <v>277</v>
      </c>
      <c r="D101" s="17" t="s">
        <v>77</v>
      </c>
      <c r="E101" s="18">
        <v>7502327991779</v>
      </c>
      <c r="F101" s="16" t="s">
        <v>565</v>
      </c>
      <c r="G101" s="36" t="s">
        <v>566</v>
      </c>
      <c r="H101" s="44" t="s">
        <v>60</v>
      </c>
      <c r="I101" s="36" t="s">
        <v>564</v>
      </c>
      <c r="J101" s="19" t="s">
        <v>249</v>
      </c>
      <c r="K101" s="19" t="s">
        <v>281</v>
      </c>
      <c r="L101" s="16">
        <v>1</v>
      </c>
      <c r="M101" s="46" t="s">
        <v>376</v>
      </c>
      <c r="N101" s="22" t="s">
        <v>555</v>
      </c>
      <c r="O101" s="36" t="s">
        <v>284</v>
      </c>
      <c r="P101" s="349">
        <v>3.2</v>
      </c>
      <c r="Q101" s="23" t="s">
        <v>286</v>
      </c>
      <c r="R101" s="47">
        <v>10000</v>
      </c>
      <c r="S101" s="24" t="e">
        <f t="shared" ca="1" si="50"/>
        <v>#VALUE!</v>
      </c>
      <c r="T101" s="24" t="e">
        <f t="shared" ca="1" si="51"/>
        <v>#VALUE!</v>
      </c>
      <c r="U101" s="24" t="e">
        <f ca="1">(S101+T101)*0.0586</f>
        <v>#VALUE!</v>
      </c>
      <c r="V101" s="25" t="e">
        <f t="shared" ca="1" si="35"/>
        <v>#VALUE!</v>
      </c>
      <c r="W101" s="34">
        <v>229</v>
      </c>
      <c r="X101" s="24">
        <f t="shared" si="36"/>
        <v>197.41379310344828</v>
      </c>
      <c r="Y101" s="24">
        <f t="shared" si="37"/>
        <v>118.44827586206897</v>
      </c>
      <c r="Z101" s="27" t="e">
        <f t="shared" ca="1" si="38"/>
        <v>#VALUE!</v>
      </c>
      <c r="AA101" s="27" t="e">
        <f t="shared" ca="1" si="39"/>
        <v>#VALUE!</v>
      </c>
      <c r="AB101" s="28">
        <f t="shared" si="40"/>
        <v>0.4</v>
      </c>
      <c r="AC101" s="29" t="s">
        <v>287</v>
      </c>
      <c r="AD101" s="36"/>
      <c r="AE101" s="19">
        <v>6</v>
      </c>
      <c r="AF101" s="19">
        <v>144</v>
      </c>
      <c r="AG101" s="36" t="s">
        <v>288</v>
      </c>
      <c r="AH101" s="36"/>
      <c r="AI101" s="275"/>
      <c r="AJ101" s="275"/>
      <c r="AL101" s="48">
        <v>148.85</v>
      </c>
      <c r="AM101" s="31">
        <f t="shared" si="41"/>
        <v>128.31896551724139</v>
      </c>
      <c r="AN101" s="32" t="e">
        <f t="shared" ca="1" si="42"/>
        <v>#VALUE!</v>
      </c>
      <c r="AO101" s="32" t="e">
        <f t="shared" ca="1" si="43"/>
        <v>#VALUE!</v>
      </c>
      <c r="AP101" s="33">
        <f t="shared" si="44"/>
        <v>0</v>
      </c>
      <c r="BA101" s="3">
        <v>1</v>
      </c>
      <c r="BB101" s="3">
        <v>1</v>
      </c>
      <c r="BC101" s="3">
        <v>1</v>
      </c>
      <c r="BD101" s="3">
        <v>1</v>
      </c>
      <c r="BE101" s="3"/>
      <c r="BF101" s="3"/>
      <c r="BG101" s="3"/>
      <c r="BH101" s="3"/>
      <c r="BI101" s="3"/>
      <c r="BJ101" s="3">
        <v>9</v>
      </c>
      <c r="BK101" s="3">
        <f t="shared" si="45"/>
        <v>4</v>
      </c>
      <c r="BL101" s="292">
        <f t="shared" si="46"/>
        <v>0.44444444444444442</v>
      </c>
      <c r="BM101" s="295"/>
      <c r="BN101" s="295"/>
      <c r="BO101" s="295"/>
      <c r="BP101" s="295"/>
      <c r="BQ101" s="295"/>
      <c r="BR101" s="320" t="s">
        <v>483</v>
      </c>
      <c r="BS101" s="278"/>
      <c r="BT101" s="278" t="s">
        <v>150</v>
      </c>
    </row>
    <row r="102" spans="1:72" ht="34.5">
      <c r="A102" s="16">
        <v>94</v>
      </c>
      <c r="B102" s="17">
        <v>46248</v>
      </c>
      <c r="C102" s="17" t="s">
        <v>277</v>
      </c>
      <c r="D102" s="17" t="s">
        <v>77</v>
      </c>
      <c r="E102" s="18">
        <v>7502327991786</v>
      </c>
      <c r="F102" s="16" t="s">
        <v>567</v>
      </c>
      <c r="G102" s="36" t="s">
        <v>568</v>
      </c>
      <c r="H102" s="44" t="s">
        <v>60</v>
      </c>
      <c r="I102" s="36" t="s">
        <v>569</v>
      </c>
      <c r="J102" s="19" t="s">
        <v>249</v>
      </c>
      <c r="K102" s="19" t="s">
        <v>281</v>
      </c>
      <c r="L102" s="16">
        <v>1</v>
      </c>
      <c r="M102" s="46" t="s">
        <v>376</v>
      </c>
      <c r="N102" s="22" t="s">
        <v>555</v>
      </c>
      <c r="O102" s="36" t="s">
        <v>284</v>
      </c>
      <c r="P102" s="349">
        <v>2.78</v>
      </c>
      <c r="Q102" s="23" t="s">
        <v>286</v>
      </c>
      <c r="R102" s="47">
        <v>10000</v>
      </c>
      <c r="S102" s="24" t="e">
        <f t="shared" ca="1" si="50"/>
        <v>#VALUE!</v>
      </c>
      <c r="T102" s="24" t="e">
        <f t="shared" ca="1" si="51"/>
        <v>#VALUE!</v>
      </c>
      <c r="U102" s="24" t="e">
        <f ca="1">(S102+T102)*0.0814</f>
        <v>#VALUE!</v>
      </c>
      <c r="V102" s="25" t="e">
        <f t="shared" ca="1" si="35"/>
        <v>#VALUE!</v>
      </c>
      <c r="W102" s="34">
        <v>169</v>
      </c>
      <c r="X102" s="24">
        <f t="shared" si="36"/>
        <v>145.68965517241381</v>
      </c>
      <c r="Y102" s="24">
        <f t="shared" si="37"/>
        <v>87.413793103448285</v>
      </c>
      <c r="Z102" s="27" t="e">
        <f t="shared" ca="1" si="38"/>
        <v>#VALUE!</v>
      </c>
      <c r="AA102" s="27" t="e">
        <f t="shared" ca="1" si="39"/>
        <v>#VALUE!</v>
      </c>
      <c r="AB102" s="28">
        <f t="shared" si="40"/>
        <v>0.4</v>
      </c>
      <c r="AC102" s="29" t="s">
        <v>287</v>
      </c>
      <c r="AD102" s="36"/>
      <c r="AE102" s="19">
        <v>6</v>
      </c>
      <c r="AF102" s="19">
        <v>144</v>
      </c>
      <c r="AG102" s="36" t="s">
        <v>288</v>
      </c>
      <c r="AH102" s="36"/>
      <c r="AI102" s="275"/>
      <c r="AJ102" s="275"/>
      <c r="AL102" s="48">
        <v>109.85</v>
      </c>
      <c r="AM102" s="31">
        <f t="shared" si="41"/>
        <v>94.698275862068968</v>
      </c>
      <c r="AN102" s="32" t="e">
        <f t="shared" ca="1" si="42"/>
        <v>#VALUE!</v>
      </c>
      <c r="AO102" s="32" t="e">
        <f t="shared" ca="1" si="43"/>
        <v>#VALUE!</v>
      </c>
      <c r="AP102" s="33">
        <f t="shared" si="44"/>
        <v>0</v>
      </c>
      <c r="BA102" s="3">
        <v>1</v>
      </c>
      <c r="BB102" s="3">
        <v>1</v>
      </c>
      <c r="BC102" s="3">
        <v>1</v>
      </c>
      <c r="BD102" s="3">
        <v>1</v>
      </c>
      <c r="BE102" s="3"/>
      <c r="BF102" s="3"/>
      <c r="BG102" s="3"/>
      <c r="BH102" s="3"/>
      <c r="BI102" s="3"/>
      <c r="BJ102" s="3">
        <v>9</v>
      </c>
      <c r="BK102" s="3">
        <f t="shared" si="45"/>
        <v>4</v>
      </c>
      <c r="BL102" s="292">
        <f t="shared" si="46"/>
        <v>0.44444444444444442</v>
      </c>
      <c r="BM102" s="295"/>
      <c r="BN102" s="295"/>
      <c r="BO102" s="295"/>
      <c r="BP102" s="295"/>
      <c r="BQ102" s="295"/>
      <c r="BR102" s="320" t="str">
        <f t="shared" si="48"/>
        <v>En revisión de dummy para autorización final</v>
      </c>
      <c r="BS102" s="278"/>
      <c r="BT102" s="278" t="s">
        <v>129</v>
      </c>
    </row>
    <row r="103" spans="1:72" ht="34.5">
      <c r="A103" s="16">
        <v>95</v>
      </c>
      <c r="B103" s="17">
        <v>46248</v>
      </c>
      <c r="C103" s="17" t="s">
        <v>277</v>
      </c>
      <c r="D103" s="17" t="s">
        <v>77</v>
      </c>
      <c r="E103" s="18">
        <v>7502327991793</v>
      </c>
      <c r="F103" s="16" t="s">
        <v>570</v>
      </c>
      <c r="G103" s="36" t="s">
        <v>571</v>
      </c>
      <c r="H103" s="44" t="s">
        <v>60</v>
      </c>
      <c r="I103" s="36" t="s">
        <v>569</v>
      </c>
      <c r="J103" s="19" t="s">
        <v>249</v>
      </c>
      <c r="K103" s="19" t="s">
        <v>281</v>
      </c>
      <c r="L103" s="16">
        <v>1</v>
      </c>
      <c r="M103" s="46" t="s">
        <v>376</v>
      </c>
      <c r="N103" s="22" t="s">
        <v>555</v>
      </c>
      <c r="O103" s="36" t="s">
        <v>284</v>
      </c>
      <c r="P103" s="349">
        <v>2.78</v>
      </c>
      <c r="Q103" s="23" t="s">
        <v>286</v>
      </c>
      <c r="R103" s="47">
        <v>10000</v>
      </c>
      <c r="S103" s="24" t="e">
        <f t="shared" ca="1" si="50"/>
        <v>#VALUE!</v>
      </c>
      <c r="T103" s="24" t="e">
        <f t="shared" ca="1" si="51"/>
        <v>#VALUE!</v>
      </c>
      <c r="U103" s="24" t="e">
        <f ca="1">(S103+T103)*0.0814</f>
        <v>#VALUE!</v>
      </c>
      <c r="V103" s="25" t="e">
        <f t="shared" ca="1" si="35"/>
        <v>#VALUE!</v>
      </c>
      <c r="W103" s="34">
        <v>169</v>
      </c>
      <c r="X103" s="24">
        <f t="shared" si="36"/>
        <v>145.68965517241381</v>
      </c>
      <c r="Y103" s="24">
        <f t="shared" si="37"/>
        <v>87.413793103448285</v>
      </c>
      <c r="Z103" s="27" t="e">
        <f t="shared" ca="1" si="38"/>
        <v>#VALUE!</v>
      </c>
      <c r="AA103" s="27" t="e">
        <f t="shared" ca="1" si="39"/>
        <v>#VALUE!</v>
      </c>
      <c r="AB103" s="28">
        <f t="shared" si="40"/>
        <v>0.4</v>
      </c>
      <c r="AC103" s="29" t="s">
        <v>287</v>
      </c>
      <c r="AD103" s="36"/>
      <c r="AE103" s="19">
        <v>6</v>
      </c>
      <c r="AF103" s="19">
        <v>144</v>
      </c>
      <c r="AG103" s="36" t="s">
        <v>288</v>
      </c>
      <c r="AH103" s="36"/>
      <c r="AI103" s="275"/>
      <c r="AJ103" s="275"/>
      <c r="AL103" s="48">
        <v>109.85</v>
      </c>
      <c r="AM103" s="31">
        <f t="shared" si="41"/>
        <v>94.698275862068968</v>
      </c>
      <c r="AN103" s="32" t="e">
        <f t="shared" ca="1" si="42"/>
        <v>#VALUE!</v>
      </c>
      <c r="AO103" s="32" t="e">
        <f t="shared" ca="1" si="43"/>
        <v>#VALUE!</v>
      </c>
      <c r="AP103" s="33">
        <f t="shared" si="44"/>
        <v>0</v>
      </c>
      <c r="BA103" s="3">
        <v>1</v>
      </c>
      <c r="BB103" s="3">
        <v>1</v>
      </c>
      <c r="BC103" s="3">
        <v>1</v>
      </c>
      <c r="BD103" s="3">
        <v>1</v>
      </c>
      <c r="BE103" s="3"/>
      <c r="BF103" s="3"/>
      <c r="BG103" s="3"/>
      <c r="BH103" s="3"/>
      <c r="BI103" s="3"/>
      <c r="BJ103" s="3">
        <v>9</v>
      </c>
      <c r="BK103" s="3">
        <f t="shared" si="45"/>
        <v>4</v>
      </c>
      <c r="BL103" s="292">
        <f t="shared" si="46"/>
        <v>0.44444444444444442</v>
      </c>
      <c r="BM103" s="295"/>
      <c r="BN103" s="295"/>
      <c r="BO103" s="295"/>
      <c r="BP103" s="295"/>
      <c r="BQ103" s="295"/>
      <c r="BR103" s="320" t="str">
        <f t="shared" si="48"/>
        <v>En revisión de dummy para autorización final</v>
      </c>
      <c r="BS103" s="278"/>
      <c r="BT103" s="278" t="s">
        <v>129</v>
      </c>
    </row>
    <row r="104" spans="1:72" ht="34.5">
      <c r="A104" s="16">
        <v>96</v>
      </c>
      <c r="B104" s="17">
        <v>46248</v>
      </c>
      <c r="C104" s="17" t="s">
        <v>277</v>
      </c>
      <c r="D104" s="17" t="s">
        <v>77</v>
      </c>
      <c r="E104" s="18">
        <v>7502327991809</v>
      </c>
      <c r="F104" s="16" t="s">
        <v>572</v>
      </c>
      <c r="G104" s="36" t="s">
        <v>573</v>
      </c>
      <c r="H104" s="44" t="s">
        <v>60</v>
      </c>
      <c r="I104" s="36" t="s">
        <v>569</v>
      </c>
      <c r="J104" s="19" t="s">
        <v>249</v>
      </c>
      <c r="K104" s="19" t="s">
        <v>281</v>
      </c>
      <c r="L104" s="16">
        <v>1</v>
      </c>
      <c r="M104" s="46" t="s">
        <v>376</v>
      </c>
      <c r="N104" s="22" t="s">
        <v>555</v>
      </c>
      <c r="O104" s="36" t="s">
        <v>284</v>
      </c>
      <c r="P104" s="349">
        <v>2.78</v>
      </c>
      <c r="Q104" s="23" t="s">
        <v>286</v>
      </c>
      <c r="R104" s="47">
        <v>10000</v>
      </c>
      <c r="S104" s="24" t="e">
        <f t="shared" ca="1" si="50"/>
        <v>#VALUE!</v>
      </c>
      <c r="T104" s="24" t="e">
        <f t="shared" ca="1" si="51"/>
        <v>#VALUE!</v>
      </c>
      <c r="U104" s="24" t="e">
        <f ca="1">(S104+T104)*0.0814</f>
        <v>#VALUE!</v>
      </c>
      <c r="V104" s="25" t="e">
        <f t="shared" ca="1" si="35"/>
        <v>#VALUE!</v>
      </c>
      <c r="W104" s="34">
        <v>169</v>
      </c>
      <c r="X104" s="24">
        <f t="shared" si="36"/>
        <v>145.68965517241381</v>
      </c>
      <c r="Y104" s="24">
        <f t="shared" si="37"/>
        <v>87.413793103448285</v>
      </c>
      <c r="Z104" s="27" t="e">
        <f t="shared" ca="1" si="38"/>
        <v>#VALUE!</v>
      </c>
      <c r="AA104" s="27" t="e">
        <f t="shared" ca="1" si="39"/>
        <v>#VALUE!</v>
      </c>
      <c r="AB104" s="28">
        <f t="shared" si="40"/>
        <v>0.4</v>
      </c>
      <c r="AC104" s="29" t="s">
        <v>287</v>
      </c>
      <c r="AD104" s="36"/>
      <c r="AE104" s="19">
        <v>6</v>
      </c>
      <c r="AF104" s="19">
        <v>144</v>
      </c>
      <c r="AG104" s="36" t="s">
        <v>288</v>
      </c>
      <c r="AH104" s="36"/>
      <c r="AI104" s="275"/>
      <c r="AJ104" s="275"/>
      <c r="AL104" s="48">
        <v>109.85</v>
      </c>
      <c r="AM104" s="31">
        <f t="shared" si="41"/>
        <v>94.698275862068968</v>
      </c>
      <c r="AN104" s="32" t="e">
        <f t="shared" ca="1" si="42"/>
        <v>#VALUE!</v>
      </c>
      <c r="AO104" s="32" t="e">
        <f t="shared" ca="1" si="43"/>
        <v>#VALUE!</v>
      </c>
      <c r="AP104" s="33">
        <f t="shared" si="44"/>
        <v>0</v>
      </c>
      <c r="BA104" s="3">
        <v>1</v>
      </c>
      <c r="BB104" s="3">
        <v>1</v>
      </c>
      <c r="BC104" s="3">
        <v>1</v>
      </c>
      <c r="BD104" s="3">
        <v>1</v>
      </c>
      <c r="BE104" s="3"/>
      <c r="BF104" s="3"/>
      <c r="BG104" s="3"/>
      <c r="BH104" s="3"/>
      <c r="BI104" s="3"/>
      <c r="BJ104" s="3">
        <v>9</v>
      </c>
      <c r="BK104" s="3">
        <f t="shared" si="45"/>
        <v>4</v>
      </c>
      <c r="BL104" s="292">
        <f t="shared" si="46"/>
        <v>0.44444444444444442</v>
      </c>
      <c r="BM104" s="295"/>
      <c r="BN104" s="295"/>
      <c r="BO104" s="295"/>
      <c r="BP104" s="295"/>
      <c r="BQ104" s="295"/>
      <c r="BR104" s="320" t="str">
        <f t="shared" si="48"/>
        <v>En revisión de dummy para autorización final</v>
      </c>
      <c r="BS104" s="278"/>
      <c r="BT104" s="278" t="s">
        <v>129</v>
      </c>
    </row>
    <row r="105" spans="1:72" ht="360">
      <c r="A105" s="16">
        <v>97</v>
      </c>
      <c r="B105" s="17">
        <v>46248</v>
      </c>
      <c r="C105" s="17" t="s">
        <v>277</v>
      </c>
      <c r="D105" s="17" t="s">
        <v>77</v>
      </c>
      <c r="E105" s="49">
        <v>7502327992608</v>
      </c>
      <c r="F105" s="16" t="s">
        <v>574</v>
      </c>
      <c r="G105" s="19" t="s">
        <v>575</v>
      </c>
      <c r="H105" s="44" t="s">
        <v>60</v>
      </c>
      <c r="I105" s="41" t="s">
        <v>400</v>
      </c>
      <c r="J105" s="19" t="s">
        <v>249</v>
      </c>
      <c r="K105" s="19" t="s">
        <v>281</v>
      </c>
      <c r="L105" s="16">
        <v>1</v>
      </c>
      <c r="M105" s="42" t="s">
        <v>376</v>
      </c>
      <c r="N105" s="43" t="s">
        <v>401</v>
      </c>
      <c r="O105" s="36" t="s">
        <v>284</v>
      </c>
      <c r="P105" s="348">
        <v>6.8</v>
      </c>
      <c r="Q105" s="23" t="s">
        <v>286</v>
      </c>
      <c r="R105" s="47">
        <v>10000</v>
      </c>
      <c r="S105" s="24" t="e">
        <f t="shared" ca="1" si="50"/>
        <v>#VALUE!</v>
      </c>
      <c r="T105" s="24" t="e">
        <f t="shared" ca="1" si="51"/>
        <v>#VALUE!</v>
      </c>
      <c r="U105" s="24" t="e">
        <f t="shared" ref="U105:U113" ca="1" si="52">(S105+T105)*0.0586</f>
        <v>#VALUE!</v>
      </c>
      <c r="V105" s="25" t="e">
        <f t="shared" ca="1" si="35"/>
        <v>#VALUE!</v>
      </c>
      <c r="W105" s="34">
        <v>179</v>
      </c>
      <c r="X105" s="24">
        <f t="shared" si="36"/>
        <v>154.31034482758622</v>
      </c>
      <c r="Y105" s="24">
        <f t="shared" si="37"/>
        <v>92.58620689655173</v>
      </c>
      <c r="Z105" s="27" t="e">
        <f t="shared" ca="1" si="38"/>
        <v>#VALUE!</v>
      </c>
      <c r="AA105" s="27" t="e">
        <f t="shared" ca="1" si="39"/>
        <v>#VALUE!</v>
      </c>
      <c r="AB105" s="28">
        <f t="shared" si="40"/>
        <v>0.4</v>
      </c>
      <c r="AC105" s="29" t="s">
        <v>287</v>
      </c>
      <c r="AD105" s="16"/>
      <c r="AE105" s="19">
        <v>6</v>
      </c>
      <c r="AF105" s="19">
        <v>144</v>
      </c>
      <c r="AG105" s="36" t="s">
        <v>496</v>
      </c>
      <c r="AH105" s="467">
        <v>46315</v>
      </c>
      <c r="AI105" s="274"/>
      <c r="AJ105" s="274"/>
      <c r="AL105" s="31">
        <v>116.35</v>
      </c>
      <c r="AM105" s="31">
        <f t="shared" si="41"/>
        <v>100.30172413793103</v>
      </c>
      <c r="AN105" s="32" t="e">
        <f t="shared" ca="1" si="42"/>
        <v>#VALUE!</v>
      </c>
      <c r="AO105" s="32" t="e">
        <f t="shared" ca="1" si="43"/>
        <v>#VALUE!</v>
      </c>
      <c r="AP105" s="33">
        <f t="shared" si="44"/>
        <v>0</v>
      </c>
      <c r="BA105" s="3">
        <v>1</v>
      </c>
      <c r="BB105" s="3">
        <v>1</v>
      </c>
      <c r="BC105" s="3">
        <v>1</v>
      </c>
      <c r="BD105" s="3">
        <v>1</v>
      </c>
      <c r="BE105" s="3"/>
      <c r="BF105" s="3"/>
      <c r="BG105" s="3"/>
      <c r="BH105" s="3"/>
      <c r="BI105" s="3"/>
      <c r="BJ105" s="3">
        <v>9</v>
      </c>
      <c r="BK105" s="3">
        <f t="shared" si="45"/>
        <v>4</v>
      </c>
      <c r="BL105" s="292">
        <f t="shared" si="46"/>
        <v>0.44444444444444442</v>
      </c>
      <c r="BM105" s="295"/>
      <c r="BN105" s="295"/>
      <c r="BO105" s="295"/>
      <c r="BP105" s="295"/>
      <c r="BQ105" s="295"/>
      <c r="BR105" s="320" t="str">
        <f t="shared" si="48"/>
        <v>En proceso de realizacion de dummy para autorizacion final</v>
      </c>
      <c r="BS105" s="278"/>
      <c r="BT105" s="278" t="s">
        <v>150</v>
      </c>
    </row>
    <row r="106" spans="1:72" ht="360">
      <c r="A106" s="16">
        <v>98</v>
      </c>
      <c r="B106" s="17">
        <v>46248</v>
      </c>
      <c r="C106" s="17" t="s">
        <v>277</v>
      </c>
      <c r="D106" s="17" t="s">
        <v>77</v>
      </c>
      <c r="E106" s="49">
        <v>7502327992615</v>
      </c>
      <c r="F106" s="16" t="s">
        <v>576</v>
      </c>
      <c r="G106" s="19" t="s">
        <v>577</v>
      </c>
      <c r="H106" s="44" t="s">
        <v>60</v>
      </c>
      <c r="I106" s="41" t="s">
        <v>400</v>
      </c>
      <c r="J106" s="19" t="s">
        <v>249</v>
      </c>
      <c r="K106" s="19" t="s">
        <v>281</v>
      </c>
      <c r="L106" s="16">
        <v>1</v>
      </c>
      <c r="M106" s="42" t="s">
        <v>376</v>
      </c>
      <c r="N106" s="43" t="s">
        <v>401</v>
      </c>
      <c r="O106" s="36" t="s">
        <v>284</v>
      </c>
      <c r="P106" s="348">
        <v>6.8</v>
      </c>
      <c r="Q106" s="23" t="s">
        <v>286</v>
      </c>
      <c r="R106" s="47">
        <v>10000</v>
      </c>
      <c r="S106" s="24" t="e">
        <f t="shared" ca="1" si="50"/>
        <v>#VALUE!</v>
      </c>
      <c r="T106" s="24" t="e">
        <f t="shared" ca="1" si="51"/>
        <v>#VALUE!</v>
      </c>
      <c r="U106" s="24" t="e">
        <f t="shared" ca="1" si="52"/>
        <v>#VALUE!</v>
      </c>
      <c r="V106" s="25" t="e">
        <f t="shared" ca="1" si="35"/>
        <v>#VALUE!</v>
      </c>
      <c r="W106" s="34">
        <v>179</v>
      </c>
      <c r="X106" s="24">
        <f t="shared" si="36"/>
        <v>154.31034482758622</v>
      </c>
      <c r="Y106" s="24">
        <f t="shared" si="37"/>
        <v>92.58620689655173</v>
      </c>
      <c r="Z106" s="27" t="e">
        <f t="shared" ca="1" si="38"/>
        <v>#VALUE!</v>
      </c>
      <c r="AA106" s="27" t="e">
        <f t="shared" ca="1" si="39"/>
        <v>#VALUE!</v>
      </c>
      <c r="AB106" s="28">
        <f t="shared" si="40"/>
        <v>0.4</v>
      </c>
      <c r="AC106" s="29" t="s">
        <v>287</v>
      </c>
      <c r="AD106" s="16"/>
      <c r="AE106" s="19">
        <v>6</v>
      </c>
      <c r="AF106" s="19">
        <v>144</v>
      </c>
      <c r="AG106" s="36" t="s">
        <v>496</v>
      </c>
      <c r="AH106" s="467">
        <v>46315</v>
      </c>
      <c r="AI106" s="274"/>
      <c r="AJ106" s="274"/>
      <c r="AL106" s="31">
        <v>116.35</v>
      </c>
      <c r="AM106" s="31">
        <f t="shared" si="41"/>
        <v>100.30172413793103</v>
      </c>
      <c r="AN106" s="32" t="e">
        <f t="shared" ca="1" si="42"/>
        <v>#VALUE!</v>
      </c>
      <c r="AO106" s="32" t="e">
        <f t="shared" ca="1" si="43"/>
        <v>#VALUE!</v>
      </c>
      <c r="AP106" s="33">
        <f t="shared" si="44"/>
        <v>0</v>
      </c>
      <c r="BA106" s="3">
        <v>1</v>
      </c>
      <c r="BB106" s="3">
        <v>1</v>
      </c>
      <c r="BC106" s="3">
        <v>1</v>
      </c>
      <c r="BD106" s="3">
        <v>1</v>
      </c>
      <c r="BE106" s="3"/>
      <c r="BF106" s="3"/>
      <c r="BG106" s="3"/>
      <c r="BH106" s="3"/>
      <c r="BI106" s="3"/>
      <c r="BJ106" s="3">
        <v>9</v>
      </c>
      <c r="BK106" s="3">
        <f t="shared" si="45"/>
        <v>4</v>
      </c>
      <c r="BL106" s="292">
        <f t="shared" si="46"/>
        <v>0.44444444444444442</v>
      </c>
      <c r="BM106" s="295"/>
      <c r="BN106" s="295"/>
      <c r="BO106" s="295"/>
      <c r="BP106" s="295"/>
      <c r="BQ106" s="295"/>
      <c r="BR106" s="320" t="str">
        <f t="shared" si="48"/>
        <v>En proceso de realizacion de dummy para autorizacion final</v>
      </c>
      <c r="BS106" s="278"/>
      <c r="BT106" s="278" t="s">
        <v>150</v>
      </c>
    </row>
    <row r="107" spans="1:72" ht="360">
      <c r="A107" s="16">
        <v>99</v>
      </c>
      <c r="B107" s="17">
        <v>46248</v>
      </c>
      <c r="C107" s="17" t="s">
        <v>277</v>
      </c>
      <c r="D107" s="17" t="s">
        <v>77</v>
      </c>
      <c r="E107" s="49">
        <v>7502327992622</v>
      </c>
      <c r="F107" s="16" t="s">
        <v>578</v>
      </c>
      <c r="G107" s="19" t="s">
        <v>579</v>
      </c>
      <c r="H107" s="44" t="s">
        <v>60</v>
      </c>
      <c r="I107" s="41" t="s">
        <v>400</v>
      </c>
      <c r="J107" s="19" t="s">
        <v>249</v>
      </c>
      <c r="K107" s="19" t="s">
        <v>281</v>
      </c>
      <c r="L107" s="16">
        <v>1</v>
      </c>
      <c r="M107" s="42" t="s">
        <v>376</v>
      </c>
      <c r="N107" s="43" t="s">
        <v>401</v>
      </c>
      <c r="O107" s="36" t="s">
        <v>284</v>
      </c>
      <c r="P107" s="348">
        <v>6.8</v>
      </c>
      <c r="Q107" s="23" t="s">
        <v>286</v>
      </c>
      <c r="R107" s="47">
        <v>10000</v>
      </c>
      <c r="S107" s="24" t="e">
        <f t="shared" ca="1" si="50"/>
        <v>#VALUE!</v>
      </c>
      <c r="T107" s="24" t="e">
        <f t="shared" ca="1" si="51"/>
        <v>#VALUE!</v>
      </c>
      <c r="U107" s="24" t="e">
        <f t="shared" ca="1" si="52"/>
        <v>#VALUE!</v>
      </c>
      <c r="V107" s="25" t="e">
        <f t="shared" ca="1" si="35"/>
        <v>#VALUE!</v>
      </c>
      <c r="W107" s="34">
        <v>179</v>
      </c>
      <c r="X107" s="24">
        <f t="shared" si="36"/>
        <v>154.31034482758622</v>
      </c>
      <c r="Y107" s="24">
        <f t="shared" si="37"/>
        <v>92.58620689655173</v>
      </c>
      <c r="Z107" s="27" t="e">
        <f t="shared" ca="1" si="38"/>
        <v>#VALUE!</v>
      </c>
      <c r="AA107" s="27" t="e">
        <f t="shared" ca="1" si="39"/>
        <v>#VALUE!</v>
      </c>
      <c r="AB107" s="28">
        <f t="shared" si="40"/>
        <v>0.4</v>
      </c>
      <c r="AC107" s="29" t="s">
        <v>287</v>
      </c>
      <c r="AD107" s="16"/>
      <c r="AE107" s="19">
        <v>6</v>
      </c>
      <c r="AF107" s="19">
        <v>144</v>
      </c>
      <c r="AG107" s="36" t="s">
        <v>496</v>
      </c>
      <c r="AH107" s="467">
        <v>46315</v>
      </c>
      <c r="AI107" s="274"/>
      <c r="AJ107" s="274"/>
      <c r="AL107" s="31">
        <v>116.35</v>
      </c>
      <c r="AM107" s="31">
        <f t="shared" si="41"/>
        <v>100.30172413793103</v>
      </c>
      <c r="AN107" s="32">
        <f t="shared" si="42"/>
        <v>0</v>
      </c>
      <c r="AO107" s="32">
        <f t="shared" si="43"/>
        <v>1</v>
      </c>
      <c r="AP107" s="33">
        <f t="shared" si="44"/>
        <v>0</v>
      </c>
      <c r="BA107" s="3">
        <v>1</v>
      </c>
      <c r="BB107" s="3">
        <v>1</v>
      </c>
      <c r="BC107" s="3">
        <v>1</v>
      </c>
      <c r="BD107" s="3">
        <v>1</v>
      </c>
      <c r="BE107" s="3"/>
      <c r="BF107" s="3"/>
      <c r="BG107" s="3"/>
      <c r="BH107" s="3"/>
      <c r="BI107" s="3"/>
      <c r="BJ107" s="3">
        <v>9</v>
      </c>
      <c r="BK107" s="3">
        <f t="shared" si="45"/>
        <v>4</v>
      </c>
      <c r="BL107" s="292">
        <f t="shared" si="46"/>
        <v>0.44444444444444442</v>
      </c>
      <c r="BM107" s="295"/>
      <c r="BN107" s="295"/>
      <c r="BO107" s="295"/>
      <c r="BP107" s="295"/>
      <c r="BQ107" s="295"/>
      <c r="BR107" s="320" t="str">
        <f t="shared" si="48"/>
        <v>En proceso de realizacion de dummy para autorizacion final</v>
      </c>
      <c r="BS107" s="278"/>
      <c r="BT107" s="278" t="s">
        <v>150</v>
      </c>
    </row>
    <row r="108" spans="1:72" ht="34.5">
      <c r="A108" s="16">
        <v>100</v>
      </c>
      <c r="B108" s="17">
        <v>46248</v>
      </c>
      <c r="C108" s="17" t="s">
        <v>277</v>
      </c>
      <c r="D108" s="17" t="s">
        <v>77</v>
      </c>
      <c r="E108" s="49">
        <v>7506110696650</v>
      </c>
      <c r="F108" s="16" t="s">
        <v>580</v>
      </c>
      <c r="G108" s="19" t="s">
        <v>581</v>
      </c>
      <c r="H108" s="44"/>
      <c r="I108" s="41" t="s">
        <v>582</v>
      </c>
      <c r="J108" s="19" t="s">
        <v>249</v>
      </c>
      <c r="K108" s="50" t="s">
        <v>583</v>
      </c>
      <c r="L108" s="16">
        <v>1</v>
      </c>
      <c r="M108" s="42" t="s">
        <v>584</v>
      </c>
      <c r="N108" s="43"/>
      <c r="O108" s="36"/>
      <c r="P108" s="348"/>
      <c r="Q108" s="23"/>
      <c r="R108" s="47"/>
      <c r="S108" s="24"/>
      <c r="T108" s="24"/>
      <c r="U108" s="24">
        <f t="shared" si="52"/>
        <v>0</v>
      </c>
      <c r="V108" s="25">
        <f t="shared" ref="V108:V113" si="53">S108+T108+U108</f>
        <v>0</v>
      </c>
      <c r="W108" s="34"/>
      <c r="X108" s="24">
        <f t="shared" si="36"/>
        <v>0</v>
      </c>
      <c r="Y108" s="24">
        <f t="shared" si="37"/>
        <v>0</v>
      </c>
      <c r="Z108" s="27" t="e">
        <f t="shared" si="38"/>
        <v>#DIV/0!</v>
      </c>
      <c r="AA108" s="27" t="e">
        <f t="shared" si="39"/>
        <v>#DIV/0!</v>
      </c>
      <c r="AB108" s="28" t="e">
        <f t="shared" si="40"/>
        <v>#DIV/0!</v>
      </c>
      <c r="AC108" s="29" t="s">
        <v>287</v>
      </c>
      <c r="AD108" s="16"/>
      <c r="AE108" s="19">
        <v>6</v>
      </c>
      <c r="AF108" s="19">
        <v>144</v>
      </c>
      <c r="AG108" s="36" t="s">
        <v>585</v>
      </c>
      <c r="AH108" s="16"/>
      <c r="AI108" s="274"/>
      <c r="AJ108" s="274"/>
      <c r="AL108" s="31">
        <v>116.35</v>
      </c>
      <c r="AM108" s="31">
        <f t="shared" si="41"/>
        <v>100.30172413793103</v>
      </c>
      <c r="AN108" s="32">
        <f t="shared" si="42"/>
        <v>0</v>
      </c>
      <c r="AO108" s="32">
        <f t="shared" si="43"/>
        <v>1</v>
      </c>
      <c r="AP108" s="33">
        <f t="shared" si="44"/>
        <v>0</v>
      </c>
      <c r="BA108" s="3">
        <v>1</v>
      </c>
      <c r="BB108" s="3">
        <v>1</v>
      </c>
      <c r="BC108" s="3">
        <v>1</v>
      </c>
      <c r="BD108" s="3">
        <v>1</v>
      </c>
      <c r="BE108" s="3"/>
      <c r="BF108" s="3"/>
      <c r="BG108" s="3"/>
      <c r="BH108" s="3"/>
      <c r="BI108" s="3"/>
      <c r="BJ108" s="3">
        <v>9</v>
      </c>
      <c r="BK108" s="3">
        <f t="shared" si="45"/>
        <v>4</v>
      </c>
      <c r="BL108" s="292">
        <f t="shared" si="46"/>
        <v>0.44444444444444442</v>
      </c>
      <c r="BM108" s="295"/>
      <c r="BN108" s="295"/>
      <c r="BO108" s="295"/>
      <c r="BP108" s="295"/>
      <c r="BQ108" s="295"/>
      <c r="BR108" s="320" t="str">
        <f t="shared" si="48"/>
        <v>En producción</v>
      </c>
      <c r="BS108" s="278"/>
      <c r="BT108" s="278" t="s">
        <v>86</v>
      </c>
    </row>
    <row r="109" spans="1:72" ht="34.5">
      <c r="A109" s="16">
        <v>101</v>
      </c>
      <c r="B109" s="17">
        <v>46248</v>
      </c>
      <c r="C109" s="17" t="s">
        <v>277</v>
      </c>
      <c r="D109" s="17" t="s">
        <v>77</v>
      </c>
      <c r="E109" s="49">
        <v>7502327992639</v>
      </c>
      <c r="F109" s="16" t="s">
        <v>586</v>
      </c>
      <c r="G109" s="19" t="s">
        <v>587</v>
      </c>
      <c r="H109" s="44"/>
      <c r="I109" s="41" t="s">
        <v>582</v>
      </c>
      <c r="J109" s="19" t="s">
        <v>249</v>
      </c>
      <c r="K109" s="50" t="s">
        <v>583</v>
      </c>
      <c r="L109" s="16">
        <v>1</v>
      </c>
      <c r="M109" s="42" t="s">
        <v>584</v>
      </c>
      <c r="N109" s="43"/>
      <c r="O109" s="36"/>
      <c r="P109" s="348"/>
      <c r="Q109" s="23"/>
      <c r="R109" s="47"/>
      <c r="S109" s="24"/>
      <c r="T109" s="24"/>
      <c r="U109" s="24">
        <f t="shared" si="52"/>
        <v>0</v>
      </c>
      <c r="V109" s="25">
        <f t="shared" si="53"/>
        <v>0</v>
      </c>
      <c r="W109" s="34"/>
      <c r="X109" s="24"/>
      <c r="Y109" s="24"/>
      <c r="Z109" s="27"/>
      <c r="AA109" s="27"/>
      <c r="AB109" s="28"/>
      <c r="AC109" s="29"/>
      <c r="AD109" s="16"/>
      <c r="AE109" s="19"/>
      <c r="AF109" s="19"/>
      <c r="AG109" s="36" t="s">
        <v>585</v>
      </c>
      <c r="AH109" s="16"/>
      <c r="AI109" s="274"/>
      <c r="AJ109" s="274"/>
      <c r="AL109" s="31">
        <v>117.35</v>
      </c>
      <c r="AM109" s="31">
        <f>+AL109/1.16</f>
        <v>101.16379310344828</v>
      </c>
      <c r="AN109" s="32">
        <f>+V110/AM109</f>
        <v>0</v>
      </c>
      <c r="AO109" s="32">
        <f>1-V110/AM109</f>
        <v>1</v>
      </c>
      <c r="AP109" s="33">
        <f>1-(AM109/(AL109/1.16))</f>
        <v>0</v>
      </c>
      <c r="BA109" s="3">
        <v>1</v>
      </c>
      <c r="BB109" s="3">
        <v>1</v>
      </c>
      <c r="BC109" s="3">
        <v>1</v>
      </c>
      <c r="BD109" s="3">
        <v>1</v>
      </c>
      <c r="BE109" s="3"/>
      <c r="BF109" s="3"/>
      <c r="BG109" s="3"/>
      <c r="BH109" s="3"/>
      <c r="BI109" s="3"/>
      <c r="BJ109" s="3">
        <v>9</v>
      </c>
      <c r="BK109" s="3">
        <f t="shared" si="45"/>
        <v>4</v>
      </c>
      <c r="BL109" s="292">
        <f t="shared" si="46"/>
        <v>0.44444444444444442</v>
      </c>
      <c r="BM109" s="295"/>
      <c r="BN109" s="295"/>
      <c r="BO109" s="295"/>
      <c r="BP109" s="295"/>
      <c r="BQ109" s="295"/>
      <c r="BR109" s="320" t="str">
        <f t="shared" si="48"/>
        <v>En producción</v>
      </c>
      <c r="BS109" s="278"/>
      <c r="BT109" s="278" t="s">
        <v>86</v>
      </c>
    </row>
    <row r="110" spans="1:72" ht="34.5">
      <c r="A110" s="16">
        <v>102</v>
      </c>
      <c r="B110" s="17">
        <v>46248</v>
      </c>
      <c r="C110" s="17" t="s">
        <v>277</v>
      </c>
      <c r="D110" s="17" t="s">
        <v>77</v>
      </c>
      <c r="E110" s="49">
        <v>7506110696667</v>
      </c>
      <c r="F110" s="16" t="s">
        <v>588</v>
      </c>
      <c r="G110" s="19" t="s">
        <v>589</v>
      </c>
      <c r="H110" s="44"/>
      <c r="I110" s="41" t="s">
        <v>590</v>
      </c>
      <c r="J110" s="19" t="s">
        <v>249</v>
      </c>
      <c r="K110" s="19" t="s">
        <v>281</v>
      </c>
      <c r="L110" s="16">
        <v>1</v>
      </c>
      <c r="M110" s="42" t="s">
        <v>493</v>
      </c>
      <c r="O110" s="16" t="s">
        <v>488</v>
      </c>
      <c r="P110" s="348" t="s">
        <v>591</v>
      </c>
      <c r="Q110" s="23" t="s">
        <v>64</v>
      </c>
      <c r="R110" s="47">
        <v>10000</v>
      </c>
      <c r="S110" s="24"/>
      <c r="T110" s="24"/>
      <c r="U110" s="24">
        <f t="shared" si="52"/>
        <v>0</v>
      </c>
      <c r="V110" s="25">
        <f t="shared" si="53"/>
        <v>0</v>
      </c>
      <c r="W110" s="34" t="s">
        <v>592</v>
      </c>
      <c r="X110" s="24"/>
      <c r="Y110" s="24"/>
      <c r="Z110" s="27"/>
      <c r="AA110" s="27"/>
      <c r="AB110" s="28"/>
      <c r="AC110" s="29"/>
      <c r="AD110" s="16"/>
      <c r="AE110" s="19"/>
      <c r="AF110" s="19"/>
      <c r="AG110" s="36" t="s">
        <v>496</v>
      </c>
      <c r="AH110" s="16"/>
      <c r="AL110" s="31">
        <v>118.35</v>
      </c>
      <c r="AM110" s="31">
        <f>+AL110/1.16</f>
        <v>102.02586206896552</v>
      </c>
      <c r="AN110" s="32">
        <f>+V111/AM110</f>
        <v>0</v>
      </c>
      <c r="AO110" s="32">
        <f>1-V111/AM110</f>
        <v>1</v>
      </c>
      <c r="AP110" s="33">
        <f>1-(AM110/(AL110/1.16))</f>
        <v>0</v>
      </c>
    </row>
    <row r="111" spans="1:72" ht="34.5">
      <c r="A111" s="16">
        <v>103</v>
      </c>
      <c r="B111" s="17">
        <v>46248</v>
      </c>
      <c r="C111" s="17" t="s">
        <v>277</v>
      </c>
      <c r="D111" s="17" t="s">
        <v>77</v>
      </c>
      <c r="E111" s="49">
        <v>7506110696674</v>
      </c>
      <c r="F111" s="16" t="s">
        <v>593</v>
      </c>
      <c r="G111" s="19" t="s">
        <v>594</v>
      </c>
      <c r="H111" s="44"/>
      <c r="I111" s="41" t="s">
        <v>492</v>
      </c>
      <c r="J111" s="19" t="s">
        <v>249</v>
      </c>
      <c r="K111" s="19" t="s">
        <v>281</v>
      </c>
      <c r="L111" s="16">
        <v>1</v>
      </c>
      <c r="M111" s="42" t="s">
        <v>493</v>
      </c>
      <c r="O111" s="16" t="s">
        <v>488</v>
      </c>
      <c r="P111" s="348" t="s">
        <v>595</v>
      </c>
      <c r="Q111" s="23" t="s">
        <v>64</v>
      </c>
      <c r="R111" s="47">
        <v>10000</v>
      </c>
      <c r="S111" s="24"/>
      <c r="T111" s="24"/>
      <c r="U111" s="24">
        <f t="shared" si="52"/>
        <v>0</v>
      </c>
      <c r="V111" s="25">
        <f t="shared" si="53"/>
        <v>0</v>
      </c>
      <c r="W111" s="34" t="s">
        <v>592</v>
      </c>
      <c r="X111" s="24"/>
      <c r="Y111" s="24"/>
      <c r="Z111" s="27"/>
      <c r="AA111" s="27"/>
      <c r="AB111" s="28"/>
      <c r="AC111" s="29"/>
      <c r="AD111" s="16"/>
      <c r="AE111" s="19"/>
      <c r="AF111" s="19"/>
      <c r="AG111" s="36" t="s">
        <v>496</v>
      </c>
      <c r="AH111" s="16"/>
      <c r="AL111" s="31">
        <v>119.35</v>
      </c>
      <c r="AM111" s="31">
        <f>+AL111/1.16</f>
        <v>102.88793103448276</v>
      </c>
      <c r="AN111" s="32">
        <f>+V112/AM111</f>
        <v>0</v>
      </c>
      <c r="AO111" s="32">
        <f>1-V112/AM111</f>
        <v>1</v>
      </c>
      <c r="AP111" s="33">
        <f>1-(AM111/(AL111/1.16))</f>
        <v>0</v>
      </c>
    </row>
    <row r="112" spans="1:72" ht="34.5">
      <c r="A112" s="16">
        <v>104</v>
      </c>
      <c r="B112" s="17">
        <v>46248</v>
      </c>
      <c r="C112" s="17" t="s">
        <v>277</v>
      </c>
      <c r="D112" s="17" t="s">
        <v>77</v>
      </c>
      <c r="E112" s="49">
        <v>7506110696681</v>
      </c>
      <c r="F112" s="16" t="s">
        <v>596</v>
      </c>
      <c r="G112" s="19" t="s">
        <v>597</v>
      </c>
      <c r="H112" s="44"/>
      <c r="I112" s="41" t="s">
        <v>492</v>
      </c>
      <c r="J112" s="19" t="s">
        <v>249</v>
      </c>
      <c r="K112" s="19" t="s">
        <v>281</v>
      </c>
      <c r="L112" s="16">
        <v>1</v>
      </c>
      <c r="M112" s="42" t="s">
        <v>493</v>
      </c>
      <c r="O112" s="16" t="s">
        <v>488</v>
      </c>
      <c r="P112" s="348" t="s">
        <v>595</v>
      </c>
      <c r="Q112" s="23" t="s">
        <v>64</v>
      </c>
      <c r="R112" s="47">
        <v>10000</v>
      </c>
      <c r="S112" s="24"/>
      <c r="T112" s="24"/>
      <c r="U112" s="24">
        <f t="shared" si="52"/>
        <v>0</v>
      </c>
      <c r="V112" s="25">
        <f t="shared" si="53"/>
        <v>0</v>
      </c>
      <c r="W112" s="34" t="s">
        <v>592</v>
      </c>
      <c r="X112" s="24"/>
      <c r="Y112" s="24"/>
      <c r="Z112" s="27"/>
      <c r="AA112" s="27"/>
      <c r="AB112" s="28"/>
      <c r="AC112" s="29"/>
      <c r="AD112" s="16"/>
      <c r="AE112" s="19"/>
      <c r="AF112" s="19"/>
      <c r="AG112" s="36" t="s">
        <v>496</v>
      </c>
      <c r="AH112" s="16"/>
      <c r="AL112" s="31">
        <v>120.35</v>
      </c>
      <c r="AM112" s="31">
        <f>+AL112/1.16</f>
        <v>103.75</v>
      </c>
      <c r="AN112" s="32">
        <f>+V113/AM112</f>
        <v>0</v>
      </c>
      <c r="AO112" s="32">
        <f>1-V113/AM112</f>
        <v>1</v>
      </c>
      <c r="AP112" s="33">
        <f>1-(AM112/(AL112/1.16))</f>
        <v>0</v>
      </c>
    </row>
    <row r="113" spans="1:42" ht="34.5">
      <c r="A113" s="16">
        <v>105</v>
      </c>
      <c r="B113" s="17">
        <v>46248</v>
      </c>
      <c r="C113" s="17" t="s">
        <v>277</v>
      </c>
      <c r="D113" s="17" t="s">
        <v>77</v>
      </c>
      <c r="E113" s="49">
        <v>7506110696698</v>
      </c>
      <c r="F113" s="16" t="s">
        <v>598</v>
      </c>
      <c r="G113" s="19" t="s">
        <v>599</v>
      </c>
      <c r="H113" s="44"/>
      <c r="I113" s="41" t="s">
        <v>492</v>
      </c>
      <c r="J113" s="19" t="s">
        <v>249</v>
      </c>
      <c r="K113" s="19" t="s">
        <v>281</v>
      </c>
      <c r="L113" s="16">
        <v>1</v>
      </c>
      <c r="M113" s="42" t="s">
        <v>493</v>
      </c>
      <c r="O113" s="16" t="s">
        <v>488</v>
      </c>
      <c r="P113" s="348" t="s">
        <v>600</v>
      </c>
      <c r="Q113" s="23" t="s">
        <v>64</v>
      </c>
      <c r="R113" s="47">
        <v>10000</v>
      </c>
      <c r="S113" s="24"/>
      <c r="T113" s="24"/>
      <c r="U113" s="24">
        <f t="shared" si="52"/>
        <v>0</v>
      </c>
      <c r="V113" s="25">
        <f t="shared" si="53"/>
        <v>0</v>
      </c>
      <c r="W113" s="34" t="s">
        <v>592</v>
      </c>
      <c r="X113" s="24"/>
      <c r="Y113" s="24"/>
      <c r="Z113" s="27"/>
      <c r="AA113" s="27"/>
      <c r="AB113" s="28"/>
      <c r="AC113" s="29"/>
      <c r="AD113" s="16"/>
      <c r="AE113" s="19"/>
      <c r="AF113" s="19"/>
      <c r="AG113" s="36" t="s">
        <v>496</v>
      </c>
      <c r="AH113" s="16"/>
      <c r="AL113" s="31">
        <v>121.35</v>
      </c>
      <c r="AM113" s="31">
        <f>+AL113/1.16</f>
        <v>104.61206896551724</v>
      </c>
      <c r="AN113" s="32">
        <f>+V114/AM113</f>
        <v>0</v>
      </c>
      <c r="AO113" s="32">
        <f>1-V114/AM113</f>
        <v>1</v>
      </c>
      <c r="AP113" s="33">
        <f>1-(AM113/(AL113/1.16))</f>
        <v>0</v>
      </c>
    </row>
    <row r="114" spans="1:42" ht="34.5">
      <c r="J114" s="19"/>
    </row>
  </sheetData>
  <mergeCells count="3">
    <mergeCell ref="A2:B2"/>
    <mergeCell ref="BA15:BL15"/>
    <mergeCell ref="CJ14:DA14"/>
  </mergeCells>
  <conditionalFormatting sqref="Z17:Z113">
    <cfRule type="cellIs" dxfId="18" priority="2" operator="greaterThan">
      <formula>0.2599</formula>
    </cfRule>
  </conditionalFormatting>
  <conditionalFormatting sqref="AP17:AP113">
    <cfRule type="cellIs" dxfId="17" priority="3" operator="lessThan">
      <formula>0</formula>
    </cfRule>
  </conditionalFormatting>
  <dataValidations count="1">
    <dataValidation type="decimal" operator="greaterThanOrEqual" allowBlank="1" sqref="W17:W33" xr:uid="{00000000-0002-0000-0100-000000000000}">
      <formula1>0</formula1>
      <formula2>0</formula2>
    </dataValidation>
  </dataValidations>
  <hyperlinks>
    <hyperlink ref="N17" r:id="rId1" xr:uid="{00000000-0004-0000-0100-000000000000}"/>
    <hyperlink ref="N18" r:id="rId2" xr:uid="{00000000-0004-0000-0100-000001000000}"/>
    <hyperlink ref="N19" r:id="rId3" xr:uid="{00000000-0004-0000-0100-000002000000}"/>
    <hyperlink ref="N20" r:id="rId4" xr:uid="{00000000-0004-0000-0100-000003000000}"/>
    <hyperlink ref="N21" r:id="rId5" xr:uid="{00000000-0004-0000-0100-000004000000}"/>
    <hyperlink ref="N22" r:id="rId6" xr:uid="{00000000-0004-0000-0100-000005000000}"/>
    <hyperlink ref="N23" r:id="rId7" xr:uid="{00000000-0004-0000-0100-000006000000}"/>
    <hyperlink ref="N24" r:id="rId8" xr:uid="{00000000-0004-0000-0100-000007000000}"/>
    <hyperlink ref="N25" r:id="rId9" xr:uid="{00000000-0004-0000-0100-000008000000}"/>
    <hyperlink ref="N26" r:id="rId10" xr:uid="{00000000-0004-0000-0100-000009000000}"/>
    <hyperlink ref="N27" r:id="rId11" xr:uid="{00000000-0004-0000-0100-00000A000000}"/>
    <hyperlink ref="N28" r:id="rId12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B000000}"/>
    <hyperlink ref="N29" r:id="rId13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C000000}"/>
    <hyperlink ref="N30" r:id="rId14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D000000}"/>
    <hyperlink ref="N31" r:id="rId15" xr:uid="{00000000-0004-0000-0100-00000E000000}"/>
    <hyperlink ref="N32" r:id="rId16" xr:uid="{00000000-0004-0000-0100-00000F000000}"/>
    <hyperlink ref="N33" r:id="rId17" xr:uid="{00000000-0004-0000-0100-000010000000}"/>
    <hyperlink ref="N34" r:id="rId18" xr:uid="{00000000-0004-0000-0100-000011000000}"/>
    <hyperlink ref="N35" r:id="rId19" xr:uid="{00000000-0004-0000-0100-000012000000}"/>
    <hyperlink ref="N36" r:id="rId20" xr:uid="{00000000-0004-0000-0100-000013000000}"/>
    <hyperlink ref="N37" r:id="rId21" xr:uid="{00000000-0004-0000-0100-000014000000}"/>
    <hyperlink ref="N38" r:id="rId22" xr:uid="{00000000-0004-0000-0100-000015000000}"/>
    <hyperlink ref="N39" r:id="rId23" xr:uid="{00000000-0004-0000-0100-000016000000}"/>
    <hyperlink ref="N40" r:id="rId24" xr:uid="{00000000-0004-0000-0100-000017000000}"/>
    <hyperlink ref="N41" r:id="rId25" xr:uid="{00000000-0004-0000-0100-000018000000}"/>
    <hyperlink ref="N42" r:id="rId26" display="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" xr:uid="{00000000-0004-0000-0100-000019000000}"/>
    <hyperlink ref="N43" r:id="rId27" xr:uid="{00000000-0004-0000-0100-00001A000000}"/>
    <hyperlink ref="N44" r:id="rId28" xr:uid="{00000000-0004-0000-0100-00001B000000}"/>
    <hyperlink ref="N45" r:id="rId29" xr:uid="{00000000-0004-0000-0100-00001C000000}"/>
    <hyperlink ref="N46" r:id="rId30" display="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" xr:uid="{00000000-0004-0000-0100-00001D000000}"/>
    <hyperlink ref="N47" r:id="rId31" xr:uid="{00000000-0004-0000-0100-00001E000000}"/>
    <hyperlink ref="N48" r:id="rId32" xr:uid="{00000000-0004-0000-0100-00001F000000}"/>
    <hyperlink ref="N49" r:id="rId33" xr:uid="{00000000-0004-0000-0100-000020000000}"/>
    <hyperlink ref="N50" r:id="rId34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1000000}"/>
    <hyperlink ref="N51" r:id="rId35" display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2000000}"/>
    <hyperlink ref="N52" r:id="rId36" display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3000000}"/>
    <hyperlink ref="N53" r:id="rId37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4000000}"/>
    <hyperlink ref="N54" r:id="rId38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5000000}"/>
    <hyperlink ref="N55" r:id="rId39" display="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6000000}"/>
    <hyperlink ref="N56" r:id="rId40" display="https://www.amazon.com.mx/Emily-Paris-Vaseline-Humectaci%C3%B3n-Parisian/dp/B0DDCPM84J/ref=sr_1_18?__mk_es_MX=%C3%85M%C3%85%C5%BD%C3%95%C3%91&amp;crid=T2WSOZIA1W8L&amp;dib=eyJ2IjoiMSJ9.mx1qtWt1vhGmEcjW_RP8_A9ss_BFUPS7Gv6PGEtD6EhBvdQn5yGYnhogdKSv8RvVJnB4Ub2R76D9uh476zogrigyo-s1EklsYUci-HJBumQVJ0Bq0ist620Kvvr3fFnLnBOD8EgvRzYQ5cAmYykpvSP1fj88IWI6KSRPcwhdjye4WbrGoKVm0IcrwN0ITMzV6_KqjH8Z2x0Z7xlKcM-8CNGuTYhGaDQ_WW9YRes8CSh9mVCH27F_hrLHNE2rBBNyUOudn2h5XxX1_R6FyJzTjt72BzbwmPv5vwoD-s_W_Es.wM4CbGOPYaz3hZ6tvBvTYyGjSvwiHkp5b2czoyhYmfY&amp;dib_tag=se&amp;keywords=balsamo%2Blabial&amp;qid=1755109626&amp;sprefix=balsamo%2Blabial%2Caps%2C174&amp;sr=8-18&amp;ufe=app_do%3Aamzn1.fos.de93fa6a-174c-4df7-be7c-5bc8e9c5a71b&amp;th=1" xr:uid="{00000000-0004-0000-0100-000027000000}"/>
    <hyperlink ref="N57" r:id="rId41" display="https://www.amazon.com.mx/Emily-Paris-Vaseline-Humectaci%C3%B3n-Parisian/dp/B0DDCNVNKR/ref=sr_1_18?__mk_es_MX=%C3%85M%C3%85%C5%BD%C3%95%C3%91&amp;crid=T2WSOZIA1W8L&amp;dib=eyJ2IjoiMSJ9.mx1qtWt1vhGmEcjW_RP8_A9ss_BFUPS7Gv6PGEtD6EhBvdQn5yGYnhogdKSv8RvVJnB4Ub2R76D9uh476zogrigyo-s1EklsYUci-HJBumQVJ0Bq0ist620Kvvr3fFnLnBOD8EgvRzYQ5cAmYykpvSP1fj88IWI6KSRPcwhdjye4WbrGoKVm0IcrwN0ITMzV6_KqjH8Z2x0Z7xlKcM-8CNGuTYhGaDQ_WW9YRes8CSh9mVCH27F_hrLHNE2rBBNyUOudn2h5XxX1_R6FyJzTjt72BzbwmPv5vwoD-s_W_Es.wM4CbGOPYaz3hZ6tvBvTYyGjSvwiHkp5b2czoyhYmfY&amp;dib_tag=se&amp;keywords=balsamo%2Blabial&amp;qid=1755109626&amp;sprefix=balsamo%2Blabial%2Caps%2C174&amp;sr=8-18&amp;ufe=app_do%3Aamzn1.fos.de93fa6a-174c-4df7-be7c-5bc8e9c5a71b&amp;th=1" xr:uid="{00000000-0004-0000-0100-000028000000}"/>
    <hyperlink ref="N58" r:id="rId42" display="https://www.amazon.com.mx/Emily-Paris-Vaseline-Humectaci%C3%B3n-Parisian/dp/B0DDCMVBW9/ref=sr_1_18?__mk_es_MX=%C3%85M%C3%85%C5%BD%C3%95%C3%91&amp;crid=T2WSOZIA1W8L&amp;dib=eyJ2IjoiMSJ9.mx1qtWt1vhGmEcjW_RP8_A9ss_BFUPS7Gv6PGEtD6EhBvdQn5yGYnhogdKSv8RvVJnB4Ub2R76D9uh476zogrigyo-s1EklsYUci-HJBumQVJ0Bq0ist620Kvvr3fFnLnBOD8EgvRzYQ5cAmYykpvSP1fj88IWI6KSRPcwhdjye4WbrGoKVm0IcrwN0ITMzV6_KqjH8Z2x0Z7xlKcM-8CNGuTYhGaDQ_WW9YRes8CSh9mVCH27F_hrLHNE2rBBNyUOudn2h5XxX1_R6FyJzTjt72BzbwmPv5vwoD-s_W_Es.wM4CbGOPYaz3hZ6tvBvTYyGjSvwiHkp5b2czoyhYmfY&amp;dib_tag=se&amp;keywords=balsamo%2Blabial&amp;qid=1755109626&amp;sprefix=balsamo%2Blabial%2Caps%2C174&amp;sr=8-18&amp;ufe=app_do%3Aamzn1.fos.de93fa6a-174c-4df7-be7c-5bc8e9c5a71b&amp;th=1" xr:uid="{00000000-0004-0000-0100-000029000000}"/>
    <hyperlink ref="N59" r:id="rId43" xr:uid="{00000000-0004-0000-0100-00002A000000}"/>
    <hyperlink ref="N60" r:id="rId44" xr:uid="{00000000-0004-0000-0100-00002B000000}"/>
    <hyperlink ref="N61" r:id="rId45" xr:uid="{00000000-0004-0000-0100-00002C000000}"/>
    <hyperlink ref="N62" r:id="rId46" xr:uid="{00000000-0004-0000-0100-00002D000000}"/>
    <hyperlink ref="N63" r:id="rId47" xr:uid="{00000000-0004-0000-0100-00002E000000}"/>
    <hyperlink ref="N64" r:id="rId48" xr:uid="{00000000-0004-0000-0100-00002F000000}"/>
    <hyperlink ref="N65" r:id="rId49" xr:uid="{00000000-0004-0000-0100-000030000000}"/>
    <hyperlink ref="N66" r:id="rId50" xr:uid="{00000000-0004-0000-0100-000031000000}"/>
    <hyperlink ref="N67" r:id="rId51" xr:uid="{00000000-0004-0000-0100-000032000000}"/>
    <hyperlink ref="N68" r:id="rId52" xr:uid="{00000000-0004-0000-0100-000033000000}"/>
    <hyperlink ref="N69" r:id="rId53" xr:uid="{00000000-0004-0000-0100-000034000000}"/>
    <hyperlink ref="N70" r:id="rId54" xr:uid="{00000000-0004-0000-0100-000035000000}"/>
    <hyperlink ref="N71" r:id="rId55" xr:uid="{00000000-0004-0000-0100-000036000000}"/>
    <hyperlink ref="N72" r:id="rId56" xr:uid="{00000000-0004-0000-0100-000037000000}"/>
    <hyperlink ref="N73" r:id="rId57" xr:uid="{00000000-0004-0000-0100-000038000000}"/>
    <hyperlink ref="N74" r:id="rId58" xr:uid="{00000000-0004-0000-0100-000039000000}"/>
    <hyperlink ref="N75" r:id="rId59" xr:uid="{00000000-0004-0000-0100-00003A000000}"/>
    <hyperlink ref="N76" r:id="rId60" xr:uid="{00000000-0004-0000-0100-00003B000000}"/>
    <hyperlink ref="N77" r:id="rId61" xr:uid="{00000000-0004-0000-0100-00003C000000}"/>
    <hyperlink ref="N78" r:id="rId62" xr:uid="{00000000-0004-0000-0100-00003D000000}"/>
    <hyperlink ref="N79" r:id="rId63" location="polycard_client=search-nordic&amp;searchVariation=MLM24114851&amp;wid=MLM3164142352&amp;position=1&amp;search_layout=grid&amp;type=product&amp;tracking_id=09469454-d69b-4913-9b38-211e4cc2183c&amp;sid=search" display="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" xr:uid="{00000000-0004-0000-0100-00003E000000}"/>
    <hyperlink ref="N89" r:id="rId64" xr:uid="{00000000-0004-0000-0100-00003F000000}"/>
    <hyperlink ref="N90" r:id="rId65" xr:uid="{00000000-0004-0000-0100-000040000000}"/>
    <hyperlink ref="N94" r:id="rId66" xr:uid="{00000000-0004-0000-0100-000041000000}"/>
    <hyperlink ref="N95" r:id="rId67" xr:uid="{00000000-0004-0000-0100-000042000000}"/>
    <hyperlink ref="N96" r:id="rId68" xr:uid="{00000000-0004-0000-0100-000043000000}"/>
    <hyperlink ref="N97" r:id="rId69" xr:uid="{00000000-0004-0000-0100-000044000000}"/>
    <hyperlink ref="N98" r:id="rId70" xr:uid="{00000000-0004-0000-0100-000045000000}"/>
    <hyperlink ref="N99" r:id="rId71" xr:uid="{00000000-0004-0000-0100-000046000000}"/>
    <hyperlink ref="N100" r:id="rId72" xr:uid="{00000000-0004-0000-0100-000047000000}"/>
    <hyperlink ref="N101" r:id="rId73" xr:uid="{00000000-0004-0000-0100-000048000000}"/>
    <hyperlink ref="N102" r:id="rId74" xr:uid="{00000000-0004-0000-0100-000049000000}"/>
    <hyperlink ref="N103" r:id="rId75" xr:uid="{00000000-0004-0000-0100-00004A000000}"/>
    <hyperlink ref="N104" r:id="rId76" xr:uid="{00000000-0004-0000-0100-00004B000000}"/>
    <hyperlink ref="N105" r:id="rId77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C000000}"/>
    <hyperlink ref="N106" r:id="rId78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D000000}"/>
    <hyperlink ref="N107" r:id="rId79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E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8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A68"/>
  <sheetViews>
    <sheetView topLeftCell="BH1" zoomScale="26" zoomScaleNormal="26" workbookViewId="0">
      <selection activeCell="CJ1" sqref="CJ1"/>
    </sheetView>
  </sheetViews>
  <sheetFormatPr defaultColWidth="11.5703125" defaultRowHeight="27.6"/>
  <cols>
    <col min="1" max="1" width="8.5703125" bestFit="1" customWidth="1"/>
    <col min="2" max="2" width="56.7109375" bestFit="1" customWidth="1"/>
    <col min="3" max="3" width="55.140625" bestFit="1" customWidth="1"/>
    <col min="4" max="4" width="26.28515625" bestFit="1" customWidth="1"/>
    <col min="5" max="5" width="39.42578125" bestFit="1" customWidth="1"/>
    <col min="6" max="6" width="41.5703125" bestFit="1" customWidth="1"/>
    <col min="7" max="7" width="59.5703125" bestFit="1" customWidth="1"/>
    <col min="8" max="8" width="23.7109375" bestFit="1" customWidth="1"/>
    <col min="9" max="9" width="29.42578125" bestFit="1" customWidth="1"/>
    <col min="10" max="10" width="16.85546875" bestFit="1" customWidth="1"/>
    <col min="11" max="11" width="37.42578125" bestFit="1" customWidth="1"/>
    <col min="12" max="12" width="14.28515625" bestFit="1" customWidth="1"/>
    <col min="13" max="13" width="34.140625" bestFit="1" customWidth="1"/>
    <col min="14" max="14" width="87.5703125" bestFit="1" customWidth="1"/>
    <col min="15" max="15" width="32.140625" bestFit="1" customWidth="1"/>
    <col min="16" max="16" width="34.140625" bestFit="1" customWidth="1"/>
    <col min="17" max="17" width="26.85546875" bestFit="1" customWidth="1"/>
    <col min="18" max="18" width="55.5703125" bestFit="1" customWidth="1"/>
    <col min="19" max="19" width="59.42578125" bestFit="1" customWidth="1"/>
    <col min="20" max="20" width="15.85546875" bestFit="1" customWidth="1"/>
    <col min="21" max="21" width="47.28515625" bestFit="1" customWidth="1"/>
    <col min="22" max="23" width="56.28515625" bestFit="1" customWidth="1"/>
    <col min="24" max="24" width="55.140625" bestFit="1" customWidth="1"/>
    <col min="25" max="25" width="63.5703125" bestFit="1" customWidth="1"/>
    <col min="26" max="26" width="34.7109375" bestFit="1" customWidth="1"/>
    <col min="27" max="27" width="57.140625" bestFit="1" customWidth="1"/>
    <col min="28" max="28" width="30" bestFit="1" customWidth="1"/>
    <col min="29" max="29" width="40.42578125" bestFit="1" customWidth="1"/>
    <col min="30" max="30" width="44.140625" bestFit="1" customWidth="1"/>
    <col min="31" max="31" width="15.85546875" bestFit="1" customWidth="1"/>
    <col min="32" max="32" width="18.5703125" bestFit="1" customWidth="1"/>
    <col min="33" max="33" width="35.28515625" bestFit="1" customWidth="1"/>
    <col min="34" max="34" width="65" customWidth="1"/>
    <col min="35" max="35" width="56.28515625" bestFit="1" customWidth="1"/>
    <col min="36" max="36" width="63.5703125" bestFit="1" customWidth="1"/>
    <col min="37" max="37" width="36.85546875" bestFit="1" customWidth="1"/>
    <col min="38" max="38" width="57.140625" bestFit="1" customWidth="1"/>
    <col min="39" max="39" width="31.140625" bestFit="1" customWidth="1"/>
    <col min="40" max="52" width="14.140625" customWidth="1"/>
    <col min="53" max="53" width="17.42578125" bestFit="1" customWidth="1"/>
    <col min="54" max="54" width="39" bestFit="1" customWidth="1"/>
    <col min="55" max="55" width="34.140625" bestFit="1" customWidth="1"/>
    <col min="56" max="56" width="42.5703125" bestFit="1" customWidth="1"/>
    <col min="57" max="57" width="36.85546875" bestFit="1" customWidth="1"/>
    <col min="58" max="58" width="21.140625" bestFit="1" customWidth="1"/>
    <col min="59" max="59" width="8" bestFit="1" customWidth="1"/>
    <col min="60" max="60" width="21.140625" customWidth="1"/>
    <col min="61" max="61" width="56.7109375" bestFit="1" customWidth="1"/>
    <col min="62" max="62" width="12.140625" bestFit="1" customWidth="1"/>
    <col min="63" max="63" width="16.85546875" bestFit="1" customWidth="1"/>
    <col min="64" max="64" width="28.42578125" bestFit="1" customWidth="1"/>
    <col min="70" max="72" width="37.140625" customWidth="1"/>
    <col min="88" max="93" width="35.42578125" style="279" customWidth="1"/>
    <col min="94" max="105" width="35.42578125" style="266" customWidth="1"/>
  </cols>
  <sheetData>
    <row r="1" spans="1:105" s="168" customFormat="1" ht="32.450000000000003">
      <c r="A1" s="177"/>
      <c r="B1" s="181"/>
      <c r="C1" s="181"/>
      <c r="D1" s="177"/>
      <c r="E1" s="178"/>
      <c r="F1" s="177"/>
      <c r="G1" s="177"/>
      <c r="H1" s="179"/>
      <c r="I1" s="177"/>
      <c r="J1" s="177"/>
      <c r="K1" s="177"/>
      <c r="L1" s="177"/>
      <c r="M1" s="180"/>
      <c r="N1" s="180"/>
      <c r="O1" s="177"/>
      <c r="P1" s="180"/>
      <c r="Q1" s="180"/>
      <c r="R1" s="180"/>
      <c r="S1" s="180"/>
      <c r="T1" s="180"/>
      <c r="U1" s="180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I1" s="181"/>
      <c r="AJ1" s="181"/>
      <c r="AK1" s="181"/>
      <c r="AL1" s="181"/>
      <c r="AM1" s="181"/>
      <c r="BA1" s="165"/>
      <c r="BB1" s="165"/>
      <c r="BC1" s="165"/>
      <c r="BD1" s="165"/>
      <c r="BE1" s="165"/>
      <c r="BF1" s="165"/>
      <c r="BG1" s="165"/>
      <c r="BH1" s="165"/>
      <c r="BI1" s="165"/>
      <c r="BJ1" s="165"/>
      <c r="BK1" s="165"/>
      <c r="BL1" s="165"/>
      <c r="CJ1" s="165"/>
      <c r="CK1" s="165"/>
      <c r="CL1" s="165"/>
      <c r="CM1" s="165"/>
      <c r="CN1" s="165"/>
      <c r="CO1" s="165"/>
      <c r="CP1" s="165"/>
      <c r="CQ1" s="165"/>
      <c r="CR1" s="165"/>
      <c r="CS1" s="165"/>
      <c r="CT1" s="165"/>
      <c r="CU1" s="165"/>
      <c r="CV1" s="165"/>
      <c r="CW1" s="165"/>
      <c r="CX1" s="165"/>
      <c r="CY1" s="165"/>
      <c r="CZ1" s="165"/>
      <c r="DA1" s="165"/>
    </row>
    <row r="2" spans="1:105" s="168" customFormat="1" ht="32.450000000000003">
      <c r="A2" s="177"/>
      <c r="B2" s="181"/>
      <c r="C2" s="181"/>
      <c r="D2" s="177"/>
      <c r="E2" s="178"/>
      <c r="F2" s="177"/>
      <c r="G2" s="177"/>
      <c r="H2" s="179"/>
      <c r="I2" s="177"/>
      <c r="J2" s="177"/>
      <c r="K2" s="177"/>
      <c r="L2" s="177"/>
      <c r="M2" s="180"/>
      <c r="N2" s="180"/>
      <c r="O2" s="177"/>
      <c r="P2" s="180"/>
      <c r="Q2" s="180"/>
      <c r="R2" s="180"/>
      <c r="S2" s="180"/>
      <c r="T2" s="180"/>
      <c r="U2" s="180"/>
      <c r="V2" s="181"/>
      <c r="W2" s="181"/>
      <c r="X2" s="181"/>
      <c r="Y2" s="181"/>
      <c r="Z2" s="181"/>
      <c r="AA2" s="181"/>
      <c r="AB2" s="181"/>
      <c r="AC2" s="181"/>
      <c r="AD2" s="181"/>
      <c r="AE2" s="181"/>
      <c r="AF2" s="181"/>
      <c r="AG2" s="181"/>
      <c r="AI2" s="181"/>
      <c r="AJ2" s="181"/>
      <c r="AK2" s="181"/>
      <c r="AL2" s="181"/>
      <c r="AM2" s="181"/>
      <c r="BA2" s="165"/>
      <c r="BB2" s="165"/>
      <c r="BC2" s="165"/>
      <c r="BD2" s="165"/>
      <c r="BE2" s="165"/>
      <c r="BF2" s="165"/>
      <c r="BG2" s="165"/>
      <c r="BH2" s="165"/>
      <c r="BI2" s="165"/>
      <c r="BJ2" s="165"/>
      <c r="BK2" s="165"/>
      <c r="BL2" s="165"/>
      <c r="CJ2" s="165"/>
      <c r="CK2" s="165"/>
      <c r="CL2" s="165"/>
      <c r="CM2" s="165"/>
      <c r="CN2" s="165"/>
      <c r="CO2" s="165"/>
      <c r="CP2" s="165"/>
      <c r="CQ2" s="165"/>
      <c r="CR2" s="165"/>
      <c r="CS2" s="165"/>
      <c r="CT2" s="165"/>
      <c r="CU2" s="165"/>
      <c r="CV2" s="165"/>
      <c r="CW2" s="165"/>
      <c r="CX2" s="165"/>
      <c r="CY2" s="165"/>
      <c r="CZ2" s="165"/>
      <c r="DA2" s="165"/>
    </row>
    <row r="3" spans="1:105" s="168" customFormat="1" ht="32.450000000000003">
      <c r="A3" s="177"/>
      <c r="B3" s="181"/>
      <c r="C3" s="181"/>
      <c r="D3" s="177"/>
      <c r="E3" s="178"/>
      <c r="F3" s="177"/>
      <c r="G3" s="177"/>
      <c r="H3" s="179"/>
      <c r="I3" s="177"/>
      <c r="J3" s="177"/>
      <c r="K3" s="177"/>
      <c r="L3" s="177"/>
      <c r="M3" s="180"/>
      <c r="N3" s="180"/>
      <c r="O3" s="177"/>
      <c r="P3" s="180"/>
      <c r="Q3" s="180"/>
      <c r="R3" s="180"/>
      <c r="S3" s="180"/>
      <c r="T3" s="180"/>
      <c r="U3" s="180"/>
      <c r="V3" s="181"/>
      <c r="W3" s="181"/>
      <c r="X3" s="181"/>
      <c r="Y3" s="181"/>
      <c r="Z3" s="181"/>
      <c r="AA3" s="181"/>
      <c r="AB3" s="181"/>
      <c r="AC3" s="181"/>
      <c r="AD3" s="181"/>
      <c r="AE3" s="181"/>
      <c r="AF3" s="181"/>
      <c r="AG3" s="181"/>
      <c r="AI3" s="181"/>
      <c r="AJ3" s="181"/>
      <c r="AK3" s="181"/>
      <c r="AL3" s="181"/>
      <c r="AM3" s="181"/>
      <c r="BA3" s="165"/>
      <c r="BB3" s="165"/>
      <c r="BC3" s="165"/>
      <c r="BD3" s="165"/>
      <c r="BE3" s="165"/>
      <c r="BF3" s="165"/>
      <c r="BG3" s="165"/>
      <c r="BH3" s="165"/>
      <c r="BI3" s="165"/>
      <c r="BJ3" s="165"/>
      <c r="BK3" s="165"/>
      <c r="BL3" s="165"/>
      <c r="CJ3" s="165"/>
      <c r="CK3" s="165"/>
      <c r="CL3" s="165"/>
      <c r="CM3" s="165"/>
      <c r="CN3" s="165"/>
      <c r="CO3" s="165"/>
      <c r="CP3" s="165"/>
      <c r="CQ3" s="165"/>
      <c r="CR3" s="165"/>
      <c r="CS3" s="165"/>
      <c r="CT3" s="165"/>
      <c r="CU3" s="165"/>
      <c r="CV3" s="165"/>
      <c r="CW3" s="165"/>
      <c r="CX3" s="165"/>
      <c r="CY3" s="165"/>
      <c r="CZ3" s="165"/>
      <c r="DA3" s="165"/>
    </row>
    <row r="4" spans="1:105" s="168" customFormat="1" ht="32.450000000000003">
      <c r="A4" s="177"/>
      <c r="B4" s="181"/>
      <c r="C4" s="181"/>
      <c r="D4" s="177"/>
      <c r="E4" s="178"/>
      <c r="F4" s="177"/>
      <c r="G4" s="177"/>
      <c r="H4" s="179"/>
      <c r="I4" s="177"/>
      <c r="J4" s="177"/>
      <c r="K4" s="177"/>
      <c r="L4" s="177"/>
      <c r="M4" s="180"/>
      <c r="N4" s="180"/>
      <c r="O4" s="177"/>
      <c r="P4" s="180"/>
      <c r="Q4" s="180"/>
      <c r="R4" s="180"/>
      <c r="S4" s="180"/>
      <c r="T4" s="180"/>
      <c r="U4" s="180"/>
      <c r="V4" s="181"/>
      <c r="W4" s="181"/>
      <c r="X4" s="181"/>
      <c r="Y4" s="181"/>
      <c r="Z4" s="181"/>
      <c r="AA4" s="181"/>
      <c r="AB4" s="181"/>
      <c r="AC4" s="181"/>
      <c r="AD4" s="181"/>
      <c r="AE4" s="181"/>
      <c r="AF4" s="181"/>
      <c r="AG4" s="181"/>
      <c r="AI4" s="181"/>
      <c r="AJ4" s="181"/>
      <c r="AK4" s="181"/>
      <c r="AL4" s="181"/>
      <c r="AM4" s="181"/>
      <c r="BA4" s="165"/>
      <c r="BB4" s="165"/>
      <c r="BC4" s="165"/>
      <c r="BD4" s="165"/>
      <c r="BE4" s="165"/>
      <c r="BF4" s="165"/>
      <c r="BG4" s="165"/>
      <c r="BH4" s="165"/>
      <c r="BI4" s="165"/>
      <c r="BJ4" s="165"/>
      <c r="BK4" s="165"/>
      <c r="BL4" s="165"/>
      <c r="CJ4" s="165"/>
      <c r="CK4" s="165"/>
      <c r="CL4" s="165"/>
      <c r="CM4" s="165"/>
      <c r="CN4" s="165"/>
      <c r="CO4" s="165"/>
      <c r="CP4" s="165"/>
      <c r="CQ4" s="165"/>
      <c r="CR4" s="165"/>
      <c r="CS4" s="165"/>
      <c r="CT4" s="165"/>
      <c r="CU4" s="165"/>
      <c r="CV4" s="165"/>
      <c r="CW4" s="165"/>
      <c r="CX4" s="165"/>
      <c r="CY4" s="165"/>
      <c r="CZ4" s="165"/>
      <c r="DA4" s="165"/>
    </row>
    <row r="5" spans="1:105" s="168" customFormat="1" ht="32.450000000000003">
      <c r="A5" s="177"/>
      <c r="B5" s="181"/>
      <c r="C5" s="181"/>
      <c r="D5" s="177"/>
      <c r="E5" s="178"/>
      <c r="F5" s="177"/>
      <c r="G5" s="177"/>
      <c r="H5" s="179"/>
      <c r="I5" s="177"/>
      <c r="J5" s="177"/>
      <c r="K5" s="177"/>
      <c r="L5" s="177"/>
      <c r="M5" s="180"/>
      <c r="N5" s="180"/>
      <c r="O5" s="177"/>
      <c r="P5" s="180"/>
      <c r="Q5" s="180"/>
      <c r="R5" s="180"/>
      <c r="S5" s="180"/>
      <c r="T5" s="180"/>
      <c r="U5" s="180"/>
      <c r="V5" s="181"/>
      <c r="W5" s="181"/>
      <c r="X5" s="181"/>
      <c r="Y5" s="181"/>
      <c r="Z5" s="181"/>
      <c r="AA5" s="181"/>
      <c r="AB5" s="181"/>
      <c r="AC5" s="181"/>
      <c r="AD5" s="181"/>
      <c r="AE5" s="181"/>
      <c r="AF5" s="181"/>
      <c r="AG5" s="181"/>
      <c r="AI5" s="181"/>
      <c r="AJ5" s="181"/>
      <c r="AK5" s="181"/>
      <c r="AL5" s="181"/>
      <c r="AM5" s="181"/>
      <c r="BA5" s="165"/>
      <c r="BB5" s="165"/>
      <c r="BC5" s="165"/>
      <c r="BD5" s="165"/>
      <c r="BE5" s="165"/>
      <c r="BF5" s="165"/>
      <c r="BG5" s="165"/>
      <c r="BH5" s="165"/>
      <c r="BI5" s="165"/>
      <c r="BJ5" s="165"/>
      <c r="BK5" s="165"/>
      <c r="BL5" s="165"/>
      <c r="CJ5" s="165"/>
      <c r="CK5" s="165"/>
      <c r="CL5" s="165"/>
      <c r="CM5" s="165"/>
      <c r="CN5" s="165"/>
      <c r="CO5" s="165"/>
      <c r="CP5" s="165"/>
      <c r="CQ5" s="165"/>
      <c r="CR5" s="165"/>
      <c r="CS5" s="165"/>
      <c r="CT5" s="165"/>
      <c r="CU5" s="165"/>
      <c r="CV5" s="165"/>
      <c r="CW5" s="165"/>
      <c r="CX5" s="165"/>
      <c r="CY5" s="165"/>
      <c r="CZ5" s="165"/>
      <c r="DA5" s="165"/>
    </row>
    <row r="6" spans="1:105" s="168" customFormat="1" ht="32.450000000000003">
      <c r="A6" s="177"/>
      <c r="B6" s="181"/>
      <c r="C6" s="181"/>
      <c r="D6" s="177"/>
      <c r="E6" s="178"/>
      <c r="F6" s="177"/>
      <c r="G6" s="177"/>
      <c r="H6" s="179"/>
      <c r="I6" s="177"/>
      <c r="J6" s="177"/>
      <c r="K6" s="177"/>
      <c r="L6" s="177"/>
      <c r="M6" s="180"/>
      <c r="N6" s="180"/>
      <c r="O6" s="177"/>
      <c r="P6" s="180"/>
      <c r="Q6" s="180"/>
      <c r="R6" s="180"/>
      <c r="S6" s="180"/>
      <c r="T6" s="180"/>
      <c r="U6" s="180"/>
      <c r="V6" s="181"/>
      <c r="W6" s="181"/>
      <c r="X6" s="181"/>
      <c r="Y6" s="181"/>
      <c r="Z6" s="181"/>
      <c r="AA6" s="181"/>
      <c r="AB6" s="181"/>
      <c r="AC6" s="181"/>
      <c r="AD6" s="181"/>
      <c r="AE6" s="181"/>
      <c r="AF6" s="181"/>
      <c r="AG6" s="181"/>
      <c r="AI6" s="181"/>
      <c r="AJ6" s="181"/>
      <c r="AK6" s="181"/>
      <c r="AL6" s="181"/>
      <c r="AM6" s="181"/>
      <c r="BA6" s="165"/>
      <c r="BB6" s="165"/>
      <c r="BC6" s="165"/>
      <c r="BD6" s="165"/>
      <c r="BE6" s="165"/>
      <c r="BF6" s="165"/>
      <c r="BG6" s="165"/>
      <c r="BH6" s="165"/>
      <c r="BI6" s="165"/>
      <c r="BJ6" s="165"/>
      <c r="BK6" s="165"/>
      <c r="BL6" s="165"/>
      <c r="CJ6" s="165"/>
      <c r="CK6" s="165"/>
      <c r="CL6" s="165"/>
      <c r="CM6" s="165"/>
      <c r="CN6" s="165"/>
      <c r="CO6" s="165"/>
      <c r="CP6" s="165"/>
      <c r="CQ6" s="165"/>
      <c r="CR6" s="165"/>
      <c r="CS6" s="165"/>
      <c r="CT6" s="165"/>
      <c r="CU6" s="165"/>
      <c r="CV6" s="165"/>
      <c r="CW6" s="165"/>
      <c r="CX6" s="165"/>
      <c r="CY6" s="165"/>
      <c r="CZ6" s="165"/>
      <c r="DA6" s="165"/>
    </row>
    <row r="7" spans="1:105" s="168" customFormat="1" ht="32.450000000000003">
      <c r="A7" s="177"/>
      <c r="B7" s="181"/>
      <c r="C7" s="181"/>
      <c r="D7" s="177"/>
      <c r="E7" s="178"/>
      <c r="F7" s="177"/>
      <c r="G7" s="177"/>
      <c r="H7" s="179"/>
      <c r="I7" s="177"/>
      <c r="J7" s="177"/>
      <c r="K7" s="177"/>
      <c r="L7" s="177"/>
      <c r="M7" s="180"/>
      <c r="N7" s="180"/>
      <c r="O7" s="177"/>
      <c r="P7" s="180"/>
      <c r="Q7" s="180"/>
      <c r="R7" s="180"/>
      <c r="S7" s="180"/>
      <c r="T7" s="180"/>
      <c r="U7" s="180"/>
      <c r="V7" s="181"/>
      <c r="W7" s="181"/>
      <c r="X7" s="181"/>
      <c r="Y7" s="181"/>
      <c r="Z7" s="181"/>
      <c r="AA7" s="181"/>
      <c r="AB7" s="181"/>
      <c r="AC7" s="181"/>
      <c r="AD7" s="181"/>
      <c r="AE7" s="181"/>
      <c r="AF7" s="181"/>
      <c r="AG7" s="181"/>
      <c r="AI7" s="181"/>
      <c r="AJ7" s="181"/>
      <c r="AK7" s="181"/>
      <c r="AL7" s="181"/>
      <c r="AM7" s="181"/>
      <c r="BA7" s="165"/>
      <c r="BB7" s="165"/>
      <c r="BC7" s="165"/>
      <c r="BD7" s="165"/>
      <c r="BE7" s="165"/>
      <c r="BF7" s="165"/>
      <c r="BG7" s="165"/>
      <c r="BH7" s="165"/>
      <c r="BI7" s="165"/>
      <c r="BJ7" s="165"/>
      <c r="BK7" s="165"/>
      <c r="BL7" s="165"/>
      <c r="CJ7" s="165"/>
      <c r="CK7" s="165"/>
      <c r="CL7" s="165"/>
      <c r="CM7" s="165"/>
      <c r="CN7" s="165"/>
      <c r="CO7" s="165"/>
      <c r="CP7" s="165"/>
      <c r="CQ7" s="165"/>
      <c r="CR7" s="165"/>
      <c r="CS7" s="165"/>
      <c r="CT7" s="165"/>
      <c r="CU7" s="165"/>
      <c r="CV7" s="165"/>
      <c r="CW7" s="165"/>
      <c r="CX7" s="165"/>
      <c r="CY7" s="165"/>
      <c r="CZ7" s="165"/>
      <c r="DA7" s="165"/>
    </row>
    <row r="8" spans="1:105" s="168" customFormat="1" ht="32.450000000000003">
      <c r="A8" s="177"/>
      <c r="B8" s="181"/>
      <c r="C8" s="181"/>
      <c r="D8" s="177"/>
      <c r="E8" s="178"/>
      <c r="F8" s="177"/>
      <c r="G8" s="177"/>
      <c r="H8" s="179"/>
      <c r="I8" s="177"/>
      <c r="J8" s="177"/>
      <c r="K8" s="177"/>
      <c r="L8" s="177"/>
      <c r="M8" s="180"/>
      <c r="N8" s="180"/>
      <c r="O8" s="177"/>
      <c r="P8" s="180"/>
      <c r="Q8" s="180"/>
      <c r="R8" s="180"/>
      <c r="S8" s="180"/>
      <c r="T8" s="180"/>
      <c r="U8" s="180"/>
      <c r="V8" s="181"/>
      <c r="W8" s="181"/>
      <c r="X8" s="181"/>
      <c r="Y8" s="181"/>
      <c r="Z8" s="181"/>
      <c r="AA8" s="181"/>
      <c r="AB8" s="181"/>
      <c r="AC8" s="181"/>
      <c r="AD8" s="181"/>
      <c r="AE8" s="181"/>
      <c r="AF8" s="181"/>
      <c r="AG8" s="181"/>
      <c r="AI8" s="181"/>
      <c r="AJ8" s="181"/>
      <c r="AK8" s="181"/>
      <c r="AL8" s="181"/>
      <c r="AM8" s="181"/>
      <c r="BA8" s="165"/>
      <c r="BB8" s="165"/>
      <c r="BC8" s="165"/>
      <c r="BD8" s="165"/>
      <c r="BE8" s="165"/>
      <c r="BF8" s="165"/>
      <c r="BG8" s="165"/>
      <c r="BH8" s="165"/>
      <c r="BI8" s="165"/>
      <c r="BJ8" s="165"/>
      <c r="BK8" s="165"/>
      <c r="BL8" s="165"/>
      <c r="CJ8" s="165"/>
      <c r="CK8" s="165"/>
      <c r="CL8" s="165"/>
      <c r="CM8" s="165"/>
      <c r="CN8" s="165"/>
      <c r="CO8" s="165"/>
      <c r="CP8" s="165"/>
      <c r="CQ8" s="165"/>
      <c r="CR8" s="165"/>
      <c r="CS8" s="165"/>
      <c r="CT8" s="165"/>
      <c r="CU8" s="165"/>
      <c r="CV8" s="165"/>
      <c r="CW8" s="165"/>
      <c r="CX8" s="165"/>
      <c r="CY8" s="165"/>
      <c r="CZ8" s="165"/>
      <c r="DA8" s="165"/>
    </row>
    <row r="9" spans="1:105" s="168" customFormat="1" ht="32.450000000000003">
      <c r="A9" s="177"/>
      <c r="B9" s="181"/>
      <c r="C9" s="181"/>
      <c r="D9" s="177"/>
      <c r="E9" s="178"/>
      <c r="F9" s="177"/>
      <c r="G9" s="177"/>
      <c r="H9" s="179"/>
      <c r="I9" s="177"/>
      <c r="J9" s="177"/>
      <c r="K9" s="177"/>
      <c r="L9" s="177"/>
      <c r="M9" s="180"/>
      <c r="N9" s="180"/>
      <c r="O9" s="177"/>
      <c r="P9" s="180"/>
      <c r="Q9" s="180"/>
      <c r="R9" s="180"/>
      <c r="S9" s="180"/>
      <c r="T9" s="180"/>
      <c r="U9" s="180"/>
      <c r="V9" s="181"/>
      <c r="W9" s="181"/>
      <c r="X9" s="181"/>
      <c r="Y9" s="181"/>
      <c r="Z9" s="181"/>
      <c r="AA9" s="181"/>
      <c r="AB9" s="181"/>
      <c r="AC9" s="181"/>
      <c r="AD9" s="181"/>
      <c r="AE9" s="181"/>
      <c r="AF9" s="181"/>
      <c r="AG9" s="181"/>
      <c r="AI9" s="181"/>
      <c r="AJ9" s="181"/>
      <c r="AK9" s="181"/>
      <c r="AL9" s="181"/>
      <c r="AM9" s="181"/>
      <c r="BA9" s="165"/>
      <c r="BB9" s="165"/>
      <c r="BC9" s="165"/>
      <c r="BD9" s="165"/>
      <c r="BE9" s="165"/>
      <c r="BF9" s="165"/>
      <c r="BG9" s="165"/>
      <c r="BH9" s="165"/>
      <c r="BI9" s="165"/>
      <c r="BJ9" s="165"/>
      <c r="BK9" s="165"/>
      <c r="BL9" s="165"/>
      <c r="CJ9" s="165"/>
      <c r="CK9" s="165"/>
      <c r="CL9" s="165"/>
      <c r="CM9" s="165"/>
      <c r="CN9" s="165"/>
      <c r="CO9" s="165"/>
      <c r="CP9" s="165"/>
      <c r="CQ9" s="165"/>
      <c r="CR9" s="165"/>
      <c r="CS9" s="165"/>
      <c r="CT9" s="165"/>
      <c r="CU9" s="165"/>
      <c r="CV9" s="165"/>
      <c r="CW9" s="165"/>
      <c r="CX9" s="165"/>
      <c r="CY9" s="165"/>
      <c r="CZ9" s="165"/>
      <c r="DA9" s="165"/>
    </row>
    <row r="10" spans="1:105" s="168" customFormat="1" ht="32.450000000000003">
      <c r="A10" s="177"/>
      <c r="B10" s="181"/>
      <c r="C10" s="181"/>
      <c r="D10" s="177"/>
      <c r="E10" s="178"/>
      <c r="F10" s="177"/>
      <c r="G10" s="177"/>
      <c r="H10" s="179"/>
      <c r="I10" s="177"/>
      <c r="J10" s="177"/>
      <c r="K10" s="177"/>
      <c r="L10" s="177"/>
      <c r="M10" s="180"/>
      <c r="N10" s="180"/>
      <c r="O10" s="177"/>
      <c r="P10" s="180"/>
      <c r="Q10" s="180"/>
      <c r="R10" s="180"/>
      <c r="S10" s="180"/>
      <c r="T10" s="180"/>
      <c r="U10" s="180"/>
      <c r="V10" s="181"/>
      <c r="W10" s="181"/>
      <c r="X10" s="181"/>
      <c r="Y10" s="181"/>
      <c r="Z10" s="181"/>
      <c r="AA10" s="181"/>
      <c r="AB10" s="181"/>
      <c r="AC10" s="181"/>
      <c r="AD10" s="181"/>
      <c r="AE10" s="181"/>
      <c r="AF10" s="181"/>
      <c r="AG10" s="181"/>
      <c r="AI10" s="181"/>
      <c r="AJ10" s="181"/>
      <c r="AK10" s="181"/>
      <c r="AL10" s="181"/>
      <c r="AM10" s="181"/>
      <c r="BA10" s="165"/>
      <c r="BB10" s="165"/>
      <c r="BC10" s="165"/>
      <c r="BD10" s="165"/>
      <c r="BE10" s="165"/>
      <c r="BF10" s="165"/>
      <c r="BG10" s="165"/>
      <c r="BH10" s="165"/>
      <c r="BI10" s="165"/>
      <c r="BJ10" s="165"/>
      <c r="BK10" s="165"/>
      <c r="BL10" s="165"/>
      <c r="CJ10" s="165"/>
      <c r="CK10" s="165"/>
      <c r="CL10" s="165"/>
      <c r="CM10" s="165"/>
      <c r="CN10" s="165"/>
      <c r="CO10" s="165"/>
      <c r="CP10" s="165"/>
      <c r="CQ10" s="165"/>
      <c r="CR10" s="165"/>
      <c r="CS10" s="165"/>
      <c r="CT10" s="165"/>
      <c r="CU10" s="165"/>
      <c r="CV10" s="165"/>
      <c r="CW10" s="165"/>
      <c r="CX10" s="165"/>
      <c r="CY10" s="165"/>
      <c r="CZ10" s="165"/>
      <c r="DA10" s="165"/>
    </row>
    <row r="11" spans="1:105" s="168" customFormat="1" ht="32.450000000000003">
      <c r="A11" s="177"/>
      <c r="B11" s="181"/>
      <c r="C11" s="181"/>
      <c r="D11" s="177"/>
      <c r="E11" s="178"/>
      <c r="F11" s="177"/>
      <c r="G11" s="177"/>
      <c r="H11" s="179"/>
      <c r="I11" s="177"/>
      <c r="J11" s="177"/>
      <c r="K11" s="177"/>
      <c r="L11" s="177"/>
      <c r="M11" s="180"/>
      <c r="N11" s="180"/>
      <c r="O11" s="177"/>
      <c r="P11" s="180"/>
      <c r="Q11" s="180"/>
      <c r="R11" s="180"/>
      <c r="S11" s="180"/>
      <c r="T11" s="180"/>
      <c r="U11" s="180"/>
      <c r="V11" s="181"/>
      <c r="W11" s="181"/>
      <c r="X11" s="181"/>
      <c r="Y11" s="181"/>
      <c r="Z11" s="181"/>
      <c r="AA11" s="181"/>
      <c r="AB11" s="181"/>
      <c r="AC11" s="181"/>
      <c r="AD11" s="181"/>
      <c r="AE11" s="181"/>
      <c r="AF11" s="181"/>
      <c r="AG11" s="181"/>
      <c r="AI11" s="181"/>
      <c r="AJ11" s="181"/>
      <c r="AK11" s="181"/>
      <c r="AL11" s="181"/>
      <c r="AM11" s="181"/>
      <c r="BA11" s="165"/>
      <c r="BB11" s="165"/>
      <c r="BC11" s="165"/>
      <c r="BD11" s="165"/>
      <c r="BE11" s="165"/>
      <c r="BF11" s="165"/>
      <c r="BG11" s="165"/>
      <c r="BH11" s="165"/>
      <c r="BI11" s="165"/>
      <c r="BJ11" s="165"/>
      <c r="BK11" s="165"/>
      <c r="BL11" s="165"/>
      <c r="CJ11" s="165"/>
      <c r="CK11" s="165"/>
      <c r="CL11" s="165"/>
      <c r="CM11" s="165"/>
      <c r="CN11" s="165"/>
      <c r="CO11" s="165"/>
      <c r="CP11" s="165"/>
      <c r="CQ11" s="165"/>
      <c r="CR11" s="165"/>
      <c r="CS11" s="165"/>
      <c r="CT11" s="165"/>
      <c r="CU11" s="165"/>
      <c r="CV11" s="165"/>
      <c r="CW11" s="165"/>
      <c r="CX11" s="165"/>
      <c r="CY11" s="165"/>
      <c r="CZ11" s="165"/>
      <c r="DA11" s="165"/>
    </row>
    <row r="12" spans="1:105" s="168" customFormat="1" ht="32.450000000000003">
      <c r="A12" s="177"/>
      <c r="B12" s="181"/>
      <c r="C12" s="181"/>
      <c r="D12" s="177"/>
      <c r="E12" s="178"/>
      <c r="F12" s="177"/>
      <c r="G12" s="177"/>
      <c r="H12" s="179"/>
      <c r="I12" s="177"/>
      <c r="J12" s="177"/>
      <c r="K12" s="177"/>
      <c r="L12" s="177"/>
      <c r="M12" s="180"/>
      <c r="N12" s="180"/>
      <c r="O12" s="177"/>
      <c r="P12" s="180"/>
      <c r="Q12" s="180"/>
      <c r="R12" s="180"/>
      <c r="S12" s="180"/>
      <c r="T12" s="180"/>
      <c r="U12" s="180"/>
      <c r="V12" s="181"/>
      <c r="W12" s="181"/>
      <c r="X12" s="181"/>
      <c r="Y12" s="181"/>
      <c r="Z12" s="181"/>
      <c r="AA12" s="181"/>
      <c r="AB12" s="181"/>
      <c r="AC12" s="181"/>
      <c r="AD12" s="181"/>
      <c r="AE12" s="181"/>
      <c r="AF12" s="181"/>
      <c r="AG12" s="181"/>
      <c r="AI12" s="181"/>
      <c r="AJ12" s="181"/>
      <c r="AK12" s="181"/>
      <c r="AL12" s="181"/>
      <c r="AM12" s="181"/>
      <c r="BA12" s="165"/>
      <c r="BB12" s="165"/>
      <c r="BC12" s="165"/>
      <c r="BD12" s="165"/>
      <c r="BE12" s="165"/>
      <c r="BF12" s="165"/>
      <c r="BG12" s="165"/>
      <c r="BH12" s="165"/>
      <c r="BI12" s="165"/>
      <c r="BJ12" s="165"/>
      <c r="BK12" s="165"/>
      <c r="BL12" s="165"/>
      <c r="CJ12" s="165"/>
      <c r="CK12" s="165"/>
      <c r="CL12" s="165"/>
      <c r="CM12" s="165"/>
      <c r="CN12" s="165"/>
      <c r="CO12" s="165"/>
      <c r="CP12" s="165"/>
      <c r="CQ12" s="165"/>
      <c r="CR12" s="165"/>
      <c r="CS12" s="165"/>
      <c r="CT12" s="165"/>
      <c r="CU12" s="165"/>
      <c r="CV12" s="165"/>
      <c r="CW12" s="165"/>
      <c r="CX12" s="165"/>
      <c r="CY12" s="165"/>
      <c r="CZ12" s="165"/>
      <c r="DA12" s="165"/>
    </row>
    <row r="13" spans="1:105" s="168" customFormat="1" ht="32.450000000000003">
      <c r="A13" s="177"/>
      <c r="B13" s="181"/>
      <c r="C13" s="181"/>
      <c r="D13" s="177"/>
      <c r="E13" s="178"/>
      <c r="F13" s="177"/>
      <c r="G13" s="177"/>
      <c r="H13" s="179"/>
      <c r="I13" s="177"/>
      <c r="J13" s="177"/>
      <c r="K13" s="177"/>
      <c r="L13" s="177"/>
      <c r="M13" s="180"/>
      <c r="N13" s="180"/>
      <c r="O13" s="177"/>
      <c r="P13" s="180"/>
      <c r="Q13" s="180"/>
      <c r="R13" s="180"/>
      <c r="S13" s="180"/>
      <c r="T13" s="180"/>
      <c r="U13" s="180"/>
      <c r="V13" s="181"/>
      <c r="W13" s="181"/>
      <c r="X13" s="181"/>
      <c r="Y13" s="181"/>
      <c r="Z13" s="181"/>
      <c r="AA13" s="181"/>
      <c r="AB13" s="181"/>
      <c r="AC13" s="181"/>
      <c r="AD13" s="181"/>
      <c r="AE13" s="181"/>
      <c r="AF13" s="181"/>
      <c r="AG13" s="181"/>
      <c r="AI13" s="181"/>
      <c r="AJ13" s="181"/>
      <c r="AK13" s="181"/>
      <c r="AL13" s="181"/>
      <c r="AM13" s="181"/>
      <c r="BA13" s="165"/>
      <c r="BB13" s="165"/>
      <c r="BC13" s="165"/>
      <c r="BD13" s="165"/>
      <c r="BE13" s="165"/>
      <c r="BF13" s="165"/>
      <c r="BG13" s="165"/>
      <c r="BH13" s="165"/>
      <c r="BI13" s="165"/>
      <c r="BJ13" s="165"/>
      <c r="BK13" s="165"/>
      <c r="BL13" s="165"/>
    </row>
    <row r="14" spans="1:105" s="168" customFormat="1" ht="35.1" customHeight="1">
      <c r="A14" s="177"/>
      <c r="B14" s="181"/>
      <c r="C14" s="181"/>
      <c r="D14" s="177"/>
      <c r="E14" s="178"/>
      <c r="F14" s="177"/>
      <c r="G14" s="177"/>
      <c r="H14" s="179"/>
      <c r="I14" s="177"/>
      <c r="J14" s="177"/>
      <c r="K14" s="177"/>
      <c r="L14" s="177"/>
      <c r="M14" s="180"/>
      <c r="N14" s="180"/>
      <c r="O14" s="177"/>
      <c r="P14" s="180"/>
      <c r="Q14" s="180"/>
      <c r="R14" s="180"/>
      <c r="S14" s="180"/>
      <c r="T14" s="180"/>
      <c r="U14" s="180"/>
      <c r="V14" s="181"/>
      <c r="W14" s="181"/>
      <c r="X14" s="181"/>
      <c r="Y14" s="181"/>
      <c r="Z14" s="181"/>
      <c r="AA14" s="181"/>
      <c r="AB14" s="181"/>
      <c r="AC14" s="181"/>
      <c r="AD14" s="181"/>
      <c r="AE14" s="181"/>
      <c r="AF14" s="181"/>
      <c r="AG14" s="181"/>
      <c r="AI14" s="181"/>
      <c r="AJ14" s="181"/>
      <c r="AK14" s="181"/>
      <c r="AL14" s="181"/>
      <c r="AM14" s="181"/>
      <c r="BA14" s="165"/>
      <c r="BB14" s="165"/>
      <c r="BC14" s="165"/>
      <c r="BD14" s="165"/>
      <c r="BE14" s="165"/>
      <c r="BF14" s="165"/>
      <c r="BG14" s="165"/>
      <c r="BH14" s="165"/>
      <c r="BI14" s="165"/>
      <c r="BJ14" s="165"/>
      <c r="BK14" s="165"/>
      <c r="BL14" s="165"/>
      <c r="CJ14" s="394" t="s">
        <v>0</v>
      </c>
      <c r="CK14" s="395"/>
      <c r="CL14" s="395"/>
      <c r="CM14" s="395"/>
      <c r="CN14" s="395"/>
      <c r="CO14" s="395"/>
      <c r="CP14" s="395"/>
      <c r="CQ14" s="395"/>
      <c r="CR14" s="395"/>
      <c r="CS14" s="395"/>
      <c r="CT14" s="395"/>
      <c r="CU14" s="395"/>
      <c r="CV14" s="395"/>
      <c r="CW14" s="395"/>
      <c r="CX14" s="395"/>
      <c r="CY14" s="395"/>
      <c r="CZ14" s="395"/>
      <c r="DA14" s="395"/>
    </row>
    <row r="15" spans="1:105" s="168" customFormat="1" ht="56.1">
      <c r="A15" s="177"/>
      <c r="B15" s="181"/>
      <c r="C15" s="181"/>
      <c r="D15" s="177"/>
      <c r="E15" s="178"/>
      <c r="F15" s="177"/>
      <c r="G15" s="177"/>
      <c r="H15" s="179"/>
      <c r="I15" s="177"/>
      <c r="J15" s="177"/>
      <c r="K15" s="177"/>
      <c r="L15" s="177"/>
      <c r="M15" s="180"/>
      <c r="N15" s="180"/>
      <c r="O15" s="177"/>
      <c r="P15" s="180"/>
      <c r="Q15" s="180"/>
      <c r="R15" s="180"/>
      <c r="S15" s="180"/>
      <c r="T15" s="180"/>
      <c r="U15" s="180"/>
      <c r="V15" s="181"/>
      <c r="W15" s="181"/>
      <c r="X15" s="181"/>
      <c r="Y15" s="181"/>
      <c r="Z15" s="181"/>
      <c r="AA15" s="181"/>
      <c r="AB15" s="181"/>
      <c r="AC15" s="181"/>
      <c r="AD15" s="181"/>
      <c r="AE15" s="181"/>
      <c r="AF15" s="181"/>
      <c r="AG15" s="181"/>
      <c r="AI15" s="181"/>
      <c r="AJ15" s="181"/>
      <c r="AK15" s="181"/>
      <c r="AL15" s="181"/>
      <c r="AM15" s="181"/>
      <c r="BA15" s="165"/>
      <c r="BB15" s="165"/>
      <c r="BC15" s="165"/>
      <c r="BD15" s="165"/>
      <c r="BE15" s="165"/>
      <c r="BF15" s="165"/>
      <c r="BG15" s="165"/>
      <c r="BH15" s="165"/>
      <c r="BI15" s="165"/>
      <c r="BJ15" s="165"/>
      <c r="BK15" s="165"/>
      <c r="BL15" s="165"/>
      <c r="CJ15" s="356" t="s">
        <v>1</v>
      </c>
      <c r="CK15" s="356"/>
      <c r="CL15" s="356" t="s">
        <v>2</v>
      </c>
      <c r="CM15" s="356"/>
      <c r="CN15" s="356" t="s">
        <v>3</v>
      </c>
      <c r="CO15" s="356"/>
      <c r="CP15" s="356" t="s">
        <v>4</v>
      </c>
      <c r="CQ15" s="356"/>
      <c r="CR15" s="356" t="s">
        <v>5</v>
      </c>
      <c r="CS15" s="356"/>
      <c r="CT15" s="356" t="s">
        <v>6</v>
      </c>
      <c r="CU15" s="356"/>
      <c r="CV15" s="356" t="s">
        <v>7</v>
      </c>
      <c r="CW15" s="356"/>
      <c r="CX15" s="356" t="s">
        <v>8</v>
      </c>
      <c r="CY15" s="356"/>
      <c r="CZ15" s="356" t="s">
        <v>9</v>
      </c>
      <c r="DA15" s="356"/>
    </row>
    <row r="16" spans="1:105" ht="65.099999999999994">
      <c r="A16" s="187" t="s">
        <v>10</v>
      </c>
      <c r="B16" s="176" t="s">
        <v>11</v>
      </c>
      <c r="C16" s="176" t="s">
        <v>12</v>
      </c>
      <c r="D16" s="171" t="s">
        <v>13</v>
      </c>
      <c r="E16" s="172" t="s">
        <v>14</v>
      </c>
      <c r="F16" s="171" t="s">
        <v>15</v>
      </c>
      <c r="G16" s="171" t="s">
        <v>16</v>
      </c>
      <c r="H16" s="173" t="s">
        <v>17</v>
      </c>
      <c r="I16" s="171" t="s">
        <v>18</v>
      </c>
      <c r="J16" s="171" t="s">
        <v>19</v>
      </c>
      <c r="K16" s="171" t="s">
        <v>20</v>
      </c>
      <c r="L16" s="171" t="s">
        <v>21</v>
      </c>
      <c r="M16" s="174" t="s">
        <v>262</v>
      </c>
      <c r="N16" s="175" t="s">
        <v>263</v>
      </c>
      <c r="O16" s="171" t="s">
        <v>264</v>
      </c>
      <c r="P16" s="175" t="s">
        <v>265</v>
      </c>
      <c r="Q16" s="175" t="s">
        <v>23</v>
      </c>
      <c r="R16" s="175" t="s">
        <v>24</v>
      </c>
      <c r="S16" s="175" t="s">
        <v>25</v>
      </c>
      <c r="T16" s="175" t="s">
        <v>26</v>
      </c>
      <c r="U16" s="175" t="s">
        <v>27</v>
      </c>
      <c r="V16" s="176" t="s">
        <v>28</v>
      </c>
      <c r="W16" s="176" t="s">
        <v>30</v>
      </c>
      <c r="X16" s="176" t="s">
        <v>266</v>
      </c>
      <c r="Y16" s="176" t="s">
        <v>31</v>
      </c>
      <c r="Z16" s="176" t="s">
        <v>267</v>
      </c>
      <c r="AA16" s="176" t="s">
        <v>33</v>
      </c>
      <c r="AB16" s="176" t="s">
        <v>34</v>
      </c>
      <c r="AC16" s="176" t="s">
        <v>268</v>
      </c>
      <c r="AD16" s="176" t="s">
        <v>269</v>
      </c>
      <c r="AE16" s="176" t="s">
        <v>270</v>
      </c>
      <c r="AF16" s="176" t="s">
        <v>271</v>
      </c>
      <c r="AG16" s="176" t="s">
        <v>38</v>
      </c>
      <c r="AI16" s="176" t="s">
        <v>30</v>
      </c>
      <c r="AJ16" s="176" t="s">
        <v>31</v>
      </c>
      <c r="AK16" s="176" t="s">
        <v>32</v>
      </c>
      <c r="AL16" s="176" t="s">
        <v>33</v>
      </c>
      <c r="AM16" s="176" t="s">
        <v>272</v>
      </c>
      <c r="BA16" s="162" t="s">
        <v>40</v>
      </c>
      <c r="BB16" s="162" t="s">
        <v>41</v>
      </c>
      <c r="BC16" s="162" t="s">
        <v>42</v>
      </c>
      <c r="BD16" s="162" t="s">
        <v>43</v>
      </c>
      <c r="BE16" s="162" t="s">
        <v>44</v>
      </c>
      <c r="BF16" s="162" t="s">
        <v>45</v>
      </c>
      <c r="BG16" s="162" t="s">
        <v>46</v>
      </c>
      <c r="BH16" s="1" t="s">
        <v>47</v>
      </c>
      <c r="BI16" s="162" t="s">
        <v>48</v>
      </c>
      <c r="BJ16" s="162" t="s">
        <v>49</v>
      </c>
      <c r="BK16" s="162" t="s">
        <v>13</v>
      </c>
      <c r="BL16" s="162" t="s">
        <v>50</v>
      </c>
      <c r="BR16" s="293" t="s">
        <v>38</v>
      </c>
      <c r="BS16" s="1" t="s">
        <v>39</v>
      </c>
      <c r="BT16" s="1" t="s">
        <v>53</v>
      </c>
      <c r="CJ16" s="357" t="s">
        <v>54</v>
      </c>
      <c r="CK16" s="357" t="s">
        <v>55</v>
      </c>
      <c r="CL16" s="357" t="s">
        <v>54</v>
      </c>
      <c r="CM16" s="357" t="s">
        <v>55</v>
      </c>
      <c r="CN16" s="357" t="s">
        <v>54</v>
      </c>
      <c r="CO16" s="357" t="s">
        <v>55</v>
      </c>
      <c r="CP16" s="357" t="s">
        <v>54</v>
      </c>
      <c r="CQ16" s="357" t="s">
        <v>55</v>
      </c>
      <c r="CR16" s="357" t="s">
        <v>54</v>
      </c>
      <c r="CS16" s="357" t="s">
        <v>55</v>
      </c>
      <c r="CT16" s="357" t="s">
        <v>54</v>
      </c>
      <c r="CU16" s="357" t="s">
        <v>55</v>
      </c>
      <c r="CV16" s="357" t="s">
        <v>54</v>
      </c>
      <c r="CW16" s="357" t="s">
        <v>55</v>
      </c>
      <c r="CX16" s="357" t="s">
        <v>54</v>
      </c>
      <c r="CY16" s="357" t="s">
        <v>55</v>
      </c>
      <c r="CZ16" s="357" t="s">
        <v>54</v>
      </c>
      <c r="DA16" s="357" t="s">
        <v>55</v>
      </c>
    </row>
    <row r="17" spans="1:105" ht="167.45">
      <c r="A17" s="16">
        <v>7</v>
      </c>
      <c r="B17" s="17">
        <v>46248</v>
      </c>
      <c r="C17" s="17" t="s">
        <v>277</v>
      </c>
      <c r="D17" s="17" t="s">
        <v>77</v>
      </c>
      <c r="E17" s="18">
        <v>7502327990918</v>
      </c>
      <c r="F17" s="16" t="s">
        <v>601</v>
      </c>
      <c r="G17" s="19" t="s">
        <v>602</v>
      </c>
      <c r="H17" s="20" t="s">
        <v>60</v>
      </c>
      <c r="I17" s="16" t="s">
        <v>603</v>
      </c>
      <c r="J17" s="19" t="s">
        <v>249</v>
      </c>
      <c r="K17" s="19" t="s">
        <v>281</v>
      </c>
      <c r="L17" s="51">
        <v>2</v>
      </c>
      <c r="M17" s="21" t="s">
        <v>376</v>
      </c>
      <c r="N17" s="22" t="s">
        <v>604</v>
      </c>
      <c r="O17" s="16" t="s">
        <v>284</v>
      </c>
      <c r="P17" s="16">
        <v>3</v>
      </c>
      <c r="Q17" s="23" t="s">
        <v>286</v>
      </c>
      <c r="R17" s="23">
        <v>10000</v>
      </c>
      <c r="S17" s="24">
        <f>+P17*$T$25</f>
        <v>0</v>
      </c>
      <c r="T17" s="24">
        <f>+S17*0.25</f>
        <v>0</v>
      </c>
      <c r="U17" s="24">
        <f>(S17+T17)*0.0267</f>
        <v>0</v>
      </c>
      <c r="V17" s="25">
        <f>S17+T17+U17</f>
        <v>0</v>
      </c>
      <c r="W17" s="26">
        <v>179</v>
      </c>
      <c r="X17" s="24">
        <f>W17/1.16</f>
        <v>154.31034482758622</v>
      </c>
      <c r="Y17" s="24">
        <f>X17*0.6</f>
        <v>92.58620689655173</v>
      </c>
      <c r="Z17" s="27">
        <f>V17/Y17</f>
        <v>0</v>
      </c>
      <c r="AA17" s="27">
        <f>1-(V17/Y17)</f>
        <v>1</v>
      </c>
      <c r="AB17" s="28">
        <f>1-(Y17/(W17/1.16))</f>
        <v>0.4</v>
      </c>
      <c r="AC17" s="29" t="s">
        <v>287</v>
      </c>
      <c r="AD17" s="16"/>
      <c r="AE17" s="19">
        <v>6</v>
      </c>
      <c r="AF17" s="19">
        <v>144</v>
      </c>
      <c r="AG17" s="16"/>
      <c r="AI17" s="30">
        <v>116.35</v>
      </c>
      <c r="AJ17" s="31">
        <f>+AI17/1.16</f>
        <v>100.30172413793103</v>
      </c>
      <c r="AK17" s="32">
        <f>+V17/AJ17</f>
        <v>0</v>
      </c>
      <c r="AL17" s="32">
        <f>1-V17/AJ17</f>
        <v>1</v>
      </c>
      <c r="AM17" s="33">
        <f>1-(AJ17/(AI17/1.16))</f>
        <v>0</v>
      </c>
      <c r="BA17" s="3">
        <v>1</v>
      </c>
      <c r="BB17" s="3">
        <v>1</v>
      </c>
      <c r="BC17" s="3">
        <v>1</v>
      </c>
      <c r="BD17" s="3">
        <v>1</v>
      </c>
      <c r="BE17" s="3"/>
      <c r="BF17" s="3"/>
      <c r="BG17" s="3"/>
      <c r="BH17" s="3"/>
      <c r="BI17" s="3"/>
      <c r="BJ17" s="3">
        <v>9</v>
      </c>
      <c r="BK17" s="3">
        <f>SUM(BA17:BI17)</f>
        <v>4</v>
      </c>
      <c r="BL17" s="4">
        <f>+BK17/BJ17</f>
        <v>0.44444444444444442</v>
      </c>
      <c r="BR17" s="36" t="s">
        <v>496</v>
      </c>
      <c r="BS17" s="278"/>
      <c r="BT17" s="278" t="s">
        <v>397</v>
      </c>
      <c r="CJ17" s="358">
        <v>45809</v>
      </c>
      <c r="CK17" s="358">
        <v>45809</v>
      </c>
      <c r="CL17" s="278"/>
      <c r="CM17" s="278"/>
      <c r="CN17" s="278"/>
      <c r="CO17" s="278"/>
      <c r="CP17" s="268"/>
      <c r="CQ17" s="268"/>
      <c r="CR17" s="267"/>
      <c r="CS17" s="267"/>
      <c r="CT17" s="267"/>
      <c r="CU17" s="267"/>
      <c r="CV17" s="267"/>
      <c r="CW17" s="267"/>
      <c r="CX17" s="267"/>
      <c r="CY17" s="267"/>
      <c r="CZ17" s="267"/>
      <c r="DA17" s="267"/>
    </row>
    <row r="18" spans="1:105" ht="167.45">
      <c r="A18" s="16">
        <v>8</v>
      </c>
      <c r="B18" s="17">
        <v>46248</v>
      </c>
      <c r="C18" s="17" t="s">
        <v>277</v>
      </c>
      <c r="D18" s="17" t="s">
        <v>77</v>
      </c>
      <c r="E18" s="18">
        <v>7502327990925</v>
      </c>
      <c r="F18" s="16" t="s">
        <v>605</v>
      </c>
      <c r="G18" s="19" t="s">
        <v>606</v>
      </c>
      <c r="H18" s="20" t="s">
        <v>60</v>
      </c>
      <c r="I18" s="16" t="s">
        <v>603</v>
      </c>
      <c r="J18" s="19" t="s">
        <v>249</v>
      </c>
      <c r="K18" s="19" t="s">
        <v>281</v>
      </c>
      <c r="L18" s="51">
        <v>2</v>
      </c>
      <c r="M18" s="21" t="s">
        <v>376</v>
      </c>
      <c r="N18" s="22" t="s">
        <v>604</v>
      </c>
      <c r="O18" s="16" t="s">
        <v>284</v>
      </c>
      <c r="P18" s="16">
        <v>3</v>
      </c>
      <c r="Q18" s="23" t="s">
        <v>286</v>
      </c>
      <c r="R18" s="23">
        <v>10000</v>
      </c>
      <c r="S18" s="24">
        <f>+P18*$T$25</f>
        <v>0</v>
      </c>
      <c r="T18" s="24">
        <f>+S18*0.25</f>
        <v>0</v>
      </c>
      <c r="U18" s="24">
        <f>(S18+T18)*0.0267</f>
        <v>0</v>
      </c>
      <c r="V18" s="25">
        <f>S18+T18+U18</f>
        <v>0</v>
      </c>
      <c r="W18" s="26">
        <v>179</v>
      </c>
      <c r="X18" s="24">
        <f>W18/1.16</f>
        <v>154.31034482758622</v>
      </c>
      <c r="Y18" s="24">
        <f>X18*0.6</f>
        <v>92.58620689655173</v>
      </c>
      <c r="Z18" s="27">
        <f>V18/Y18</f>
        <v>0</v>
      </c>
      <c r="AA18" s="27">
        <f>1-(V18/Y18)</f>
        <v>1</v>
      </c>
      <c r="AB18" s="28">
        <f>1-(Y18/(W18/1.16))</f>
        <v>0.4</v>
      </c>
      <c r="AC18" s="29" t="s">
        <v>287</v>
      </c>
      <c r="AD18" s="16"/>
      <c r="AE18" s="19">
        <v>6</v>
      </c>
      <c r="AF18" s="19">
        <v>144</v>
      </c>
      <c r="AG18" s="16"/>
      <c r="AI18" s="30">
        <v>116.35</v>
      </c>
      <c r="AJ18" s="31">
        <f>+AI18/1.16</f>
        <v>100.30172413793103</v>
      </c>
      <c r="AK18" s="32">
        <f>+V18/AJ18</f>
        <v>0</v>
      </c>
      <c r="AL18" s="32">
        <f>1-V18/AJ18</f>
        <v>1</v>
      </c>
      <c r="AM18" s="33">
        <f>1-(AJ18/(AI18/1.16))</f>
        <v>0</v>
      </c>
      <c r="BA18" s="3">
        <v>1</v>
      </c>
      <c r="BB18" s="3">
        <v>1</v>
      </c>
      <c r="BC18" s="3">
        <v>1</v>
      </c>
      <c r="BD18" s="3">
        <v>1</v>
      </c>
      <c r="BE18" s="3"/>
      <c r="BF18" s="3"/>
      <c r="BG18" s="3"/>
      <c r="BH18" s="3"/>
      <c r="BI18" s="3"/>
      <c r="BJ18" s="3">
        <v>9</v>
      </c>
      <c r="BK18" s="3">
        <f>SUM(BA18:BI18)</f>
        <v>4</v>
      </c>
      <c r="BL18" s="4">
        <f>+BK18/BJ18</f>
        <v>0.44444444444444442</v>
      </c>
      <c r="BR18" s="36" t="s">
        <v>496</v>
      </c>
      <c r="BS18" s="318"/>
      <c r="BT18" s="278" t="s">
        <v>397</v>
      </c>
      <c r="CJ18" s="278"/>
      <c r="CK18" s="278"/>
      <c r="CL18" s="278"/>
      <c r="CM18" s="278"/>
      <c r="CN18" s="278"/>
      <c r="CO18" s="278"/>
      <c r="CP18" s="268"/>
      <c r="CQ18" s="268"/>
      <c r="CR18" s="267"/>
      <c r="CS18" s="267"/>
      <c r="CT18" s="267"/>
      <c r="CU18" s="267"/>
      <c r="CV18" s="267"/>
      <c r="CW18" s="267"/>
      <c r="CX18" s="267"/>
      <c r="CY18" s="267"/>
      <c r="CZ18" s="267"/>
      <c r="DA18" s="267"/>
    </row>
    <row r="19" spans="1:105" ht="167.45">
      <c r="A19" s="16">
        <v>9</v>
      </c>
      <c r="B19" s="17">
        <v>46248</v>
      </c>
      <c r="C19" s="17" t="s">
        <v>277</v>
      </c>
      <c r="D19" s="17" t="s">
        <v>77</v>
      </c>
      <c r="E19" s="18">
        <v>7502327990932</v>
      </c>
      <c r="F19" s="16" t="s">
        <v>607</v>
      </c>
      <c r="G19" s="19" t="s">
        <v>608</v>
      </c>
      <c r="H19" s="20" t="s">
        <v>60</v>
      </c>
      <c r="I19" s="16" t="s">
        <v>603</v>
      </c>
      <c r="J19" s="19" t="s">
        <v>249</v>
      </c>
      <c r="K19" s="19" t="s">
        <v>281</v>
      </c>
      <c r="L19" s="51">
        <v>2</v>
      </c>
      <c r="M19" s="21" t="s">
        <v>376</v>
      </c>
      <c r="N19" s="22" t="s">
        <v>604</v>
      </c>
      <c r="O19" s="16" t="s">
        <v>284</v>
      </c>
      <c r="P19" s="16">
        <v>3</v>
      </c>
      <c r="Q19" s="23" t="s">
        <v>286</v>
      </c>
      <c r="R19" s="23">
        <v>10000</v>
      </c>
      <c r="S19" s="24">
        <f>+P19*$T$25</f>
        <v>0</v>
      </c>
      <c r="T19" s="24">
        <f>+S19*0.25</f>
        <v>0</v>
      </c>
      <c r="U19" s="24">
        <f>(S19+T19)*0.0267</f>
        <v>0</v>
      </c>
      <c r="V19" s="25">
        <f>S19+T19+U19</f>
        <v>0</v>
      </c>
      <c r="W19" s="26">
        <v>179</v>
      </c>
      <c r="X19" s="24">
        <f>W19/1.16</f>
        <v>154.31034482758622</v>
      </c>
      <c r="Y19" s="24">
        <f>X19*0.6</f>
        <v>92.58620689655173</v>
      </c>
      <c r="Z19" s="27">
        <f>V19/Y19</f>
        <v>0</v>
      </c>
      <c r="AA19" s="27">
        <f>1-(V19/Y19)</f>
        <v>1</v>
      </c>
      <c r="AB19" s="28">
        <f>1-(Y19/(W19/1.16))</f>
        <v>0.4</v>
      </c>
      <c r="AC19" s="29" t="s">
        <v>287</v>
      </c>
      <c r="AD19" s="16"/>
      <c r="AE19" s="19">
        <v>6</v>
      </c>
      <c r="AF19" s="19">
        <v>144</v>
      </c>
      <c r="AG19" s="16"/>
      <c r="AI19" s="30">
        <v>116.35</v>
      </c>
      <c r="AJ19" s="31">
        <f>+AI19/1.16</f>
        <v>100.30172413793103</v>
      </c>
      <c r="AK19" s="32">
        <f>+V19/AJ19</f>
        <v>0</v>
      </c>
      <c r="AL19" s="32">
        <f>1-V19/AJ19</f>
        <v>1</v>
      </c>
      <c r="AM19" s="33">
        <f>1-(AJ19/(AI19/1.16))</f>
        <v>0</v>
      </c>
      <c r="BA19" s="3">
        <v>1</v>
      </c>
      <c r="BB19" s="3">
        <v>1</v>
      </c>
      <c r="BC19" s="3">
        <v>1</v>
      </c>
      <c r="BD19" s="3">
        <v>1</v>
      </c>
      <c r="BE19" s="3"/>
      <c r="BF19" s="3"/>
      <c r="BG19" s="3"/>
      <c r="BH19" s="3"/>
      <c r="BI19" s="3"/>
      <c r="BJ19" s="3">
        <v>9</v>
      </c>
      <c r="BK19" s="3">
        <f>SUM(BA19:BI19)</f>
        <v>4</v>
      </c>
      <c r="BL19" s="4">
        <f>+BK19/BJ19</f>
        <v>0.44444444444444442</v>
      </c>
      <c r="BR19" s="36" t="s">
        <v>496</v>
      </c>
      <c r="BS19" s="318"/>
      <c r="BT19" s="278" t="s">
        <v>397</v>
      </c>
      <c r="CJ19" s="278"/>
      <c r="CK19" s="278"/>
      <c r="CL19" s="278"/>
      <c r="CM19" s="278"/>
      <c r="CN19" s="278"/>
      <c r="CO19" s="278"/>
      <c r="CP19" s="268"/>
      <c r="CQ19" s="268"/>
      <c r="CR19" s="267"/>
      <c r="CS19" s="267"/>
      <c r="CT19" s="267"/>
      <c r="CU19" s="267"/>
      <c r="CV19" s="267"/>
      <c r="CW19" s="267"/>
      <c r="CX19" s="267"/>
      <c r="CY19" s="267"/>
      <c r="CZ19" s="267"/>
      <c r="DA19" s="267"/>
    </row>
    <row r="20" spans="1:105" ht="167.45">
      <c r="A20" s="16">
        <v>10</v>
      </c>
      <c r="B20" s="17">
        <v>46248</v>
      </c>
      <c r="C20" s="17" t="s">
        <v>277</v>
      </c>
      <c r="D20" s="17" t="s">
        <v>77</v>
      </c>
      <c r="E20" s="18">
        <v>7502327990949</v>
      </c>
      <c r="F20" s="16" t="s">
        <v>609</v>
      </c>
      <c r="G20" s="19" t="s">
        <v>610</v>
      </c>
      <c r="H20" s="20" t="s">
        <v>60</v>
      </c>
      <c r="I20" s="16" t="s">
        <v>603</v>
      </c>
      <c r="J20" s="19" t="s">
        <v>249</v>
      </c>
      <c r="K20" s="19" t="s">
        <v>281</v>
      </c>
      <c r="L20" s="51">
        <v>2</v>
      </c>
      <c r="M20" s="21" t="s">
        <v>376</v>
      </c>
      <c r="N20" s="22" t="s">
        <v>604</v>
      </c>
      <c r="O20" s="16" t="s">
        <v>284</v>
      </c>
      <c r="P20" s="16">
        <v>3</v>
      </c>
      <c r="Q20" s="23" t="s">
        <v>286</v>
      </c>
      <c r="R20" s="23">
        <v>10000</v>
      </c>
      <c r="S20" s="24">
        <f>+P20*$T$25</f>
        <v>0</v>
      </c>
      <c r="T20" s="24">
        <f>+S20*0.25</f>
        <v>0</v>
      </c>
      <c r="U20" s="24">
        <f>(S20+T20)*0.0267</f>
        <v>0</v>
      </c>
      <c r="V20" s="25">
        <f>S20+T20+U20</f>
        <v>0</v>
      </c>
      <c r="W20" s="26">
        <v>179</v>
      </c>
      <c r="X20" s="24">
        <f>W20/1.16</f>
        <v>154.31034482758622</v>
      </c>
      <c r="Y20" s="24">
        <f>X20*0.6</f>
        <v>92.58620689655173</v>
      </c>
      <c r="Z20" s="27">
        <f>V20/Y20</f>
        <v>0</v>
      </c>
      <c r="AA20" s="27">
        <f>1-(V20/Y20)</f>
        <v>1</v>
      </c>
      <c r="AB20" s="28">
        <f>1-(Y20/(W20/1.16))</f>
        <v>0.4</v>
      </c>
      <c r="AC20" s="29" t="s">
        <v>287</v>
      </c>
      <c r="AD20" s="16"/>
      <c r="AE20" s="19">
        <v>6</v>
      </c>
      <c r="AF20" s="19">
        <v>144</v>
      </c>
      <c r="AG20" s="16"/>
      <c r="AI20" s="30">
        <v>116.35</v>
      </c>
      <c r="AJ20" s="31">
        <f>+AI20/1.16</f>
        <v>100.30172413793103</v>
      </c>
      <c r="AK20" s="32">
        <f>+V20/AJ20</f>
        <v>0</v>
      </c>
      <c r="AL20" s="32">
        <f>1-V20/AJ20</f>
        <v>1</v>
      </c>
      <c r="AM20" s="33">
        <f>1-(AJ20/(AI20/1.16))</f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/>
      <c r="BG20" s="3"/>
      <c r="BH20" s="3"/>
      <c r="BI20" s="3"/>
      <c r="BJ20" s="3">
        <v>9</v>
      </c>
      <c r="BK20" s="3">
        <f>SUM(BA20:BI20)</f>
        <v>4</v>
      </c>
      <c r="BL20" s="4">
        <f>+BK20/BJ20</f>
        <v>0.44444444444444442</v>
      </c>
      <c r="BR20" s="36" t="s">
        <v>496</v>
      </c>
      <c r="BS20" s="318"/>
      <c r="BT20" s="278" t="s">
        <v>397</v>
      </c>
      <c r="CJ20" s="278"/>
      <c r="CK20" s="278"/>
      <c r="CL20" s="278"/>
      <c r="CM20" s="278"/>
      <c r="CN20" s="278"/>
      <c r="CO20" s="278"/>
      <c r="CP20" s="268"/>
      <c r="CQ20" s="268"/>
      <c r="CR20" s="267"/>
      <c r="CS20" s="267"/>
      <c r="CT20" s="267"/>
      <c r="CU20" s="267"/>
      <c r="CV20" s="267"/>
      <c r="CW20" s="267"/>
      <c r="CX20" s="267"/>
      <c r="CY20" s="267"/>
      <c r="CZ20" s="267"/>
      <c r="DA20" s="267"/>
    </row>
    <row r="21" spans="1:105" ht="167.45">
      <c r="A21" s="16">
        <v>68</v>
      </c>
      <c r="B21" s="17">
        <v>46248</v>
      </c>
      <c r="C21" s="17" t="s">
        <v>277</v>
      </c>
      <c r="D21" s="17" t="s">
        <v>77</v>
      </c>
      <c r="E21" s="18">
        <v>7502327991526</v>
      </c>
      <c r="F21" s="16" t="s">
        <v>611</v>
      </c>
      <c r="G21" s="19" t="s">
        <v>612</v>
      </c>
      <c r="H21" s="20" t="s">
        <v>60</v>
      </c>
      <c r="I21" s="16" t="s">
        <v>228</v>
      </c>
      <c r="J21" s="19" t="s">
        <v>249</v>
      </c>
      <c r="K21" s="19" t="s">
        <v>281</v>
      </c>
      <c r="L21" s="51">
        <v>2</v>
      </c>
      <c r="M21" s="42" t="s">
        <v>282</v>
      </c>
      <c r="N21" s="16"/>
      <c r="O21" s="16" t="s">
        <v>488</v>
      </c>
      <c r="P21" s="16">
        <v>9</v>
      </c>
      <c r="Q21" s="23" t="s">
        <v>286</v>
      </c>
      <c r="R21" s="23">
        <v>10000</v>
      </c>
      <c r="S21" s="24">
        <f>+P21*$T$25</f>
        <v>0</v>
      </c>
      <c r="T21" s="24">
        <f>+S21*0.25</f>
        <v>0</v>
      </c>
      <c r="U21" s="24">
        <f>(S21+T21)*0.0556</f>
        <v>0</v>
      </c>
      <c r="V21" s="25">
        <f>S21+T21+U21</f>
        <v>0</v>
      </c>
      <c r="W21" s="34">
        <v>249</v>
      </c>
      <c r="X21" s="24">
        <f>W21/1.16</f>
        <v>214.65517241379311</v>
      </c>
      <c r="Y21" s="24">
        <f>X21*0.6</f>
        <v>128.79310344827587</v>
      </c>
      <c r="Z21" s="27">
        <f>V21/Y21</f>
        <v>0</v>
      </c>
      <c r="AA21" s="27">
        <f>1-(V21/Y21)</f>
        <v>1</v>
      </c>
      <c r="AB21" s="28">
        <f>1-(Y21/(W21/1.16))</f>
        <v>0.4</v>
      </c>
      <c r="AC21" s="29" t="s">
        <v>287</v>
      </c>
      <c r="AD21" s="16"/>
      <c r="AE21" s="19">
        <v>4</v>
      </c>
      <c r="AF21" s="19">
        <v>48</v>
      </c>
      <c r="AG21" s="16"/>
      <c r="AI21" s="31">
        <v>161.85</v>
      </c>
      <c r="AJ21" s="31">
        <f>+AI21/1.16</f>
        <v>139.52586206896552</v>
      </c>
      <c r="AK21" s="32">
        <f>+V21/AJ21</f>
        <v>0</v>
      </c>
      <c r="AL21" s="32">
        <f>1-V21/AJ21</f>
        <v>1</v>
      </c>
      <c r="AM21" s="33">
        <f>1-(AJ21/(AI21/1.16))</f>
        <v>0</v>
      </c>
      <c r="BA21" s="3">
        <v>1</v>
      </c>
      <c r="BB21" s="3">
        <v>1</v>
      </c>
      <c r="BC21" s="3">
        <v>1</v>
      </c>
      <c r="BD21" s="3">
        <v>1</v>
      </c>
      <c r="BE21" s="3"/>
      <c r="BF21" s="3"/>
      <c r="BG21" s="3"/>
      <c r="BH21" s="3"/>
      <c r="BI21" s="3"/>
      <c r="BJ21" s="3">
        <v>9</v>
      </c>
      <c r="BK21" s="3">
        <f>SUM(BA21:BI21)</f>
        <v>4</v>
      </c>
      <c r="BL21" s="4">
        <f>+BK21/BJ21</f>
        <v>0.44444444444444442</v>
      </c>
      <c r="BR21" s="36" t="s">
        <v>496</v>
      </c>
      <c r="BS21" s="318"/>
      <c r="BT21" s="278" t="s">
        <v>397</v>
      </c>
      <c r="CJ21" s="278"/>
      <c r="CK21" s="278"/>
      <c r="CL21" s="278"/>
      <c r="CM21" s="278"/>
      <c r="CN21" s="278"/>
      <c r="CO21" s="278"/>
      <c r="CP21" s="268"/>
      <c r="CQ21" s="268"/>
      <c r="CR21" s="267"/>
      <c r="CS21" s="267"/>
      <c r="CT21" s="267"/>
      <c r="CU21" s="267"/>
      <c r="CV21" s="267"/>
      <c r="CW21" s="267"/>
      <c r="CX21" s="267"/>
      <c r="CY21" s="267"/>
      <c r="CZ21" s="267"/>
      <c r="DA21" s="267"/>
    </row>
    <row r="22" spans="1:105">
      <c r="BR22" s="318"/>
      <c r="BS22" s="318"/>
      <c r="BT22" s="318"/>
      <c r="CJ22" s="278"/>
      <c r="CK22" s="278"/>
      <c r="CL22" s="278"/>
      <c r="CM22" s="278"/>
      <c r="CN22" s="278"/>
      <c r="CO22" s="278"/>
      <c r="CP22" s="268"/>
      <c r="CQ22" s="268"/>
      <c r="CR22" s="267"/>
      <c r="CS22" s="267"/>
      <c r="CT22" s="267"/>
      <c r="CU22" s="267"/>
      <c r="CV22" s="267"/>
      <c r="CW22" s="267"/>
      <c r="CX22" s="267"/>
      <c r="CY22" s="267"/>
      <c r="CZ22" s="267"/>
      <c r="DA22" s="267"/>
    </row>
    <row r="23" spans="1:105">
      <c r="CJ23" s="278"/>
      <c r="CK23" s="278"/>
      <c r="CL23" s="278"/>
      <c r="CM23" s="278"/>
      <c r="CN23" s="278"/>
      <c r="CO23" s="278"/>
      <c r="CP23" s="268"/>
      <c r="CQ23" s="268"/>
      <c r="CR23" s="267"/>
      <c r="CS23" s="267"/>
      <c r="CT23" s="267"/>
      <c r="CU23" s="267"/>
      <c r="CV23" s="267"/>
      <c r="CW23" s="267"/>
      <c r="CX23" s="267"/>
      <c r="CY23" s="267"/>
      <c r="CZ23" s="267"/>
      <c r="DA23" s="267"/>
    </row>
    <row r="24" spans="1:105">
      <c r="CJ24" s="278"/>
      <c r="CK24" s="278"/>
      <c r="CL24" s="278"/>
      <c r="CM24" s="278"/>
      <c r="CN24" s="278"/>
      <c r="CO24" s="278"/>
      <c r="CP24" s="268"/>
      <c r="CQ24" s="268"/>
      <c r="CR24" s="267"/>
      <c r="CS24" s="267"/>
      <c r="CT24" s="267"/>
      <c r="CU24" s="267"/>
      <c r="CV24" s="267"/>
      <c r="CW24" s="267"/>
      <c r="CX24" s="267"/>
      <c r="CY24" s="267"/>
      <c r="CZ24" s="267"/>
      <c r="DA24" s="267"/>
    </row>
    <row r="25" spans="1:105">
      <c r="CJ25" s="278"/>
      <c r="CK25" s="278"/>
      <c r="CL25" s="278"/>
      <c r="CM25" s="278"/>
      <c r="CN25" s="278"/>
      <c r="CO25" s="278"/>
      <c r="CP25" s="268"/>
      <c r="CQ25" s="268"/>
      <c r="CR25" s="267"/>
      <c r="CS25" s="267"/>
      <c r="CT25" s="267"/>
      <c r="CU25" s="267"/>
      <c r="CV25" s="267"/>
      <c r="CW25" s="267"/>
      <c r="CX25" s="267"/>
      <c r="CY25" s="267"/>
      <c r="CZ25" s="267"/>
      <c r="DA25" s="267"/>
    </row>
    <row r="26" spans="1:105">
      <c r="CJ26" s="278"/>
      <c r="CK26" s="278"/>
      <c r="CL26" s="278"/>
      <c r="CM26" s="278"/>
      <c r="CN26" s="278"/>
      <c r="CO26" s="278"/>
      <c r="CP26" s="268"/>
      <c r="CQ26" s="268"/>
      <c r="CR26" s="267"/>
      <c r="CS26" s="267"/>
      <c r="CT26" s="267"/>
      <c r="CU26" s="267"/>
      <c r="CV26" s="267"/>
      <c r="CW26" s="267"/>
      <c r="CX26" s="267"/>
      <c r="CY26" s="267"/>
      <c r="CZ26" s="267"/>
      <c r="DA26" s="267"/>
    </row>
    <row r="27" spans="1:105">
      <c r="CJ27" s="278"/>
      <c r="CK27" s="278"/>
      <c r="CL27" s="278"/>
      <c r="CM27" s="278"/>
      <c r="CN27" s="278"/>
      <c r="CO27" s="278"/>
      <c r="CP27" s="268"/>
      <c r="CQ27" s="268"/>
      <c r="CR27" s="267"/>
      <c r="CS27" s="267"/>
      <c r="CT27" s="267"/>
      <c r="CU27" s="267"/>
      <c r="CV27" s="267"/>
      <c r="CW27" s="267"/>
      <c r="CX27" s="267"/>
      <c r="CY27" s="267"/>
      <c r="CZ27" s="267"/>
      <c r="DA27" s="267"/>
    </row>
    <row r="28" spans="1:105">
      <c r="CJ28" s="278"/>
      <c r="CK28" s="278"/>
      <c r="CL28" s="278"/>
      <c r="CM28" s="278"/>
      <c r="CN28" s="278"/>
      <c r="CO28" s="278"/>
      <c r="CP28" s="268"/>
      <c r="CQ28" s="268"/>
      <c r="CR28" s="267"/>
      <c r="CS28" s="267"/>
      <c r="CT28" s="267"/>
      <c r="CU28" s="267"/>
      <c r="CV28" s="267"/>
      <c r="CW28" s="267"/>
      <c r="CX28" s="267"/>
      <c r="CY28" s="267"/>
      <c r="CZ28" s="267"/>
      <c r="DA28" s="267"/>
    </row>
    <row r="29" spans="1:105">
      <c r="CJ29" s="278"/>
      <c r="CK29" s="278"/>
      <c r="CL29" s="278"/>
      <c r="CM29" s="278"/>
      <c r="CN29" s="278"/>
      <c r="CO29" s="278"/>
      <c r="CP29" s="268"/>
      <c r="CQ29" s="268"/>
      <c r="CR29" s="267"/>
      <c r="CS29" s="267"/>
      <c r="CT29" s="267"/>
      <c r="CU29" s="267"/>
      <c r="CV29" s="267"/>
      <c r="CW29" s="267"/>
      <c r="CX29" s="267"/>
      <c r="CY29" s="267"/>
      <c r="CZ29" s="267"/>
      <c r="DA29" s="267"/>
    </row>
    <row r="30" spans="1:105">
      <c r="CJ30" s="278"/>
      <c r="CK30" s="278"/>
      <c r="CL30" s="278"/>
      <c r="CM30" s="278"/>
      <c r="CN30" s="278"/>
      <c r="CO30" s="278"/>
      <c r="CP30" s="268"/>
      <c r="CQ30" s="268"/>
      <c r="CR30" s="267"/>
      <c r="CS30" s="267"/>
      <c r="CT30" s="267"/>
      <c r="CU30" s="267"/>
      <c r="CV30" s="267"/>
      <c r="CW30" s="267"/>
      <c r="CX30" s="267"/>
      <c r="CY30" s="267"/>
      <c r="CZ30" s="267"/>
      <c r="DA30" s="267"/>
    </row>
    <row r="31" spans="1:105">
      <c r="CJ31" s="278"/>
      <c r="CK31" s="278"/>
      <c r="CL31" s="278"/>
      <c r="CM31" s="278"/>
      <c r="CN31" s="278"/>
      <c r="CO31" s="278"/>
      <c r="CP31" s="268"/>
      <c r="CQ31" s="268"/>
      <c r="CR31" s="267"/>
      <c r="CS31" s="267"/>
      <c r="CT31" s="267"/>
      <c r="CU31" s="267"/>
      <c r="CV31" s="267"/>
      <c r="CW31" s="267"/>
      <c r="CX31" s="267"/>
      <c r="CY31" s="267"/>
      <c r="CZ31" s="267"/>
      <c r="DA31" s="267"/>
    </row>
    <row r="32" spans="1:105">
      <c r="CJ32" s="278"/>
      <c r="CK32" s="278"/>
      <c r="CL32" s="278"/>
      <c r="CM32" s="278"/>
      <c r="CN32" s="278"/>
      <c r="CO32" s="278"/>
      <c r="CP32" s="268"/>
      <c r="CQ32" s="268"/>
      <c r="CR32" s="267"/>
      <c r="CS32" s="267"/>
      <c r="CT32" s="267"/>
      <c r="CU32" s="267"/>
      <c r="CV32" s="267"/>
      <c r="CW32" s="267"/>
      <c r="CX32" s="267"/>
      <c r="CY32" s="267"/>
      <c r="CZ32" s="267"/>
      <c r="DA32" s="267"/>
    </row>
    <row r="33" spans="88:105">
      <c r="CJ33" s="278"/>
      <c r="CK33" s="278"/>
      <c r="CL33" s="278"/>
      <c r="CM33" s="278"/>
      <c r="CN33" s="278"/>
      <c r="CO33" s="278"/>
      <c r="CP33" s="268"/>
      <c r="CQ33" s="268"/>
      <c r="CR33" s="267"/>
      <c r="CS33" s="267"/>
      <c r="CT33" s="267"/>
      <c r="CU33" s="267"/>
      <c r="CV33" s="267"/>
      <c r="CW33" s="267"/>
      <c r="CX33" s="267"/>
      <c r="CY33" s="267"/>
      <c r="CZ33" s="267"/>
      <c r="DA33" s="267"/>
    </row>
    <row r="34" spans="88:105">
      <c r="CJ34" s="278"/>
      <c r="CK34" s="278"/>
      <c r="CL34" s="278"/>
      <c r="CM34" s="278"/>
      <c r="CN34" s="278"/>
      <c r="CO34" s="278"/>
      <c r="CP34" s="268"/>
      <c r="CQ34" s="268"/>
      <c r="CR34" s="267"/>
      <c r="CS34" s="267"/>
      <c r="CT34" s="267"/>
      <c r="CU34" s="267"/>
      <c r="CV34" s="267"/>
      <c r="CW34" s="267"/>
      <c r="CX34" s="267"/>
      <c r="CY34" s="267"/>
      <c r="CZ34" s="267"/>
      <c r="DA34" s="267"/>
    </row>
    <row r="35" spans="88:105">
      <c r="CJ35" s="278"/>
      <c r="CK35" s="278"/>
      <c r="CL35" s="278"/>
      <c r="CM35" s="278"/>
      <c r="CN35" s="278"/>
      <c r="CO35" s="278"/>
      <c r="CP35" s="268"/>
      <c r="CQ35" s="268"/>
      <c r="CR35" s="267"/>
      <c r="CS35" s="267"/>
      <c r="CT35" s="267"/>
      <c r="CU35" s="267"/>
      <c r="CV35" s="267"/>
      <c r="CW35" s="267"/>
      <c r="CX35" s="267"/>
      <c r="CY35" s="267"/>
      <c r="CZ35" s="267"/>
      <c r="DA35" s="267"/>
    </row>
    <row r="36" spans="88:105">
      <c r="CJ36" s="278"/>
      <c r="CK36" s="278"/>
      <c r="CL36" s="278"/>
      <c r="CM36" s="278"/>
      <c r="CN36" s="278"/>
      <c r="CO36" s="278"/>
      <c r="CP36" s="268"/>
      <c r="CQ36" s="268"/>
      <c r="CR36" s="267"/>
      <c r="CS36" s="267"/>
      <c r="CT36" s="267"/>
      <c r="CU36" s="267"/>
      <c r="CV36" s="267"/>
      <c r="CW36" s="267"/>
      <c r="CX36" s="267"/>
      <c r="CY36" s="267"/>
      <c r="CZ36" s="267"/>
      <c r="DA36" s="267"/>
    </row>
    <row r="37" spans="88:105">
      <c r="CJ37" s="278"/>
      <c r="CK37" s="278"/>
      <c r="CL37" s="278"/>
      <c r="CM37" s="278"/>
      <c r="CN37" s="278"/>
      <c r="CO37" s="278"/>
      <c r="CP37" s="268"/>
      <c r="CQ37" s="268"/>
      <c r="CR37" s="267"/>
      <c r="CS37" s="267"/>
      <c r="CT37" s="267"/>
      <c r="CU37" s="267"/>
      <c r="CV37" s="267"/>
      <c r="CW37" s="267"/>
      <c r="CX37" s="267"/>
      <c r="CY37" s="267"/>
      <c r="CZ37" s="267"/>
      <c r="DA37" s="267"/>
    </row>
    <row r="38" spans="88:105">
      <c r="CJ38" s="278"/>
      <c r="CK38" s="278"/>
      <c r="CL38" s="278"/>
      <c r="CM38" s="278"/>
      <c r="CN38" s="278"/>
      <c r="CO38" s="278"/>
      <c r="CP38" s="268"/>
      <c r="CQ38" s="268"/>
      <c r="CR38" s="267"/>
      <c r="CS38" s="267"/>
      <c r="CT38" s="267"/>
      <c r="CU38" s="267"/>
      <c r="CV38" s="267"/>
      <c r="CW38" s="267"/>
      <c r="CX38" s="267"/>
      <c r="CY38" s="267"/>
      <c r="CZ38" s="267"/>
      <c r="DA38" s="267"/>
    </row>
    <row r="39" spans="88:105">
      <c r="CJ39" s="278"/>
      <c r="CK39" s="278"/>
      <c r="CL39" s="278"/>
      <c r="CM39" s="278"/>
      <c r="CN39" s="278"/>
      <c r="CO39" s="278"/>
      <c r="CP39" s="268"/>
      <c r="CQ39" s="268"/>
      <c r="CR39" s="267"/>
      <c r="CS39" s="267"/>
      <c r="CT39" s="267"/>
      <c r="CU39" s="267"/>
      <c r="CV39" s="267"/>
      <c r="CW39" s="267"/>
      <c r="CX39" s="267"/>
      <c r="CY39" s="267"/>
      <c r="CZ39" s="267"/>
      <c r="DA39" s="267"/>
    </row>
    <row r="40" spans="88:105">
      <c r="CJ40" s="278"/>
      <c r="CK40" s="278"/>
      <c r="CL40" s="278"/>
      <c r="CM40" s="278"/>
      <c r="CN40" s="278"/>
      <c r="CO40" s="278"/>
      <c r="CP40" s="268"/>
      <c r="CQ40" s="268"/>
      <c r="CR40" s="267"/>
      <c r="CS40" s="267"/>
      <c r="CT40" s="267"/>
      <c r="CU40" s="267"/>
      <c r="CV40" s="267"/>
      <c r="CW40" s="267"/>
      <c r="CX40" s="267"/>
      <c r="CY40" s="267"/>
      <c r="CZ40" s="267"/>
      <c r="DA40" s="267"/>
    </row>
    <row r="41" spans="88:105">
      <c r="CJ41" s="278"/>
      <c r="CK41" s="278"/>
      <c r="CL41" s="278"/>
      <c r="CM41" s="278"/>
      <c r="CN41" s="278"/>
      <c r="CO41" s="278"/>
      <c r="CP41" s="268"/>
      <c r="CQ41" s="268"/>
      <c r="CR41" s="267"/>
      <c r="CS41" s="267"/>
      <c r="CT41" s="267"/>
      <c r="CU41" s="267"/>
      <c r="CV41" s="267"/>
      <c r="CW41" s="267"/>
      <c r="CX41" s="267"/>
      <c r="CY41" s="267"/>
      <c r="CZ41" s="267"/>
      <c r="DA41" s="267"/>
    </row>
    <row r="42" spans="88:105">
      <c r="CJ42" s="278"/>
      <c r="CK42" s="278"/>
      <c r="CL42" s="278"/>
      <c r="CM42" s="278"/>
      <c r="CN42" s="278"/>
      <c r="CO42" s="278"/>
      <c r="CP42" s="268"/>
      <c r="CQ42" s="268"/>
      <c r="CR42" s="267"/>
      <c r="CS42" s="267"/>
      <c r="CT42" s="267"/>
      <c r="CU42" s="267"/>
      <c r="CV42" s="267"/>
      <c r="CW42" s="267"/>
      <c r="CX42" s="267"/>
      <c r="CY42" s="267"/>
      <c r="CZ42" s="267"/>
      <c r="DA42" s="267"/>
    </row>
    <row r="43" spans="88:105">
      <c r="CJ43" s="278"/>
      <c r="CK43" s="278"/>
      <c r="CL43" s="278"/>
      <c r="CM43" s="278"/>
      <c r="CN43" s="278"/>
      <c r="CO43" s="278"/>
      <c r="CP43" s="268"/>
      <c r="CQ43" s="268"/>
      <c r="CR43" s="267"/>
      <c r="CS43" s="267"/>
      <c r="CT43" s="267"/>
      <c r="CU43" s="267"/>
      <c r="CV43" s="267"/>
      <c r="CW43" s="267"/>
      <c r="CX43" s="267"/>
      <c r="CY43" s="267"/>
      <c r="CZ43" s="267"/>
      <c r="DA43" s="267"/>
    </row>
    <row r="44" spans="88:105">
      <c r="CJ44" s="278"/>
      <c r="CK44" s="278"/>
      <c r="CL44" s="278"/>
      <c r="CM44" s="278"/>
      <c r="CN44" s="278"/>
      <c r="CO44" s="278"/>
      <c r="CP44" s="268"/>
      <c r="CQ44" s="268"/>
      <c r="CR44" s="341"/>
      <c r="CS44" s="341"/>
      <c r="CT44" s="341"/>
      <c r="CU44" s="341"/>
      <c r="CV44" s="341"/>
      <c r="CW44" s="341"/>
      <c r="CX44" s="341"/>
      <c r="CY44" s="341"/>
      <c r="CZ44" s="341"/>
      <c r="DA44" s="341"/>
    </row>
    <row r="45" spans="88:105">
      <c r="CJ45" s="278"/>
      <c r="CK45" s="278"/>
      <c r="CL45" s="278"/>
      <c r="CM45" s="278"/>
      <c r="CN45" s="278"/>
      <c r="CO45" s="278"/>
      <c r="CP45" s="268"/>
      <c r="CQ45" s="268"/>
      <c r="CR45" s="267"/>
      <c r="CS45" s="267"/>
      <c r="CT45" s="267"/>
      <c r="CU45" s="267"/>
      <c r="CV45" s="267"/>
      <c r="CW45" s="267"/>
      <c r="CX45" s="267"/>
      <c r="CY45" s="267"/>
      <c r="CZ45" s="267"/>
      <c r="DA45" s="267"/>
    </row>
    <row r="46" spans="88:105">
      <c r="CJ46" s="278"/>
      <c r="CK46" s="278"/>
      <c r="CL46" s="278"/>
      <c r="CM46" s="278"/>
      <c r="CN46" s="278"/>
      <c r="CO46" s="278"/>
      <c r="CP46" s="268"/>
      <c r="CQ46" s="268"/>
      <c r="CR46" s="267"/>
      <c r="CS46" s="267"/>
      <c r="CT46" s="267"/>
      <c r="CU46" s="267"/>
      <c r="CV46" s="267"/>
      <c r="CW46" s="267"/>
      <c r="CX46" s="267"/>
      <c r="CY46" s="267"/>
      <c r="CZ46" s="267"/>
      <c r="DA46" s="267"/>
    </row>
    <row r="47" spans="88:105">
      <c r="CJ47" s="278"/>
      <c r="CK47" s="278"/>
      <c r="CL47" s="278"/>
      <c r="CM47" s="278"/>
      <c r="CN47" s="278"/>
      <c r="CO47" s="278"/>
      <c r="CP47" s="268"/>
      <c r="CQ47" s="268"/>
      <c r="CR47" s="267"/>
      <c r="CS47" s="267"/>
      <c r="CT47" s="267"/>
      <c r="CU47" s="267"/>
      <c r="CV47" s="267"/>
      <c r="CW47" s="267"/>
      <c r="CX47" s="267"/>
      <c r="CY47" s="267"/>
      <c r="CZ47" s="267"/>
      <c r="DA47" s="267"/>
    </row>
    <row r="48" spans="88:105">
      <c r="CJ48" s="278"/>
      <c r="CK48" s="278"/>
      <c r="CL48" s="278"/>
      <c r="CM48" s="278"/>
      <c r="CN48" s="278"/>
      <c r="CO48" s="278"/>
      <c r="CP48" s="268"/>
      <c r="CQ48" s="268"/>
      <c r="CR48" s="267"/>
      <c r="CS48" s="267"/>
      <c r="CT48" s="267"/>
      <c r="CU48" s="267"/>
      <c r="CV48" s="267"/>
      <c r="CW48" s="267"/>
      <c r="CX48" s="267"/>
      <c r="CY48" s="267"/>
      <c r="CZ48" s="267"/>
      <c r="DA48" s="267"/>
    </row>
    <row r="49" spans="88:105">
      <c r="CJ49" s="278"/>
      <c r="CK49" s="278"/>
      <c r="CL49" s="278"/>
      <c r="CM49" s="278"/>
      <c r="CN49" s="278"/>
      <c r="CO49" s="278"/>
      <c r="CP49" s="268"/>
      <c r="CQ49" s="268"/>
      <c r="CR49" s="267"/>
      <c r="CS49" s="267"/>
      <c r="CT49" s="267"/>
      <c r="CU49" s="267"/>
      <c r="CV49" s="267"/>
      <c r="CW49" s="267"/>
      <c r="CX49" s="267"/>
      <c r="CY49" s="267"/>
      <c r="CZ49" s="267"/>
      <c r="DA49" s="267"/>
    </row>
    <row r="50" spans="88:105">
      <c r="CJ50" s="278"/>
      <c r="CK50" s="278"/>
      <c r="CL50" s="278"/>
      <c r="CM50" s="278"/>
      <c r="CN50" s="278"/>
      <c r="CO50" s="278"/>
      <c r="CP50" s="268"/>
      <c r="CQ50" s="268"/>
      <c r="CR50" s="267"/>
      <c r="CS50" s="267"/>
      <c r="CT50" s="267"/>
      <c r="CU50" s="267"/>
      <c r="CV50" s="267"/>
      <c r="CW50" s="267"/>
      <c r="CX50" s="267"/>
      <c r="CY50" s="267"/>
      <c r="CZ50" s="267"/>
      <c r="DA50" s="267"/>
    </row>
    <row r="51" spans="88:105">
      <c r="CJ51" s="278"/>
      <c r="CK51" s="278"/>
      <c r="CL51" s="278"/>
      <c r="CM51" s="278"/>
      <c r="CN51" s="278"/>
      <c r="CO51" s="278"/>
      <c r="CP51" s="268"/>
      <c r="CQ51" s="268"/>
      <c r="CR51" s="267"/>
      <c r="CS51" s="267"/>
      <c r="CT51" s="267"/>
      <c r="CU51" s="267"/>
      <c r="CV51" s="267"/>
      <c r="CW51" s="267"/>
      <c r="CX51" s="267"/>
      <c r="CY51" s="267"/>
      <c r="CZ51" s="267"/>
      <c r="DA51" s="267"/>
    </row>
    <row r="52" spans="88:105">
      <c r="CJ52" s="278"/>
      <c r="CK52" s="278"/>
      <c r="CL52" s="278"/>
      <c r="CM52" s="278"/>
      <c r="CN52" s="278"/>
      <c r="CO52" s="278"/>
      <c r="CP52" s="268"/>
      <c r="CQ52" s="268"/>
      <c r="CR52" s="267"/>
      <c r="CS52" s="267"/>
      <c r="CT52" s="267"/>
      <c r="CU52" s="267"/>
      <c r="CV52" s="267"/>
      <c r="CW52" s="267"/>
      <c r="CX52" s="267"/>
      <c r="CY52" s="267"/>
      <c r="CZ52" s="267"/>
      <c r="DA52" s="267"/>
    </row>
    <row r="53" spans="88:105">
      <c r="CJ53" s="278"/>
      <c r="CK53" s="278"/>
      <c r="CL53" s="278"/>
      <c r="CM53" s="278"/>
      <c r="CN53" s="278"/>
      <c r="CO53" s="278"/>
      <c r="CP53" s="268"/>
      <c r="CQ53" s="268"/>
      <c r="CR53" s="267"/>
      <c r="CS53" s="267"/>
      <c r="CT53" s="267"/>
      <c r="CU53" s="267"/>
      <c r="CV53" s="267"/>
      <c r="CW53" s="267"/>
      <c r="CX53" s="267"/>
      <c r="CY53" s="267"/>
      <c r="CZ53" s="267"/>
      <c r="DA53" s="267"/>
    </row>
    <row r="54" spans="88:105">
      <c r="CJ54" s="278"/>
      <c r="CK54" s="278"/>
      <c r="CL54" s="278"/>
      <c r="CM54" s="278"/>
      <c r="CN54" s="278"/>
      <c r="CO54" s="278"/>
      <c r="CP54" s="268"/>
      <c r="CQ54" s="268"/>
      <c r="CR54" s="267"/>
      <c r="CS54" s="267"/>
      <c r="CT54" s="267"/>
      <c r="CU54" s="267"/>
      <c r="CV54" s="267"/>
      <c r="CW54" s="267"/>
      <c r="CX54" s="267"/>
      <c r="CY54" s="267"/>
      <c r="CZ54" s="267"/>
      <c r="DA54" s="267"/>
    </row>
    <row r="55" spans="88:105">
      <c r="CJ55" s="278"/>
      <c r="CK55" s="278"/>
      <c r="CL55" s="278"/>
      <c r="CM55" s="278"/>
      <c r="CN55" s="278"/>
      <c r="CO55" s="278"/>
      <c r="CP55" s="268"/>
      <c r="CQ55" s="268"/>
      <c r="CR55" s="267"/>
      <c r="CS55" s="267"/>
      <c r="CT55" s="267"/>
      <c r="CU55" s="267"/>
      <c r="CV55" s="267"/>
      <c r="CW55" s="267"/>
      <c r="CX55" s="267"/>
      <c r="CY55" s="267"/>
      <c r="CZ55" s="267"/>
      <c r="DA55" s="267"/>
    </row>
    <row r="56" spans="88:105">
      <c r="CJ56" s="278"/>
      <c r="CK56" s="278"/>
      <c r="CL56" s="278"/>
      <c r="CM56" s="278"/>
      <c r="CN56" s="278"/>
      <c r="CO56" s="278"/>
      <c r="CP56" s="268"/>
      <c r="CQ56" s="268"/>
      <c r="CR56" s="267"/>
      <c r="CS56" s="267"/>
      <c r="CT56" s="267"/>
      <c r="CU56" s="267"/>
      <c r="CV56" s="267"/>
      <c r="CW56" s="267"/>
      <c r="CX56" s="267"/>
      <c r="CY56" s="267"/>
      <c r="CZ56" s="267"/>
      <c r="DA56" s="267"/>
    </row>
    <row r="57" spans="88:105">
      <c r="CJ57" s="278"/>
      <c r="CK57" s="278"/>
      <c r="CL57" s="278"/>
      <c r="CM57" s="278"/>
      <c r="CN57" s="278"/>
      <c r="CO57" s="278"/>
      <c r="CP57" s="268"/>
      <c r="CQ57" s="268"/>
      <c r="CR57" s="267"/>
      <c r="CS57" s="267"/>
      <c r="CT57" s="267"/>
      <c r="CU57" s="267"/>
      <c r="CV57" s="267"/>
      <c r="CW57" s="267"/>
      <c r="CX57" s="267"/>
      <c r="CY57" s="267"/>
      <c r="CZ57" s="267"/>
      <c r="DA57" s="267"/>
    </row>
    <row r="58" spans="88:105">
      <c r="CJ58" s="278"/>
      <c r="CK58" s="278"/>
      <c r="CL58" s="278"/>
      <c r="CM58" s="278"/>
      <c r="CN58" s="278"/>
      <c r="CO58" s="278"/>
      <c r="CP58" s="268"/>
      <c r="CQ58" s="268"/>
      <c r="CR58" s="267"/>
      <c r="CS58" s="267"/>
      <c r="CT58" s="267"/>
      <c r="CU58" s="267"/>
      <c r="CV58" s="267"/>
      <c r="CW58" s="267"/>
      <c r="CX58" s="267"/>
      <c r="CY58" s="267"/>
      <c r="CZ58" s="267"/>
      <c r="DA58" s="267"/>
    </row>
    <row r="59" spans="88:105">
      <c r="CJ59" s="278"/>
      <c r="CK59" s="278"/>
      <c r="CL59" s="278"/>
      <c r="CM59" s="278"/>
      <c r="CN59" s="278"/>
      <c r="CO59" s="278"/>
      <c r="CP59" s="268"/>
      <c r="CQ59" s="268"/>
      <c r="CR59" s="267"/>
      <c r="CS59" s="267"/>
      <c r="CT59" s="267"/>
      <c r="CU59" s="267"/>
      <c r="CV59" s="267"/>
      <c r="CW59" s="267"/>
      <c r="CX59" s="267"/>
      <c r="CY59" s="267"/>
      <c r="CZ59" s="267"/>
      <c r="DA59" s="267"/>
    </row>
    <row r="60" spans="88:105">
      <c r="CJ60" s="278"/>
      <c r="CK60" s="278"/>
      <c r="CL60" s="278"/>
      <c r="CM60" s="278"/>
      <c r="CN60" s="278"/>
      <c r="CO60" s="278"/>
      <c r="CP60" s="268"/>
      <c r="CQ60" s="268"/>
      <c r="CR60" s="267"/>
      <c r="CS60" s="267"/>
      <c r="CT60" s="267"/>
      <c r="CU60" s="267"/>
      <c r="CV60" s="267"/>
      <c r="CW60" s="267"/>
      <c r="CX60" s="267"/>
      <c r="CY60" s="267"/>
      <c r="CZ60" s="267"/>
      <c r="DA60" s="267"/>
    </row>
    <row r="61" spans="88:105">
      <c r="CJ61" s="278"/>
      <c r="CK61" s="278"/>
      <c r="CL61" s="278"/>
      <c r="CM61" s="278"/>
      <c r="CN61" s="278"/>
      <c r="CO61" s="278"/>
      <c r="CP61" s="268"/>
      <c r="CQ61" s="268"/>
      <c r="CR61" s="267"/>
      <c r="CS61" s="267"/>
      <c r="CT61" s="267"/>
      <c r="CU61" s="267"/>
      <c r="CV61" s="267"/>
      <c r="CW61" s="267"/>
      <c r="CX61" s="267"/>
      <c r="CY61" s="267"/>
      <c r="CZ61" s="267"/>
      <c r="DA61" s="267"/>
    </row>
    <row r="62" spans="88:105">
      <c r="CJ62" s="278"/>
      <c r="CK62" s="278"/>
      <c r="CL62" s="278"/>
      <c r="CM62" s="278"/>
      <c r="CN62" s="278"/>
      <c r="CO62" s="278"/>
      <c r="CP62" s="268"/>
      <c r="CQ62" s="268"/>
      <c r="CR62" s="267"/>
      <c r="CS62" s="267"/>
      <c r="CT62" s="267"/>
      <c r="CU62" s="267"/>
      <c r="CV62" s="267"/>
      <c r="CW62" s="267"/>
      <c r="CX62" s="267"/>
      <c r="CY62" s="267"/>
      <c r="CZ62" s="267"/>
      <c r="DA62" s="267"/>
    </row>
    <row r="63" spans="88:105">
      <c r="CJ63" s="278"/>
      <c r="CK63" s="278"/>
      <c r="CL63" s="278"/>
      <c r="CM63" s="278"/>
      <c r="CN63" s="278"/>
      <c r="CO63" s="278"/>
      <c r="CP63" s="268"/>
      <c r="CQ63" s="268"/>
      <c r="CR63" s="267"/>
      <c r="CS63" s="267"/>
      <c r="CT63" s="267"/>
      <c r="CU63" s="267"/>
      <c r="CV63" s="267"/>
      <c r="CW63" s="267"/>
      <c r="CX63" s="267"/>
      <c r="CY63" s="267"/>
      <c r="CZ63" s="267"/>
      <c r="DA63" s="267"/>
    </row>
    <row r="64" spans="88:105">
      <c r="CJ64" s="278"/>
      <c r="CK64" s="278"/>
      <c r="CL64" s="278"/>
      <c r="CM64" s="278"/>
      <c r="CN64" s="278"/>
      <c r="CO64" s="278"/>
      <c r="CP64" s="268"/>
      <c r="CQ64" s="268"/>
      <c r="CR64" s="267"/>
      <c r="CS64" s="267"/>
      <c r="CT64" s="267"/>
      <c r="CU64" s="267"/>
      <c r="CV64" s="267"/>
      <c r="CW64" s="267"/>
      <c r="CX64" s="267"/>
      <c r="CY64" s="267"/>
      <c r="CZ64" s="267"/>
      <c r="DA64" s="267"/>
    </row>
    <row r="65" spans="88:105">
      <c r="CJ65" s="278"/>
      <c r="CK65" s="278"/>
      <c r="CL65" s="278"/>
      <c r="CM65" s="278"/>
      <c r="CN65" s="278"/>
      <c r="CO65" s="278"/>
      <c r="CP65" s="268"/>
      <c r="CQ65" s="268"/>
      <c r="CR65" s="267"/>
      <c r="CS65" s="267"/>
      <c r="CT65" s="267"/>
      <c r="CU65" s="267"/>
      <c r="CV65" s="267"/>
      <c r="CW65" s="267"/>
      <c r="CX65" s="267"/>
      <c r="CY65" s="267"/>
      <c r="CZ65" s="267"/>
      <c r="DA65" s="267"/>
    </row>
    <row r="66" spans="88:105">
      <c r="CJ66" s="278"/>
      <c r="CK66" s="278"/>
      <c r="CL66" s="278"/>
      <c r="CM66" s="278"/>
      <c r="CN66" s="278"/>
      <c r="CO66" s="278"/>
      <c r="CP66" s="268"/>
      <c r="CQ66" s="268"/>
      <c r="CR66" s="267"/>
      <c r="CS66" s="267"/>
      <c r="CT66" s="267"/>
      <c r="CU66" s="267"/>
      <c r="CV66" s="267"/>
      <c r="CW66" s="267"/>
      <c r="CX66" s="267"/>
      <c r="CY66" s="267"/>
      <c r="CZ66" s="267"/>
      <c r="DA66" s="267"/>
    </row>
    <row r="67" spans="88:105">
      <c r="CJ67" s="278"/>
      <c r="CK67" s="278"/>
      <c r="CL67" s="278"/>
      <c r="CM67" s="278"/>
      <c r="CN67" s="278"/>
      <c r="CO67" s="278"/>
      <c r="CP67" s="268"/>
      <c r="CQ67" s="268"/>
      <c r="CR67" s="267"/>
      <c r="CS67" s="267"/>
      <c r="CT67" s="267"/>
      <c r="CU67" s="267"/>
      <c r="CV67" s="267"/>
      <c r="CW67" s="267"/>
      <c r="CX67" s="267"/>
      <c r="CY67" s="267"/>
      <c r="CZ67" s="267"/>
      <c r="DA67" s="267"/>
    </row>
    <row r="68" spans="88:105">
      <c r="CJ68" s="278"/>
      <c r="CK68" s="278"/>
      <c r="CL68" s="278"/>
      <c r="CM68" s="278"/>
      <c r="CN68" s="278"/>
      <c r="CO68" s="278"/>
      <c r="CP68" s="268"/>
      <c r="CQ68" s="268"/>
      <c r="CR68" s="267"/>
      <c r="CS68" s="267"/>
      <c r="CT68" s="267"/>
      <c r="CU68" s="267"/>
      <c r="CV68" s="267"/>
      <c r="CW68" s="267"/>
      <c r="CX68" s="267"/>
      <c r="CY68" s="267"/>
      <c r="CZ68" s="267"/>
      <c r="DA68" s="267"/>
    </row>
  </sheetData>
  <mergeCells count="1">
    <mergeCell ref="CJ14:DA14"/>
  </mergeCells>
  <conditionalFormatting sqref="Z17:Z21">
    <cfRule type="cellIs" dxfId="16" priority="2" operator="greaterThan">
      <formula>0.2599</formula>
    </cfRule>
  </conditionalFormatting>
  <conditionalFormatting sqref="AM17:AM21">
    <cfRule type="cellIs" dxfId="15" priority="3" operator="lessThan">
      <formula>0</formula>
    </cfRule>
  </conditionalFormatting>
  <dataValidations count="1">
    <dataValidation type="decimal" operator="greaterThanOrEqual" allowBlank="1" sqref="W17:W20" xr:uid="{00000000-0002-0000-0200-000000000000}">
      <formula1>0</formula1>
      <formula2>0</formula2>
    </dataValidation>
  </dataValidations>
  <hyperlinks>
    <hyperlink ref="N17" r:id="rId1" xr:uid="{00000000-0004-0000-0200-000000000000}"/>
    <hyperlink ref="N18" r:id="rId2" xr:uid="{00000000-0004-0000-0200-000001000000}"/>
    <hyperlink ref="N19" r:id="rId3" xr:uid="{00000000-0004-0000-0200-000002000000}"/>
    <hyperlink ref="N20" r:id="rId4" xr:uid="{00000000-0004-0000-0200-000003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A68"/>
  <sheetViews>
    <sheetView topLeftCell="A7" zoomScale="40" zoomScaleNormal="40" workbookViewId="0">
      <pane xSplit="7" ySplit="10" topLeftCell="V25" activePane="bottomRight" state="frozen"/>
      <selection pane="bottomRight" activeCell="A12" sqref="A12"/>
      <selection pane="bottomLeft" activeCell="A17" sqref="A17"/>
      <selection pane="topRight" activeCell="H7" sqref="H7"/>
    </sheetView>
  </sheetViews>
  <sheetFormatPr defaultColWidth="11.5703125" defaultRowHeight="27.6"/>
  <cols>
    <col min="1" max="1" width="30.5703125" bestFit="1" customWidth="1"/>
    <col min="2" max="2" width="41.5703125" bestFit="1" customWidth="1"/>
    <col min="3" max="3" width="40.85546875" bestFit="1" customWidth="1"/>
    <col min="4" max="4" width="21.28515625" bestFit="1" customWidth="1"/>
    <col min="5" max="5" width="33.85546875" bestFit="1" customWidth="1"/>
    <col min="6" max="6" width="33.5703125" bestFit="1" customWidth="1"/>
    <col min="7" max="7" width="43.5703125" bestFit="1" customWidth="1"/>
    <col min="8" max="8" width="45.28515625" customWidth="1"/>
    <col min="9" max="9" width="24.28515625" bestFit="1" customWidth="1"/>
    <col min="10" max="10" width="16.42578125" bestFit="1" customWidth="1"/>
    <col min="11" max="11" width="34.85546875" bestFit="1" customWidth="1"/>
    <col min="12" max="12" width="11.140625" bestFit="1" customWidth="1"/>
    <col min="13" max="13" width="25.42578125" bestFit="1" customWidth="1"/>
    <col min="14" max="14" width="18.5703125" bestFit="1" customWidth="1"/>
    <col min="15" max="15" width="35.85546875" bestFit="1" customWidth="1"/>
    <col min="16" max="16" width="42" bestFit="1" customWidth="1"/>
    <col min="17" max="17" width="21.5703125" bestFit="1" customWidth="1"/>
    <col min="18" max="18" width="33.140625" bestFit="1" customWidth="1"/>
    <col min="19" max="19" width="21.5703125" bestFit="1" customWidth="1"/>
    <col min="20" max="20" width="42.5703125" bestFit="1" customWidth="1"/>
    <col min="21" max="21" width="43.140625" bestFit="1" customWidth="1"/>
    <col min="22" max="22" width="40.85546875" bestFit="1" customWidth="1"/>
    <col min="23" max="23" width="34.7109375" bestFit="1" customWidth="1"/>
    <col min="24" max="24" width="29" bestFit="1" customWidth="1"/>
    <col min="25" max="25" width="40.42578125" bestFit="1" customWidth="1"/>
    <col min="26" max="26" width="34.140625" bestFit="1" customWidth="1"/>
    <col min="27" max="27" width="28.85546875" bestFit="1" customWidth="1"/>
    <col min="28" max="28" width="31.140625" bestFit="1" customWidth="1"/>
    <col min="29" max="29" width="12.140625" bestFit="1" customWidth="1"/>
    <col min="30" max="30" width="15.42578125" bestFit="1" customWidth="1"/>
    <col min="31" max="31" width="37.42578125" style="272" customWidth="1"/>
    <col min="32" max="32" width="37.42578125" customWidth="1"/>
    <col min="33" max="33" width="28.42578125" customWidth="1"/>
    <col min="34" max="34" width="44" customWidth="1"/>
    <col min="35" max="35" width="40.85546875" bestFit="1" customWidth="1"/>
    <col min="36" max="36" width="34.7109375" bestFit="1" customWidth="1"/>
    <col min="37" max="37" width="29" bestFit="1" customWidth="1"/>
    <col min="38" max="38" width="40.42578125" bestFit="1" customWidth="1"/>
    <col min="39" max="39" width="25.7109375" bestFit="1" customWidth="1"/>
    <col min="53" max="64" width="34.5703125" customWidth="1"/>
    <col min="65" max="69" width="11" style="168" customWidth="1"/>
    <col min="70" max="72" width="42" style="277" customWidth="1"/>
    <col min="88" max="93" width="35.42578125" style="279" customWidth="1"/>
    <col min="94" max="105" width="35.42578125" style="266" customWidth="1"/>
  </cols>
  <sheetData>
    <row r="1" spans="1:105" ht="27.95">
      <c r="A1" s="8"/>
      <c r="B1" s="9" t="s">
        <v>13</v>
      </c>
      <c r="C1" s="189" t="s">
        <v>77</v>
      </c>
      <c r="D1" s="166"/>
      <c r="E1" s="166"/>
      <c r="F1" s="166"/>
      <c r="G1" s="165"/>
      <c r="H1" s="166"/>
      <c r="I1" s="166"/>
      <c r="J1" s="166"/>
      <c r="K1" s="166"/>
      <c r="L1" s="166"/>
      <c r="M1" s="166"/>
      <c r="N1" s="166"/>
      <c r="O1" s="166"/>
      <c r="P1" s="167"/>
      <c r="Q1" s="166"/>
      <c r="R1" s="166"/>
      <c r="S1" s="166"/>
      <c r="T1" s="166"/>
      <c r="U1" s="166"/>
      <c r="V1" s="167"/>
      <c r="W1" s="166"/>
      <c r="X1" s="166"/>
      <c r="Y1" s="166"/>
      <c r="Z1" s="166"/>
      <c r="AA1" s="166"/>
      <c r="AB1" s="166"/>
      <c r="AC1" s="166"/>
      <c r="AD1" s="166"/>
      <c r="AE1" s="166"/>
      <c r="AF1" s="166"/>
      <c r="AG1" s="166"/>
      <c r="AH1" s="168"/>
      <c r="AI1" s="166"/>
      <c r="AJ1" s="166"/>
      <c r="AK1" s="166"/>
      <c r="AL1" s="166"/>
      <c r="AM1" s="166"/>
      <c r="AN1" s="168"/>
      <c r="AO1" s="168"/>
      <c r="AP1" s="168"/>
      <c r="AQ1" s="168"/>
      <c r="AR1" s="168"/>
      <c r="AS1" s="168"/>
      <c r="AT1" s="168"/>
      <c r="AU1" s="168"/>
      <c r="AV1" s="168"/>
      <c r="AW1" s="168"/>
      <c r="AX1" s="168"/>
      <c r="AY1" s="168"/>
      <c r="AZ1" s="168"/>
      <c r="BA1" s="165"/>
      <c r="BB1" s="165"/>
      <c r="BC1" s="165"/>
      <c r="BD1" s="165"/>
      <c r="BE1" s="165"/>
      <c r="BF1" s="165"/>
      <c r="BG1" s="165"/>
      <c r="BH1" s="165"/>
      <c r="BI1" s="165"/>
      <c r="BJ1" s="165"/>
      <c r="BK1" s="165"/>
      <c r="BL1" s="165"/>
      <c r="BM1" s="165"/>
      <c r="BN1" s="165"/>
      <c r="BO1" s="165"/>
      <c r="BP1" s="165"/>
      <c r="BQ1" s="165"/>
      <c r="CJ1" s="165"/>
      <c r="CK1" s="165"/>
      <c r="CL1" s="165"/>
      <c r="CM1" s="165"/>
      <c r="CN1" s="165"/>
      <c r="CO1" s="165"/>
      <c r="CP1" s="165"/>
      <c r="CQ1" s="165"/>
      <c r="CR1" s="165"/>
      <c r="CS1" s="165"/>
      <c r="CT1" s="165"/>
      <c r="CU1" s="165"/>
      <c r="CV1" s="165"/>
      <c r="CW1" s="165"/>
      <c r="CX1" s="165"/>
      <c r="CY1" s="165"/>
      <c r="CZ1" s="165"/>
      <c r="DA1" s="165"/>
    </row>
    <row r="2" spans="1:105" ht="27.95">
      <c r="A2" s="398" t="s">
        <v>613</v>
      </c>
      <c r="B2" s="398"/>
      <c r="C2" s="14"/>
      <c r="D2" s="166"/>
      <c r="E2" s="166"/>
      <c r="F2" s="166"/>
      <c r="G2" s="165"/>
      <c r="H2" s="166"/>
      <c r="I2" s="166"/>
      <c r="J2" s="166"/>
      <c r="K2" s="166"/>
      <c r="L2" s="166"/>
      <c r="M2" s="166"/>
      <c r="N2" s="166"/>
      <c r="O2" s="166"/>
      <c r="P2" s="167"/>
      <c r="Q2" s="166"/>
      <c r="R2" s="166"/>
      <c r="S2" s="166"/>
      <c r="T2" s="166"/>
      <c r="U2" s="166"/>
      <c r="V2" s="167"/>
      <c r="W2" s="166"/>
      <c r="X2" s="166"/>
      <c r="Y2" s="166"/>
      <c r="Z2" s="166"/>
      <c r="AA2" s="166"/>
      <c r="AB2" s="166"/>
      <c r="AC2" s="166"/>
      <c r="AD2" s="166"/>
      <c r="AE2" s="166"/>
      <c r="AF2" s="166"/>
      <c r="AG2" s="166"/>
      <c r="AH2" s="168"/>
      <c r="AI2" s="166"/>
      <c r="AJ2" s="166"/>
      <c r="AK2" s="166"/>
      <c r="AL2" s="166"/>
      <c r="AM2" s="166"/>
      <c r="AN2" s="168"/>
      <c r="AO2" s="168"/>
      <c r="AP2" s="168"/>
      <c r="AQ2" s="168"/>
      <c r="AR2" s="168"/>
      <c r="AS2" s="168"/>
      <c r="AT2" s="168"/>
      <c r="AU2" s="168"/>
      <c r="AV2" s="168"/>
      <c r="AW2" s="168"/>
      <c r="AX2" s="168"/>
      <c r="AY2" s="168"/>
      <c r="AZ2" s="168"/>
      <c r="BA2" s="165"/>
      <c r="BB2" s="165"/>
      <c r="BC2" s="165"/>
      <c r="BD2" s="165"/>
      <c r="BE2" s="165"/>
      <c r="BF2" s="165"/>
      <c r="BG2" s="165"/>
      <c r="BH2" s="165"/>
      <c r="BI2" s="165"/>
      <c r="BJ2" s="165"/>
      <c r="BK2" s="165"/>
      <c r="BL2" s="165"/>
      <c r="BM2" s="165"/>
      <c r="BN2" s="165"/>
      <c r="BO2" s="165"/>
      <c r="BP2" s="165"/>
      <c r="BQ2" s="165"/>
      <c r="CJ2" s="165"/>
      <c r="CK2" s="165"/>
      <c r="CL2" s="165"/>
      <c r="CM2" s="165"/>
      <c r="CN2" s="165"/>
      <c r="CO2" s="165"/>
      <c r="CP2" s="165"/>
      <c r="CQ2" s="165"/>
      <c r="CR2" s="165"/>
      <c r="CS2" s="165"/>
      <c r="CT2" s="165"/>
      <c r="CU2" s="165"/>
      <c r="CV2" s="165"/>
      <c r="CW2" s="165"/>
      <c r="CX2" s="165"/>
      <c r="CY2" s="165"/>
      <c r="CZ2" s="165"/>
      <c r="DA2" s="165"/>
    </row>
    <row r="3" spans="1:105" ht="27.95">
      <c r="A3" s="7" t="s">
        <v>251</v>
      </c>
      <c r="B3" s="15">
        <v>46101</v>
      </c>
      <c r="C3" s="170">
        <v>46119</v>
      </c>
      <c r="D3" s="166"/>
      <c r="E3" s="166"/>
      <c r="F3" s="166"/>
      <c r="G3" s="165"/>
      <c r="H3" s="166"/>
      <c r="I3" s="166"/>
      <c r="J3" s="166"/>
      <c r="K3" s="166"/>
      <c r="L3" s="166"/>
      <c r="M3" s="166"/>
      <c r="N3" s="166"/>
      <c r="O3" s="166"/>
      <c r="P3" s="167"/>
      <c r="Q3" s="166"/>
      <c r="R3" s="166"/>
      <c r="S3" s="166"/>
      <c r="T3" s="166"/>
      <c r="U3" s="166"/>
      <c r="V3" s="167"/>
      <c r="W3" s="166"/>
      <c r="X3" s="166"/>
      <c r="Y3" s="166"/>
      <c r="Z3" s="166"/>
      <c r="AA3" s="166"/>
      <c r="AB3" s="166"/>
      <c r="AC3" s="166"/>
      <c r="AD3" s="166"/>
      <c r="AE3" s="166"/>
      <c r="AF3" s="166"/>
      <c r="AG3" s="166"/>
      <c r="AH3" s="168"/>
      <c r="AI3" s="166"/>
      <c r="AJ3" s="166"/>
      <c r="AK3" s="166"/>
      <c r="AL3" s="166"/>
      <c r="AM3" s="166"/>
      <c r="AN3" s="168"/>
      <c r="AO3" s="168"/>
      <c r="AP3" s="168"/>
      <c r="AQ3" s="168"/>
      <c r="AR3" s="168"/>
      <c r="AS3" s="168"/>
      <c r="AT3" s="168"/>
      <c r="AU3" s="168"/>
      <c r="AV3" s="168"/>
      <c r="AW3" s="168"/>
      <c r="AX3" s="168"/>
      <c r="AY3" s="168"/>
      <c r="AZ3" s="168"/>
      <c r="BA3" s="165"/>
      <c r="BB3" s="165"/>
      <c r="BC3" s="165"/>
      <c r="BD3" s="165"/>
      <c r="BE3" s="165"/>
      <c r="BF3" s="165"/>
      <c r="BG3" s="165"/>
      <c r="BH3" s="165"/>
      <c r="BI3" s="165"/>
      <c r="BJ3" s="165"/>
      <c r="BK3" s="165"/>
      <c r="BL3" s="165"/>
      <c r="BM3" s="165"/>
      <c r="BN3" s="165"/>
      <c r="BO3" s="165"/>
      <c r="BP3" s="165"/>
      <c r="BQ3" s="165"/>
      <c r="CJ3" s="165"/>
      <c r="CK3" s="165"/>
      <c r="CL3" s="165"/>
      <c r="CM3" s="165"/>
      <c r="CN3" s="165"/>
      <c r="CO3" s="165"/>
      <c r="CP3" s="165"/>
      <c r="CQ3" s="165"/>
      <c r="CR3" s="165"/>
      <c r="CS3" s="165"/>
      <c r="CT3" s="165"/>
      <c r="CU3" s="165"/>
      <c r="CV3" s="165"/>
      <c r="CW3" s="165"/>
      <c r="CX3" s="165"/>
      <c r="CY3" s="165"/>
      <c r="CZ3" s="165"/>
      <c r="DA3" s="165"/>
    </row>
    <row r="4" spans="1:105" ht="27.95">
      <c r="A4" s="52"/>
      <c r="B4" s="53"/>
      <c r="C4" s="190"/>
      <c r="D4" s="166"/>
      <c r="E4" s="166"/>
      <c r="F4" s="166"/>
      <c r="G4" s="165"/>
      <c r="H4" s="166"/>
      <c r="I4" s="166"/>
      <c r="J4" s="166"/>
      <c r="K4" s="166"/>
      <c r="L4" s="166"/>
      <c r="M4" s="166"/>
      <c r="N4" s="166"/>
      <c r="O4" s="166"/>
      <c r="P4" s="167"/>
      <c r="Q4" s="166"/>
      <c r="R4" s="166"/>
      <c r="S4" s="166"/>
      <c r="T4" s="166"/>
      <c r="U4" s="166"/>
      <c r="V4" s="167"/>
      <c r="W4" s="166"/>
      <c r="X4" s="166"/>
      <c r="Y4" s="166"/>
      <c r="Z4" s="166"/>
      <c r="AA4" s="166"/>
      <c r="AB4" s="166"/>
      <c r="AC4" s="166"/>
      <c r="AD4" s="166"/>
      <c r="AE4" s="166"/>
      <c r="AF4" s="166"/>
      <c r="AG4" s="166"/>
      <c r="AH4" s="168"/>
      <c r="AI4" s="166"/>
      <c r="AJ4" s="166"/>
      <c r="AK4" s="166"/>
      <c r="AL4" s="166"/>
      <c r="AM4" s="166"/>
      <c r="AN4" s="168"/>
      <c r="AO4" s="168"/>
      <c r="AP4" s="168"/>
      <c r="AQ4" s="168"/>
      <c r="AR4" s="168"/>
      <c r="AS4" s="168"/>
      <c r="AT4" s="168"/>
      <c r="AU4" s="168"/>
      <c r="AV4" s="168"/>
      <c r="AW4" s="168"/>
      <c r="AX4" s="168"/>
      <c r="AY4" s="168"/>
      <c r="AZ4" s="168"/>
      <c r="BA4" s="165"/>
      <c r="BB4" s="165"/>
      <c r="BC4" s="165"/>
      <c r="BD4" s="165"/>
      <c r="BE4" s="165"/>
      <c r="BF4" s="165"/>
      <c r="BG4" s="165"/>
      <c r="BH4" s="165"/>
      <c r="BI4" s="165"/>
      <c r="BJ4" s="165"/>
      <c r="BK4" s="165"/>
      <c r="BL4" s="165"/>
      <c r="BM4" s="165"/>
      <c r="BN4" s="165"/>
      <c r="BO4" s="165"/>
      <c r="BP4" s="165"/>
      <c r="BQ4" s="165"/>
      <c r="CJ4" s="165"/>
      <c r="CK4" s="165"/>
      <c r="CL4" s="165"/>
      <c r="CM4" s="165"/>
      <c r="CN4" s="165"/>
      <c r="CO4" s="165"/>
      <c r="CP4" s="165"/>
      <c r="CQ4" s="165"/>
      <c r="CR4" s="165"/>
      <c r="CS4" s="165"/>
      <c r="CT4" s="165"/>
      <c r="CU4" s="165"/>
      <c r="CV4" s="165"/>
      <c r="CW4" s="165"/>
      <c r="CX4" s="165"/>
      <c r="CY4" s="165"/>
      <c r="CZ4" s="165"/>
      <c r="DA4" s="165"/>
    </row>
    <row r="5" spans="1:105" ht="27.95">
      <c r="A5" s="7" t="s">
        <v>252</v>
      </c>
      <c r="B5" s="15">
        <f>+B3+7</f>
        <v>46108</v>
      </c>
      <c r="C5" s="170">
        <f>+C3+7</f>
        <v>46126</v>
      </c>
      <c r="D5" s="166"/>
      <c r="E5" s="166"/>
      <c r="F5" s="166"/>
      <c r="G5" s="165"/>
      <c r="H5" s="166"/>
      <c r="I5" s="166"/>
      <c r="J5" s="166"/>
      <c r="K5" s="166"/>
      <c r="L5" s="166"/>
      <c r="M5" s="166"/>
      <c r="N5" s="166"/>
      <c r="O5" s="166"/>
      <c r="P5" s="167"/>
      <c r="Q5" s="166"/>
      <c r="R5" s="166"/>
      <c r="S5" s="166"/>
      <c r="T5" s="166"/>
      <c r="U5" s="166"/>
      <c r="V5" s="167"/>
      <c r="W5" s="166"/>
      <c r="X5" s="166"/>
      <c r="Y5" s="166"/>
      <c r="Z5" s="166"/>
      <c r="AA5" s="166"/>
      <c r="AB5" s="166"/>
      <c r="AC5" s="166"/>
      <c r="AD5" s="166"/>
      <c r="AE5" s="166"/>
      <c r="AF5" s="166"/>
      <c r="AG5" s="166"/>
      <c r="AH5" s="168"/>
      <c r="AI5" s="166"/>
      <c r="AJ5" s="166"/>
      <c r="AK5" s="166"/>
      <c r="AL5" s="166"/>
      <c r="AM5" s="166"/>
      <c r="AN5" s="168"/>
      <c r="AO5" s="168"/>
      <c r="AP5" s="168"/>
      <c r="AQ5" s="168"/>
      <c r="AR5" s="168"/>
      <c r="AS5" s="168"/>
      <c r="AT5" s="168"/>
      <c r="AU5" s="168"/>
      <c r="AV5" s="168"/>
      <c r="AW5" s="168"/>
      <c r="AX5" s="168"/>
      <c r="AY5" s="168"/>
      <c r="AZ5" s="168"/>
      <c r="BA5" s="165"/>
      <c r="BB5" s="165"/>
      <c r="BC5" s="165"/>
      <c r="BD5" s="165"/>
      <c r="BE5" s="165"/>
      <c r="BF5" s="165"/>
      <c r="BG5" s="165"/>
      <c r="BH5" s="165"/>
      <c r="BI5" s="165"/>
      <c r="BJ5" s="165"/>
      <c r="BK5" s="165"/>
      <c r="BL5" s="165"/>
      <c r="BM5" s="165"/>
      <c r="BN5" s="165"/>
      <c r="BO5" s="165"/>
      <c r="BP5" s="165"/>
      <c r="BQ5" s="165"/>
      <c r="CJ5" s="165"/>
      <c r="CK5" s="165"/>
      <c r="CL5" s="165"/>
      <c r="CM5" s="165"/>
      <c r="CN5" s="165"/>
      <c r="CO5" s="165"/>
      <c r="CP5" s="165"/>
      <c r="CQ5" s="165"/>
      <c r="CR5" s="165"/>
      <c r="CS5" s="165"/>
      <c r="CT5" s="165"/>
      <c r="CU5" s="165"/>
      <c r="CV5" s="165"/>
      <c r="CW5" s="165"/>
      <c r="CX5" s="165"/>
      <c r="CY5" s="165"/>
      <c r="CZ5" s="165"/>
      <c r="DA5" s="165"/>
    </row>
    <row r="6" spans="1:105" ht="27.95">
      <c r="A6" s="7" t="s">
        <v>253</v>
      </c>
      <c r="B6" s="15">
        <f>+B5+5</f>
        <v>46113</v>
      </c>
      <c r="C6" s="170">
        <f>+C5+5</f>
        <v>46131</v>
      </c>
      <c r="D6" s="166"/>
      <c r="E6" s="166"/>
      <c r="F6" s="166"/>
      <c r="G6" s="165"/>
      <c r="H6" s="166"/>
      <c r="I6" s="166"/>
      <c r="J6" s="166"/>
      <c r="K6" s="166"/>
      <c r="L6" s="166"/>
      <c r="M6" s="166"/>
      <c r="N6" s="166"/>
      <c r="O6" s="166"/>
      <c r="P6" s="167"/>
      <c r="Q6" s="166"/>
      <c r="R6" s="166"/>
      <c r="S6" s="166"/>
      <c r="T6" s="166"/>
      <c r="U6" s="166"/>
      <c r="V6" s="167"/>
      <c r="W6" s="166"/>
      <c r="X6" s="166"/>
      <c r="Y6" s="166"/>
      <c r="Z6" s="166"/>
      <c r="AA6" s="166"/>
      <c r="AB6" s="166"/>
      <c r="AC6" s="166"/>
      <c r="AD6" s="166"/>
      <c r="AE6" s="166"/>
      <c r="AF6" s="166"/>
      <c r="AG6" s="166"/>
      <c r="AH6" s="168"/>
      <c r="AI6" s="166"/>
      <c r="AJ6" s="166"/>
      <c r="AK6" s="166"/>
      <c r="AL6" s="166"/>
      <c r="AM6" s="166"/>
      <c r="AN6" s="168"/>
      <c r="AO6" s="168"/>
      <c r="AP6" s="168"/>
      <c r="AQ6" s="168"/>
      <c r="AR6" s="168"/>
      <c r="AS6" s="168"/>
      <c r="AT6" s="168"/>
      <c r="AU6" s="168"/>
      <c r="AV6" s="168"/>
      <c r="AW6" s="168"/>
      <c r="AX6" s="168"/>
      <c r="AY6" s="168"/>
      <c r="AZ6" s="168"/>
      <c r="BA6" s="165"/>
      <c r="BB6" s="165"/>
      <c r="BC6" s="165"/>
      <c r="BD6" s="165"/>
      <c r="BE6" s="165"/>
      <c r="BF6" s="165"/>
      <c r="BG6" s="165"/>
      <c r="BH6" s="165"/>
      <c r="BI6" s="165"/>
      <c r="BJ6" s="165"/>
      <c r="BK6" s="165"/>
      <c r="BL6" s="165"/>
      <c r="BM6" s="165"/>
      <c r="BN6" s="165"/>
      <c r="BO6" s="165"/>
      <c r="BP6" s="165"/>
      <c r="BQ6" s="165"/>
      <c r="CJ6" s="165"/>
      <c r="CK6" s="165"/>
      <c r="CL6" s="165"/>
      <c r="CM6" s="165"/>
      <c r="CN6" s="165"/>
      <c r="CO6" s="165"/>
      <c r="CP6" s="165"/>
      <c r="CQ6" s="165"/>
      <c r="CR6" s="165"/>
      <c r="CS6" s="165"/>
      <c r="CT6" s="165"/>
      <c r="CU6" s="165"/>
      <c r="CV6" s="165"/>
      <c r="CW6" s="165"/>
      <c r="CX6" s="165"/>
      <c r="CY6" s="165"/>
      <c r="CZ6" s="165"/>
      <c r="DA6" s="165"/>
    </row>
    <row r="7" spans="1:105" ht="27.95">
      <c r="A7" s="7" t="s">
        <v>254</v>
      </c>
      <c r="B7" s="15">
        <f>+B6+2</f>
        <v>46115</v>
      </c>
      <c r="C7" s="191">
        <v>46119</v>
      </c>
      <c r="D7" s="166"/>
      <c r="E7" s="166"/>
      <c r="F7" s="166"/>
      <c r="G7" s="165"/>
      <c r="H7" s="166"/>
      <c r="I7" s="166"/>
      <c r="J7" s="166"/>
      <c r="K7" s="166"/>
      <c r="L7" s="166"/>
      <c r="M7" s="166"/>
      <c r="N7" s="166"/>
      <c r="O7" s="166"/>
      <c r="P7" s="167"/>
      <c r="Q7" s="166"/>
      <c r="R7" s="166"/>
      <c r="S7" s="166"/>
      <c r="T7" s="166"/>
      <c r="U7" s="166"/>
      <c r="V7" s="167"/>
      <c r="W7" s="166"/>
      <c r="X7" s="166"/>
      <c r="Y7" s="166"/>
      <c r="Z7" s="166"/>
      <c r="AA7" s="166"/>
      <c r="AB7" s="166"/>
      <c r="AC7" s="166"/>
      <c r="AD7" s="166"/>
      <c r="AE7" s="166"/>
      <c r="AF7" s="166"/>
      <c r="AG7" s="166"/>
      <c r="AH7" s="168"/>
      <c r="AI7" s="166"/>
      <c r="AJ7" s="166"/>
      <c r="AK7" s="166"/>
      <c r="AL7" s="166"/>
      <c r="AM7" s="166"/>
      <c r="AN7" s="168"/>
      <c r="AO7" s="168"/>
      <c r="AP7" s="168"/>
      <c r="AQ7" s="168"/>
      <c r="AR7" s="168"/>
      <c r="AS7" s="168"/>
      <c r="AT7" s="168"/>
      <c r="AU7" s="168"/>
      <c r="AV7" s="168"/>
      <c r="AW7" s="168"/>
      <c r="AX7" s="168"/>
      <c r="AY7" s="168"/>
      <c r="AZ7" s="168"/>
      <c r="BA7" s="165"/>
      <c r="BB7" s="165"/>
      <c r="BC7" s="165"/>
      <c r="BD7" s="165"/>
      <c r="BE7" s="165"/>
      <c r="BF7" s="165"/>
      <c r="BG7" s="165"/>
      <c r="BH7" s="165"/>
      <c r="BI7" s="165"/>
      <c r="BJ7" s="165"/>
      <c r="BK7" s="165"/>
      <c r="BL7" s="165"/>
      <c r="BM7" s="165"/>
      <c r="BN7" s="165"/>
      <c r="BO7" s="165"/>
      <c r="BP7" s="165"/>
      <c r="BQ7" s="165"/>
      <c r="CJ7" s="165"/>
      <c r="CK7" s="165"/>
      <c r="CL7" s="165"/>
      <c r="CM7" s="165"/>
      <c r="CN7" s="165"/>
      <c r="CO7" s="165"/>
      <c r="CP7" s="165"/>
      <c r="CQ7" s="165"/>
      <c r="CR7" s="165"/>
      <c r="CS7" s="165"/>
      <c r="CT7" s="165"/>
      <c r="CU7" s="165"/>
      <c r="CV7" s="165"/>
      <c r="CW7" s="165"/>
      <c r="CX7" s="165"/>
      <c r="CY7" s="165"/>
      <c r="CZ7" s="165"/>
      <c r="DA7" s="165"/>
    </row>
    <row r="8" spans="1:105" ht="27.95">
      <c r="A8" s="7" t="s">
        <v>256</v>
      </c>
      <c r="B8" s="15">
        <f>+B7+40</f>
        <v>46155</v>
      </c>
      <c r="C8" s="170">
        <f>+C7+50</f>
        <v>46169</v>
      </c>
      <c r="D8" s="166"/>
      <c r="E8" s="166"/>
      <c r="F8" s="166"/>
      <c r="G8" s="165"/>
      <c r="H8" s="166"/>
      <c r="I8" s="166"/>
      <c r="J8" s="166"/>
      <c r="K8" s="166"/>
      <c r="L8" s="166"/>
      <c r="M8" s="166"/>
      <c r="N8" s="166"/>
      <c r="O8" s="166"/>
      <c r="P8" s="167"/>
      <c r="Q8" s="166"/>
      <c r="R8" s="166"/>
      <c r="S8" s="166"/>
      <c r="T8" s="166"/>
      <c r="U8" s="166"/>
      <c r="V8" s="167"/>
      <c r="W8" s="166"/>
      <c r="X8" s="166"/>
      <c r="Y8" s="166"/>
      <c r="Z8" s="166"/>
      <c r="AA8" s="166"/>
      <c r="AB8" s="166"/>
      <c r="AC8" s="166"/>
      <c r="AD8" s="166"/>
      <c r="AE8" s="166"/>
      <c r="AF8" s="166"/>
      <c r="AG8" s="166"/>
      <c r="AH8" s="168"/>
      <c r="AI8" s="166"/>
      <c r="AJ8" s="166"/>
      <c r="AK8" s="166"/>
      <c r="AL8" s="166"/>
      <c r="AM8" s="166"/>
      <c r="AN8" s="168"/>
      <c r="AO8" s="168"/>
      <c r="AP8" s="168"/>
      <c r="AQ8" s="168"/>
      <c r="AR8" s="168"/>
      <c r="AS8" s="168"/>
      <c r="AT8" s="168"/>
      <c r="AU8" s="168"/>
      <c r="AV8" s="168"/>
      <c r="AW8" s="168"/>
      <c r="AX8" s="168"/>
      <c r="AY8" s="168"/>
      <c r="AZ8" s="168"/>
      <c r="BA8" s="165"/>
      <c r="BB8" s="165"/>
      <c r="BC8" s="165"/>
      <c r="BD8" s="165"/>
      <c r="BE8" s="165"/>
      <c r="BF8" s="165"/>
      <c r="BG8" s="165"/>
      <c r="BH8" s="165"/>
      <c r="BI8" s="165"/>
      <c r="BJ8" s="165"/>
      <c r="BK8" s="165"/>
      <c r="BL8" s="165"/>
      <c r="BM8" s="165"/>
      <c r="BN8" s="165"/>
      <c r="BO8" s="165"/>
      <c r="BP8" s="165"/>
      <c r="BQ8" s="165"/>
      <c r="CJ8" s="165"/>
      <c r="CK8" s="165"/>
      <c r="CL8" s="165"/>
      <c r="CM8" s="165"/>
      <c r="CN8" s="165"/>
      <c r="CO8" s="165"/>
      <c r="CP8" s="165"/>
      <c r="CQ8" s="165"/>
      <c r="CR8" s="165"/>
      <c r="CS8" s="165"/>
      <c r="CT8" s="165"/>
      <c r="CU8" s="165"/>
      <c r="CV8" s="165"/>
      <c r="CW8" s="165"/>
      <c r="CX8" s="165"/>
      <c r="CY8" s="165"/>
      <c r="CZ8" s="165"/>
      <c r="DA8" s="165"/>
    </row>
    <row r="9" spans="1:105" ht="27.95">
      <c r="A9" s="7" t="s">
        <v>255</v>
      </c>
      <c r="B9" s="15">
        <f>+B8+45</f>
        <v>46200</v>
      </c>
      <c r="C9" s="170">
        <f>+C8+45</f>
        <v>46214</v>
      </c>
      <c r="D9" s="166"/>
      <c r="E9" s="166"/>
      <c r="F9" s="166"/>
      <c r="G9" s="165"/>
      <c r="H9" s="166"/>
      <c r="I9" s="166"/>
      <c r="J9" s="166"/>
      <c r="K9" s="166"/>
      <c r="L9" s="166"/>
      <c r="M9" s="166"/>
      <c r="N9" s="166"/>
      <c r="O9" s="166"/>
      <c r="P9" s="167"/>
      <c r="Q9" s="166"/>
      <c r="R9" s="166"/>
      <c r="S9" s="166"/>
      <c r="T9" s="166"/>
      <c r="U9" s="166"/>
      <c r="V9" s="167"/>
      <c r="W9" s="166"/>
      <c r="X9" s="166"/>
      <c r="Y9" s="166"/>
      <c r="Z9" s="166"/>
      <c r="AA9" s="166"/>
      <c r="AB9" s="166"/>
      <c r="AC9" s="166"/>
      <c r="AD9" s="166"/>
      <c r="AE9" s="166"/>
      <c r="AF9" s="166"/>
      <c r="AG9" s="166"/>
      <c r="AH9" s="168"/>
      <c r="AI9" s="166"/>
      <c r="AJ9" s="166"/>
      <c r="AK9" s="166"/>
      <c r="AL9" s="166"/>
      <c r="AM9" s="166"/>
      <c r="AN9" s="168"/>
      <c r="AO9" s="168"/>
      <c r="AP9" s="168"/>
      <c r="AQ9" s="168"/>
      <c r="AR9" s="168"/>
      <c r="AS9" s="168"/>
      <c r="AT9" s="168"/>
      <c r="AU9" s="168"/>
      <c r="AV9" s="168"/>
      <c r="AW9" s="168"/>
      <c r="AX9" s="168"/>
      <c r="AY9" s="168"/>
      <c r="AZ9" s="168"/>
      <c r="BA9" s="165"/>
      <c r="BB9" s="165"/>
      <c r="BC9" s="165"/>
      <c r="BD9" s="165"/>
      <c r="BE9" s="165"/>
      <c r="BF9" s="165"/>
      <c r="BG9" s="165"/>
      <c r="BH9" s="165"/>
      <c r="BI9" s="165"/>
      <c r="BJ9" s="165"/>
      <c r="BK9" s="165"/>
      <c r="BL9" s="165"/>
      <c r="BM9" s="165"/>
      <c r="BN9" s="165"/>
      <c r="BO9" s="165"/>
      <c r="BP9" s="165"/>
      <c r="BQ9" s="165"/>
      <c r="CJ9" s="165"/>
      <c r="CK9" s="165"/>
      <c r="CL9" s="165"/>
      <c r="CM9" s="165"/>
      <c r="CN9" s="165"/>
      <c r="CO9" s="165"/>
      <c r="CP9" s="165"/>
      <c r="CQ9" s="165"/>
      <c r="CR9" s="165"/>
      <c r="CS9" s="165"/>
      <c r="CT9" s="165"/>
      <c r="CU9" s="165"/>
      <c r="CV9" s="165"/>
      <c r="CW9" s="165"/>
      <c r="CX9" s="165"/>
      <c r="CY9" s="165"/>
      <c r="CZ9" s="165"/>
      <c r="DA9" s="165"/>
    </row>
    <row r="10" spans="1:105" ht="27.95">
      <c r="A10" s="7" t="s">
        <v>257</v>
      </c>
      <c r="B10" s="15">
        <f>+B8+65</f>
        <v>46220</v>
      </c>
      <c r="C10" s="170">
        <f>+C8+65</f>
        <v>46234</v>
      </c>
      <c r="D10" s="166"/>
      <c r="E10" s="166"/>
      <c r="F10" s="166"/>
      <c r="G10" s="165"/>
      <c r="H10" s="166"/>
      <c r="I10" s="166"/>
      <c r="J10" s="166"/>
      <c r="K10" s="166"/>
      <c r="L10" s="166"/>
      <c r="M10" s="166"/>
      <c r="N10" s="166"/>
      <c r="O10" s="166"/>
      <c r="P10" s="167"/>
      <c r="Q10" s="166"/>
      <c r="R10" s="166"/>
      <c r="S10" s="166"/>
      <c r="T10" s="166"/>
      <c r="U10" s="166"/>
      <c r="V10" s="167"/>
      <c r="W10" s="166"/>
      <c r="X10" s="166"/>
      <c r="Y10" s="166"/>
      <c r="Z10" s="166"/>
      <c r="AA10" s="166"/>
      <c r="AB10" s="166"/>
      <c r="AC10" s="166"/>
      <c r="AD10" s="166"/>
      <c r="AE10" s="166"/>
      <c r="AF10" s="166"/>
      <c r="AG10" s="166"/>
      <c r="AH10" s="168"/>
      <c r="AI10" s="166"/>
      <c r="AJ10" s="166"/>
      <c r="AK10" s="166"/>
      <c r="AL10" s="166"/>
      <c r="AM10" s="166"/>
      <c r="AN10" s="168"/>
      <c r="AO10" s="168"/>
      <c r="AP10" s="168"/>
      <c r="AQ10" s="168"/>
      <c r="AR10" s="168"/>
      <c r="AS10" s="168"/>
      <c r="AT10" s="168"/>
      <c r="AU10" s="168"/>
      <c r="AV10" s="168"/>
      <c r="AW10" s="168"/>
      <c r="AX10" s="168"/>
      <c r="AY10" s="168"/>
      <c r="AZ10" s="168"/>
      <c r="BA10" s="165"/>
      <c r="BB10" s="165"/>
      <c r="BC10" s="165"/>
      <c r="BD10" s="165"/>
      <c r="BE10" s="165"/>
      <c r="BF10" s="165"/>
      <c r="BG10" s="165"/>
      <c r="BH10" s="165"/>
      <c r="BI10" s="165"/>
      <c r="BJ10" s="165"/>
      <c r="BK10" s="165"/>
      <c r="BL10" s="165"/>
      <c r="BM10" s="165"/>
      <c r="BN10" s="165"/>
      <c r="BO10" s="165"/>
      <c r="BP10" s="165"/>
      <c r="BQ10" s="165"/>
      <c r="CJ10" s="165"/>
      <c r="CK10" s="165"/>
      <c r="CL10" s="165"/>
      <c r="CM10" s="165"/>
      <c r="CN10" s="165"/>
      <c r="CO10" s="165"/>
      <c r="CP10" s="165"/>
      <c r="CQ10" s="165"/>
      <c r="CR10" s="165"/>
      <c r="CS10" s="165"/>
      <c r="CT10" s="165"/>
      <c r="CU10" s="165"/>
      <c r="CV10" s="165"/>
      <c r="CW10" s="165"/>
      <c r="CX10" s="165"/>
      <c r="CY10" s="165"/>
      <c r="CZ10" s="165"/>
      <c r="DA10" s="165"/>
    </row>
    <row r="11" spans="1:105" ht="27.95">
      <c r="A11" s="184" t="s">
        <v>258</v>
      </c>
      <c r="B11" s="185">
        <f>+B10+14</f>
        <v>46234</v>
      </c>
      <c r="C11" s="186">
        <f>+C10+14</f>
        <v>46248</v>
      </c>
      <c r="D11" s="166"/>
      <c r="E11" s="166"/>
      <c r="F11" s="166"/>
      <c r="G11" s="165"/>
      <c r="H11" s="166"/>
      <c r="I11" s="166"/>
      <c r="J11" s="166"/>
      <c r="K11" s="166"/>
      <c r="L11" s="166"/>
      <c r="M11" s="166"/>
      <c r="N11" s="166"/>
      <c r="O11" s="166"/>
      <c r="P11" s="167"/>
      <c r="Q11" s="166"/>
      <c r="R11" s="166"/>
      <c r="S11" s="166"/>
      <c r="T11" s="166"/>
      <c r="U11" s="166"/>
      <c r="V11" s="167"/>
      <c r="W11" s="166"/>
      <c r="X11" s="166"/>
      <c r="Y11" s="166"/>
      <c r="Z11" s="166"/>
      <c r="AA11" s="166"/>
      <c r="AB11" s="166"/>
      <c r="AC11" s="166"/>
      <c r="AD11" s="166"/>
      <c r="AE11" s="166"/>
      <c r="AF11" s="166"/>
      <c r="AG11" s="166"/>
      <c r="AH11" s="168"/>
      <c r="AI11" s="166"/>
      <c r="AJ11" s="166"/>
      <c r="AK11" s="166"/>
      <c r="AL11" s="166"/>
      <c r="AM11" s="166"/>
      <c r="AN11" s="168"/>
      <c r="AO11" s="168"/>
      <c r="AP11" s="168"/>
      <c r="AQ11" s="168"/>
      <c r="AR11" s="168"/>
      <c r="AS11" s="168"/>
      <c r="AT11" s="168"/>
      <c r="AU11" s="168"/>
      <c r="AV11" s="168"/>
      <c r="AW11" s="168"/>
      <c r="AX11" s="168"/>
      <c r="AY11" s="168"/>
      <c r="AZ11" s="168"/>
      <c r="BA11" s="165"/>
      <c r="BB11" s="165"/>
      <c r="BC11" s="165"/>
      <c r="BD11" s="165"/>
      <c r="BE11" s="165"/>
      <c r="BF11" s="165"/>
      <c r="BG11" s="165"/>
      <c r="BH11" s="165"/>
      <c r="BI11" s="165"/>
      <c r="BJ11" s="165"/>
      <c r="BK11" s="165"/>
      <c r="BL11" s="165"/>
      <c r="BM11" s="165"/>
      <c r="BN11" s="165"/>
      <c r="BO11" s="165"/>
      <c r="BP11" s="165"/>
      <c r="BQ11" s="165"/>
      <c r="CJ11" s="165"/>
      <c r="CK11" s="165"/>
      <c r="CL11" s="165"/>
      <c r="CM11" s="165"/>
      <c r="CN11" s="165"/>
      <c r="CO11" s="165"/>
      <c r="CP11" s="165"/>
      <c r="CQ11" s="165"/>
      <c r="CR11" s="165"/>
      <c r="CS11" s="165"/>
      <c r="CT11" s="165"/>
      <c r="CU11" s="165"/>
      <c r="CV11" s="165"/>
      <c r="CW11" s="165"/>
      <c r="CX11" s="165"/>
      <c r="CY11" s="165"/>
      <c r="CZ11" s="165"/>
      <c r="DA11" s="165"/>
    </row>
    <row r="12" spans="1:105" s="168" customFormat="1" ht="9.75" customHeight="1">
      <c r="A12" s="166"/>
      <c r="B12" s="166"/>
      <c r="C12" s="166"/>
      <c r="D12" s="166"/>
      <c r="E12" s="166"/>
      <c r="F12" s="166"/>
      <c r="G12" s="165"/>
      <c r="H12" s="166"/>
      <c r="I12" s="166"/>
      <c r="J12" s="166"/>
      <c r="K12" s="166"/>
      <c r="L12" s="166"/>
      <c r="M12" s="166"/>
      <c r="N12" s="166"/>
      <c r="O12" s="166"/>
      <c r="P12" s="167"/>
      <c r="Q12" s="166"/>
      <c r="R12" s="166"/>
      <c r="S12" s="166"/>
      <c r="T12" s="166"/>
      <c r="U12" s="166"/>
      <c r="V12" s="167"/>
      <c r="W12" s="166"/>
      <c r="X12" s="166"/>
      <c r="Y12" s="166"/>
      <c r="Z12" s="166"/>
      <c r="AA12" s="166"/>
      <c r="AB12" s="166"/>
      <c r="AC12" s="166"/>
      <c r="AD12" s="166"/>
      <c r="AE12" s="166"/>
      <c r="AF12" s="166"/>
      <c r="AG12" s="166"/>
      <c r="AI12" s="166"/>
      <c r="AJ12" s="166"/>
      <c r="AK12" s="166"/>
      <c r="AL12" s="166"/>
      <c r="AM12" s="166"/>
      <c r="BA12" s="165"/>
      <c r="BB12" s="165"/>
      <c r="BC12" s="165"/>
      <c r="BD12" s="165"/>
      <c r="BE12" s="165"/>
      <c r="BF12" s="165"/>
      <c r="BG12" s="165"/>
      <c r="BH12" s="165"/>
      <c r="BI12" s="165"/>
      <c r="BJ12" s="165"/>
      <c r="BK12" s="165"/>
      <c r="BL12" s="165"/>
      <c r="BM12" s="165"/>
      <c r="BN12" s="165"/>
      <c r="BO12" s="165"/>
      <c r="BP12" s="165"/>
      <c r="BQ12" s="165"/>
      <c r="BR12" s="276"/>
      <c r="BS12" s="276"/>
      <c r="BT12" s="276"/>
      <c r="CJ12" s="165"/>
      <c r="CK12" s="165"/>
      <c r="CL12" s="165"/>
      <c r="CM12" s="165"/>
      <c r="CN12" s="165"/>
      <c r="CO12" s="165"/>
      <c r="CP12" s="165"/>
      <c r="CQ12" s="165"/>
      <c r="CR12" s="165"/>
      <c r="CS12" s="165"/>
      <c r="CT12" s="165"/>
      <c r="CU12" s="165"/>
      <c r="CV12" s="165"/>
      <c r="CW12" s="165"/>
      <c r="CX12" s="165"/>
      <c r="CY12" s="165"/>
      <c r="CZ12" s="165"/>
      <c r="DA12" s="165"/>
    </row>
    <row r="13" spans="1:105" s="168" customFormat="1" ht="9.75" customHeight="1">
      <c r="A13" s="166"/>
      <c r="B13" s="166"/>
      <c r="C13" s="166"/>
      <c r="D13" s="166"/>
      <c r="E13" s="166"/>
      <c r="F13" s="166"/>
      <c r="G13" s="165"/>
      <c r="H13" s="166"/>
      <c r="I13" s="166"/>
      <c r="J13" s="166"/>
      <c r="K13" s="166"/>
      <c r="L13" s="166"/>
      <c r="M13" s="166"/>
      <c r="N13" s="166"/>
      <c r="O13" s="166"/>
      <c r="P13" s="167"/>
      <c r="Q13" s="166"/>
      <c r="R13" s="166"/>
      <c r="S13" s="166"/>
      <c r="T13" s="166"/>
      <c r="U13" s="166"/>
      <c r="V13" s="167"/>
      <c r="W13" s="166"/>
      <c r="X13" s="166"/>
      <c r="Y13" s="166"/>
      <c r="Z13" s="166"/>
      <c r="AA13" s="166"/>
      <c r="AB13" s="166"/>
      <c r="AC13" s="166"/>
      <c r="AD13" s="166"/>
      <c r="AE13" s="166"/>
      <c r="AF13" s="166"/>
      <c r="AG13" s="166"/>
      <c r="AI13" s="166"/>
      <c r="AJ13" s="166"/>
      <c r="AK13" s="166"/>
      <c r="AL13" s="166"/>
      <c r="AM13" s="166"/>
      <c r="BA13" s="165"/>
      <c r="BB13" s="165"/>
      <c r="BC13" s="165"/>
      <c r="BD13" s="165"/>
      <c r="BE13" s="165"/>
      <c r="BF13" s="165"/>
      <c r="BG13" s="165"/>
      <c r="BH13" s="165"/>
      <c r="BI13" s="165"/>
      <c r="BJ13" s="165"/>
      <c r="BK13" s="165"/>
      <c r="BL13" s="165"/>
      <c r="BM13" s="165"/>
      <c r="BN13" s="165"/>
      <c r="BO13" s="165"/>
      <c r="BP13" s="165"/>
      <c r="BQ13" s="165"/>
      <c r="BR13" s="276"/>
      <c r="BS13" s="276"/>
      <c r="BT13" s="276"/>
    </row>
    <row r="14" spans="1:105" s="168" customFormat="1" ht="35.1" customHeight="1">
      <c r="A14" s="166"/>
      <c r="B14" s="166"/>
      <c r="C14" s="166"/>
      <c r="D14" s="166"/>
      <c r="E14" s="166"/>
      <c r="F14" s="166"/>
      <c r="G14" s="165"/>
      <c r="H14" s="166"/>
      <c r="I14" s="166"/>
      <c r="J14" s="166"/>
      <c r="K14" s="166"/>
      <c r="L14" s="166"/>
      <c r="M14" s="166"/>
      <c r="N14" s="166"/>
      <c r="O14" s="166"/>
      <c r="P14" s="167"/>
      <c r="Q14" s="166"/>
      <c r="R14" s="166"/>
      <c r="S14" s="166"/>
      <c r="T14" s="166"/>
      <c r="U14" s="166"/>
      <c r="V14" s="167"/>
      <c r="W14" s="166"/>
      <c r="X14" s="166"/>
      <c r="Y14" s="166"/>
      <c r="Z14" s="166"/>
      <c r="AA14" s="166"/>
      <c r="AB14" s="166"/>
      <c r="AC14" s="166"/>
      <c r="AD14" s="166"/>
      <c r="AE14" s="166"/>
      <c r="AF14" s="166"/>
      <c r="AG14" s="166"/>
      <c r="AI14" s="166"/>
      <c r="AJ14" s="166"/>
      <c r="AK14" s="166"/>
      <c r="AL14" s="166"/>
      <c r="AM14" s="166"/>
      <c r="BA14" s="165"/>
      <c r="BB14" s="165"/>
      <c r="BC14" s="165"/>
      <c r="BD14" s="165"/>
      <c r="BE14" s="165"/>
      <c r="BF14" s="165"/>
      <c r="BG14" s="165"/>
      <c r="BH14" s="165"/>
      <c r="BI14" s="165"/>
      <c r="BJ14" s="165"/>
      <c r="BK14" s="165"/>
      <c r="BL14" s="165"/>
      <c r="BM14" s="165"/>
      <c r="BN14" s="165"/>
      <c r="BO14" s="165"/>
      <c r="BP14" s="165"/>
      <c r="BQ14" s="165"/>
      <c r="BR14" s="276"/>
      <c r="BS14" s="276"/>
      <c r="BT14" s="276"/>
      <c r="CJ14" s="394" t="s">
        <v>0</v>
      </c>
      <c r="CK14" s="395"/>
      <c r="CL14" s="395"/>
      <c r="CM14" s="395"/>
      <c r="CN14" s="395"/>
      <c r="CO14" s="395"/>
      <c r="CP14" s="395"/>
      <c r="CQ14" s="395"/>
      <c r="CR14" s="395"/>
      <c r="CS14" s="395"/>
      <c r="CT14" s="395"/>
      <c r="CU14" s="395"/>
      <c r="CV14" s="395"/>
      <c r="CW14" s="395"/>
      <c r="CX14" s="395"/>
      <c r="CY14" s="395"/>
      <c r="CZ14" s="395"/>
      <c r="DA14" s="395"/>
    </row>
    <row r="15" spans="1:105" s="168" customFormat="1" ht="56.1">
      <c r="A15" s="166"/>
      <c r="B15" s="166"/>
      <c r="C15" s="166"/>
      <c r="D15" s="166"/>
      <c r="E15" s="166"/>
      <c r="F15" s="166"/>
      <c r="G15" s="165"/>
      <c r="H15" s="166"/>
      <c r="I15" s="166"/>
      <c r="J15" s="166"/>
      <c r="K15" s="166"/>
      <c r="L15" s="166"/>
      <c r="M15" s="166"/>
      <c r="N15" s="166"/>
      <c r="O15" s="166"/>
      <c r="P15" s="167"/>
      <c r="Q15" s="166"/>
      <c r="R15" s="166"/>
      <c r="S15" s="166"/>
      <c r="T15" s="166"/>
      <c r="U15" s="166"/>
      <c r="V15" s="167"/>
      <c r="W15" s="166"/>
      <c r="X15" s="166"/>
      <c r="Y15" s="166"/>
      <c r="Z15" s="166"/>
      <c r="AA15" s="166"/>
      <c r="AB15" s="166"/>
      <c r="AC15" s="166"/>
      <c r="AD15" s="166"/>
      <c r="AE15" s="166"/>
      <c r="AF15" s="166"/>
      <c r="AG15" s="166"/>
      <c r="AI15" s="166"/>
      <c r="AJ15" s="166"/>
      <c r="AK15" s="166"/>
      <c r="AL15" s="166"/>
      <c r="AM15" s="166"/>
      <c r="BA15" s="165"/>
      <c r="BB15" s="165"/>
      <c r="BC15" s="165"/>
      <c r="BD15" s="165"/>
      <c r="BE15" s="165"/>
      <c r="BF15" s="165"/>
      <c r="BG15" s="165"/>
      <c r="BH15" s="165"/>
      <c r="BI15" s="165"/>
      <c r="BJ15" s="165"/>
      <c r="BK15" s="165"/>
      <c r="BL15" s="165"/>
      <c r="BM15" s="165"/>
      <c r="BN15" s="165"/>
      <c r="BO15" s="165"/>
      <c r="BP15" s="165"/>
      <c r="BQ15" s="165"/>
      <c r="BR15" s="276"/>
      <c r="BS15" s="276"/>
      <c r="BT15" s="276"/>
      <c r="CJ15" s="356" t="s">
        <v>1</v>
      </c>
      <c r="CK15" s="356"/>
      <c r="CL15" s="356" t="s">
        <v>2</v>
      </c>
      <c r="CM15" s="356"/>
      <c r="CN15" s="356" t="s">
        <v>3</v>
      </c>
      <c r="CO15" s="356"/>
      <c r="CP15" s="356" t="s">
        <v>4</v>
      </c>
      <c r="CQ15" s="356"/>
      <c r="CR15" s="356" t="s">
        <v>5</v>
      </c>
      <c r="CS15" s="356"/>
      <c r="CT15" s="356" t="s">
        <v>6</v>
      </c>
      <c r="CU15" s="356"/>
      <c r="CV15" s="356" t="s">
        <v>7</v>
      </c>
      <c r="CW15" s="356"/>
      <c r="CX15" s="356" t="s">
        <v>8</v>
      </c>
      <c r="CY15" s="356"/>
      <c r="CZ15" s="356" t="s">
        <v>9</v>
      </c>
      <c r="DA15" s="356"/>
    </row>
    <row r="16" spans="1:105" ht="84">
      <c r="A16" s="163" t="s">
        <v>10</v>
      </c>
      <c r="B16" s="163" t="s">
        <v>11</v>
      </c>
      <c r="C16" s="163" t="s">
        <v>12</v>
      </c>
      <c r="D16" s="163" t="s">
        <v>13</v>
      </c>
      <c r="E16" s="163" t="s">
        <v>14</v>
      </c>
      <c r="F16" s="163" t="s">
        <v>614</v>
      </c>
      <c r="G16" s="162" t="s">
        <v>16</v>
      </c>
      <c r="H16" s="163" t="s">
        <v>17</v>
      </c>
      <c r="I16" s="163" t="s">
        <v>18</v>
      </c>
      <c r="J16" s="163" t="s">
        <v>19</v>
      </c>
      <c r="K16" s="163" t="s">
        <v>20</v>
      </c>
      <c r="L16" s="163" t="s">
        <v>21</v>
      </c>
      <c r="M16" s="163" t="s">
        <v>615</v>
      </c>
      <c r="N16" s="163" t="s">
        <v>23</v>
      </c>
      <c r="O16" s="163" t="s">
        <v>616</v>
      </c>
      <c r="P16" s="164" t="s">
        <v>617</v>
      </c>
      <c r="Q16" s="163" t="s">
        <v>26</v>
      </c>
      <c r="R16" s="163" t="s">
        <v>27</v>
      </c>
      <c r="S16" s="163" t="s">
        <v>618</v>
      </c>
      <c r="T16" s="163" t="s">
        <v>28</v>
      </c>
      <c r="U16" s="163" t="s">
        <v>29</v>
      </c>
      <c r="V16" s="164" t="s">
        <v>30</v>
      </c>
      <c r="W16" s="163" t="s">
        <v>31</v>
      </c>
      <c r="X16" s="163" t="s">
        <v>32</v>
      </c>
      <c r="Y16" s="163" t="s">
        <v>33</v>
      </c>
      <c r="Z16" s="163" t="s">
        <v>619</v>
      </c>
      <c r="AA16" s="163" t="s">
        <v>35</v>
      </c>
      <c r="AB16" s="163" t="s">
        <v>620</v>
      </c>
      <c r="AC16" s="163" t="s">
        <v>270</v>
      </c>
      <c r="AD16" s="163" t="s">
        <v>621</v>
      </c>
      <c r="AE16" s="162" t="s">
        <v>38</v>
      </c>
      <c r="AF16" s="162" t="s">
        <v>39</v>
      </c>
      <c r="AG16" s="280"/>
      <c r="AI16" s="163" t="s">
        <v>30</v>
      </c>
      <c r="AJ16" s="163" t="s">
        <v>31</v>
      </c>
      <c r="AK16" s="163" t="s">
        <v>32</v>
      </c>
      <c r="AL16" s="163" t="s">
        <v>33</v>
      </c>
      <c r="AM16" s="163" t="s">
        <v>272</v>
      </c>
      <c r="BA16" s="162" t="s">
        <v>40</v>
      </c>
      <c r="BB16" s="162" t="s">
        <v>41</v>
      </c>
      <c r="BC16" s="162" t="s">
        <v>42</v>
      </c>
      <c r="BD16" s="162" t="s">
        <v>43</v>
      </c>
      <c r="BE16" s="162" t="s">
        <v>44</v>
      </c>
      <c r="BF16" s="162" t="s">
        <v>45</v>
      </c>
      <c r="BG16" s="162" t="s">
        <v>46</v>
      </c>
      <c r="BH16" s="1" t="s">
        <v>47</v>
      </c>
      <c r="BI16" s="162" t="s">
        <v>48</v>
      </c>
      <c r="BJ16" s="162" t="s">
        <v>49</v>
      </c>
      <c r="BK16" s="162" t="s">
        <v>13</v>
      </c>
      <c r="BL16" s="1" t="s">
        <v>50</v>
      </c>
      <c r="BM16" s="165"/>
      <c r="BN16" s="165"/>
      <c r="BO16" s="165"/>
      <c r="BP16" s="165"/>
      <c r="BQ16" s="165"/>
      <c r="BR16" s="1" t="s">
        <v>38</v>
      </c>
      <c r="BS16" s="1" t="s">
        <v>39</v>
      </c>
      <c r="BT16" s="1" t="s">
        <v>53</v>
      </c>
      <c r="CJ16" s="357" t="s">
        <v>54</v>
      </c>
      <c r="CK16" s="357" t="s">
        <v>55</v>
      </c>
      <c r="CL16" s="357" t="s">
        <v>54</v>
      </c>
      <c r="CM16" s="357" t="s">
        <v>55</v>
      </c>
      <c r="CN16" s="357" t="s">
        <v>54</v>
      </c>
      <c r="CO16" s="357" t="s">
        <v>55</v>
      </c>
      <c r="CP16" s="357" t="s">
        <v>54</v>
      </c>
      <c r="CQ16" s="357" t="s">
        <v>55</v>
      </c>
      <c r="CR16" s="357" t="s">
        <v>54</v>
      </c>
      <c r="CS16" s="357" t="s">
        <v>55</v>
      </c>
      <c r="CT16" s="357" t="s">
        <v>54</v>
      </c>
      <c r="CU16" s="357" t="s">
        <v>55</v>
      </c>
      <c r="CV16" s="357" t="s">
        <v>54</v>
      </c>
      <c r="CW16" s="357" t="s">
        <v>55</v>
      </c>
      <c r="CX16" s="357" t="s">
        <v>54</v>
      </c>
      <c r="CY16" s="357" t="s">
        <v>55</v>
      </c>
      <c r="CZ16" s="357" t="s">
        <v>54</v>
      </c>
      <c r="DA16" s="357" t="s">
        <v>55</v>
      </c>
    </row>
    <row r="17" spans="1:105" ht="294.95">
      <c r="A17" s="54">
        <v>1</v>
      </c>
      <c r="B17" s="55">
        <v>46234</v>
      </c>
      <c r="C17" s="56" t="s">
        <v>277</v>
      </c>
      <c r="D17" s="55" t="s">
        <v>77</v>
      </c>
      <c r="E17" s="57">
        <v>7503057496008</v>
      </c>
      <c r="F17" s="58" t="s">
        <v>622</v>
      </c>
      <c r="G17" s="342" t="s">
        <v>623</v>
      </c>
      <c r="H17" s="59"/>
      <c r="I17" s="55" t="s">
        <v>147</v>
      </c>
      <c r="J17" s="55" t="s">
        <v>613</v>
      </c>
      <c r="K17" s="58" t="s">
        <v>281</v>
      </c>
      <c r="L17" s="57">
        <v>1</v>
      </c>
      <c r="M17" s="60" t="e">
        <f>0.31+$N$18</f>
        <v>#VALUE!</v>
      </c>
      <c r="N17" s="55" t="s">
        <v>64</v>
      </c>
      <c r="O17" s="54">
        <v>10000</v>
      </c>
      <c r="P17" s="60" t="e">
        <f t="shared" ref="P17:P23" ca="1" si="0">+M17*$Q$18</f>
        <v>#VALUE!</v>
      </c>
      <c r="Q17" s="60" t="e">
        <f ca="1">+P17*0.36</f>
        <v>#VALUE!</v>
      </c>
      <c r="R17" s="60" t="e">
        <f ca="1">+(Q17+P17)*1.3%</f>
        <v>#VALUE!</v>
      </c>
      <c r="S17" s="60" t="e">
        <f t="shared" ref="S17:S27" ca="1" si="1">+W17*$T$18</f>
        <v>#VALUE!</v>
      </c>
      <c r="T17" s="60" t="e">
        <f t="shared" ref="T17:T27" ca="1" si="2">+P17+Q17+R17+S17</f>
        <v>#VALUE!</v>
      </c>
      <c r="U17" s="61" t="s">
        <v>624</v>
      </c>
      <c r="V17" s="62">
        <v>49</v>
      </c>
      <c r="W17" s="63">
        <f>(V17/1.16)*0.6</f>
        <v>25.3448275862069</v>
      </c>
      <c r="X17" s="64" t="e">
        <f t="shared" ref="X17:X27" ca="1" si="3">T17/W17</f>
        <v>#VALUE!</v>
      </c>
      <c r="Y17" s="65" t="e">
        <f t="shared" ref="Y17:Y27" ca="1" si="4">1-(T17/W17)</f>
        <v>#VALUE!</v>
      </c>
      <c r="Z17" s="33">
        <f t="shared" ref="Z17:Z27" si="5">1-(W17/(V17/1.16))</f>
        <v>0.4</v>
      </c>
      <c r="AA17" s="58" t="s">
        <v>625</v>
      </c>
      <c r="AB17" s="55" t="s">
        <v>287</v>
      </c>
      <c r="AC17" s="66">
        <v>6</v>
      </c>
      <c r="AD17" s="66">
        <f>+AC17*12</f>
        <v>72</v>
      </c>
      <c r="AE17" s="36" t="s">
        <v>626</v>
      </c>
      <c r="AF17" s="36" t="s">
        <v>277</v>
      </c>
      <c r="AG17" s="281"/>
      <c r="AI17" s="67">
        <v>29</v>
      </c>
      <c r="AJ17" s="63">
        <f t="shared" ref="AJ17:AJ27" si="6">(AI17/1.16)</f>
        <v>25</v>
      </c>
      <c r="AK17" s="64" t="e">
        <f t="shared" ref="AK17:AK27" ca="1" si="7">+T17/AJ17</f>
        <v>#VALUE!</v>
      </c>
      <c r="AL17" s="65" t="e">
        <f t="shared" ref="AL17:AL27" ca="1" si="8">1-(T17/AJ17)</f>
        <v>#VALUE!</v>
      </c>
      <c r="AM17" s="33">
        <f t="shared" ref="AM17:AM27" si="9">1-(AJ17/(AI17/1.16))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27" si="10">SUM(BA17:BI17)</f>
        <v>7</v>
      </c>
      <c r="BL17" s="4">
        <f t="shared" ref="BL17:BL27" si="11">+BK17/BJ17</f>
        <v>0.77777777777777779</v>
      </c>
      <c r="BM17" s="295"/>
      <c r="BN17" s="295"/>
      <c r="BO17" s="295"/>
      <c r="BP17" s="295"/>
      <c r="BQ17" s="295"/>
      <c r="BR17" s="278" t="str">
        <f>+AE17</f>
        <v>En producción, se enviaron fotos de PP de exhibicajas, pendiente el OK de licencia</v>
      </c>
      <c r="BS17" s="278" t="str">
        <f>+AF17</f>
        <v>Agosto</v>
      </c>
      <c r="BT17" s="278" t="s">
        <v>627</v>
      </c>
      <c r="CJ17" s="358">
        <v>45809</v>
      </c>
      <c r="CK17" s="358">
        <v>45809</v>
      </c>
      <c r="CL17" s="278"/>
      <c r="CM17" s="278"/>
      <c r="CN17" s="278"/>
      <c r="CO17" s="278"/>
      <c r="CP17" s="268"/>
      <c r="CQ17" s="268"/>
      <c r="CR17" s="267"/>
      <c r="CS17" s="267"/>
      <c r="CT17" s="267"/>
      <c r="CU17" s="267"/>
      <c r="CV17" s="267"/>
      <c r="CW17" s="267"/>
      <c r="CX17" s="267"/>
      <c r="CY17" s="267"/>
      <c r="CZ17" s="267"/>
      <c r="DA17" s="267"/>
    </row>
    <row r="18" spans="1:105" ht="294.95">
      <c r="A18" s="54">
        <v>2</v>
      </c>
      <c r="B18" s="55">
        <v>46234</v>
      </c>
      <c r="C18" s="56" t="s">
        <v>277</v>
      </c>
      <c r="D18" s="55" t="s">
        <v>77</v>
      </c>
      <c r="E18" s="57">
        <v>7503057496015</v>
      </c>
      <c r="F18" s="58" t="s">
        <v>628</v>
      </c>
      <c r="G18" s="342" t="s">
        <v>629</v>
      </c>
      <c r="H18" s="59"/>
      <c r="I18" s="55" t="s">
        <v>147</v>
      </c>
      <c r="J18" s="55" t="s">
        <v>613</v>
      </c>
      <c r="K18" s="58" t="s">
        <v>281</v>
      </c>
      <c r="L18" s="57">
        <v>1</v>
      </c>
      <c r="M18" s="60" t="e">
        <f>0.31+$N$18</f>
        <v>#VALUE!</v>
      </c>
      <c r="N18" s="55" t="s">
        <v>64</v>
      </c>
      <c r="O18" s="54">
        <v>10000</v>
      </c>
      <c r="P18" s="60" t="e">
        <f t="shared" ca="1" si="0"/>
        <v>#VALUE!</v>
      </c>
      <c r="Q18" s="60" t="e">
        <f ca="1">+P18*0.36</f>
        <v>#VALUE!</v>
      </c>
      <c r="R18" s="60" t="e">
        <f ca="1">+(Q18+P18)*1.3%</f>
        <v>#VALUE!</v>
      </c>
      <c r="S18" s="60" t="e">
        <f t="shared" ca="1" si="1"/>
        <v>#VALUE!</v>
      </c>
      <c r="T18" s="60" t="e">
        <f t="shared" ca="1" si="2"/>
        <v>#VALUE!</v>
      </c>
      <c r="U18" s="61" t="s">
        <v>624</v>
      </c>
      <c r="V18" s="62">
        <v>49</v>
      </c>
      <c r="W18" s="63">
        <f>(V18/1.16)*0.6</f>
        <v>25.3448275862069</v>
      </c>
      <c r="X18" s="64" t="e">
        <f t="shared" ca="1" si="3"/>
        <v>#VALUE!</v>
      </c>
      <c r="Y18" s="65" t="e">
        <f t="shared" ca="1" si="4"/>
        <v>#VALUE!</v>
      </c>
      <c r="Z18" s="33">
        <f t="shared" si="5"/>
        <v>0.4</v>
      </c>
      <c r="AA18" s="58" t="s">
        <v>625</v>
      </c>
      <c r="AB18" s="55" t="s">
        <v>287</v>
      </c>
      <c r="AC18" s="66">
        <v>6</v>
      </c>
      <c r="AD18" s="66">
        <f>+AC18*12</f>
        <v>72</v>
      </c>
      <c r="AE18" s="36" t="s">
        <v>626</v>
      </c>
      <c r="AF18" s="36" t="s">
        <v>277</v>
      </c>
      <c r="AG18" s="281"/>
      <c r="AI18" s="67">
        <v>29</v>
      </c>
      <c r="AJ18" s="63">
        <f t="shared" si="6"/>
        <v>25</v>
      </c>
      <c r="AK18" s="64" t="e">
        <f t="shared" ca="1" si="7"/>
        <v>#VALUE!</v>
      </c>
      <c r="AL18" s="65" t="e">
        <f t="shared" ca="1" si="8"/>
        <v>#VALUE!</v>
      </c>
      <c r="AM18" s="33">
        <f t="shared" si="9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0"/>
        <v>7</v>
      </c>
      <c r="BL18" s="4">
        <f t="shared" si="11"/>
        <v>0.77777777777777779</v>
      </c>
      <c r="BM18" s="295"/>
      <c r="BN18" s="295"/>
      <c r="BO18" s="295"/>
      <c r="BP18" s="295"/>
      <c r="BQ18" s="295"/>
      <c r="BR18" s="278" t="str">
        <f t="shared" ref="BR18:BR19" si="12">+AE18</f>
        <v>En producción, se enviaron fotos de PP de exhibicajas, pendiente el OK de licencia</v>
      </c>
      <c r="BS18" s="278" t="str">
        <f t="shared" ref="BS18:BS19" si="13">+AF18</f>
        <v>Agosto</v>
      </c>
      <c r="BT18" s="278" t="s">
        <v>627</v>
      </c>
      <c r="CJ18" s="278"/>
      <c r="CK18" s="278"/>
      <c r="CL18" s="278"/>
      <c r="CM18" s="278"/>
      <c r="CN18" s="278"/>
      <c r="CO18" s="278"/>
      <c r="CP18" s="268"/>
      <c r="CQ18" s="268"/>
      <c r="CR18" s="267"/>
      <c r="CS18" s="267"/>
      <c r="CT18" s="267"/>
      <c r="CU18" s="267"/>
      <c r="CV18" s="267"/>
      <c r="CW18" s="267"/>
      <c r="CX18" s="267"/>
      <c r="CY18" s="267"/>
      <c r="CZ18" s="267"/>
      <c r="DA18" s="267"/>
    </row>
    <row r="19" spans="1:105" ht="201">
      <c r="A19" s="54">
        <v>3</v>
      </c>
      <c r="B19" s="55">
        <v>46234</v>
      </c>
      <c r="C19" s="56" t="s">
        <v>277</v>
      </c>
      <c r="D19" s="55" t="s">
        <v>77</v>
      </c>
      <c r="E19" s="57">
        <v>7503057496022</v>
      </c>
      <c r="F19" s="58" t="s">
        <v>630</v>
      </c>
      <c r="G19" s="342" t="s">
        <v>631</v>
      </c>
      <c r="H19" s="59"/>
      <c r="I19" s="55" t="s">
        <v>632</v>
      </c>
      <c r="J19" s="55" t="s">
        <v>613</v>
      </c>
      <c r="K19" s="58" t="s">
        <v>281</v>
      </c>
      <c r="L19" s="57">
        <v>1</v>
      </c>
      <c r="M19" s="60" t="e">
        <f>0.97+$N$18</f>
        <v>#VALUE!</v>
      </c>
      <c r="N19" s="55" t="s">
        <v>64</v>
      </c>
      <c r="O19" s="54">
        <v>10000</v>
      </c>
      <c r="P19" s="60" t="e">
        <f t="shared" ca="1" si="0"/>
        <v>#VALUE!</v>
      </c>
      <c r="Q19" s="60" t="e">
        <f ca="1">+P19*0.36</f>
        <v>#VALUE!</v>
      </c>
      <c r="R19" s="60" t="e">
        <f ca="1">+(Q19+P19)*0.57%</f>
        <v>#VALUE!</v>
      </c>
      <c r="S19" s="60" t="e">
        <f t="shared" ca="1" si="1"/>
        <v>#VALUE!</v>
      </c>
      <c r="T19" s="60" t="e">
        <f t="shared" ca="1" si="2"/>
        <v>#VALUE!</v>
      </c>
      <c r="U19" s="61" t="s">
        <v>633</v>
      </c>
      <c r="V19" s="62">
        <v>119</v>
      </c>
      <c r="W19" s="63">
        <f>(V19/1.16)</f>
        <v>102.58620689655173</v>
      </c>
      <c r="X19" s="64" t="e">
        <f t="shared" ca="1" si="3"/>
        <v>#VALUE!</v>
      </c>
      <c r="Y19" s="65" t="e">
        <f t="shared" ca="1" si="4"/>
        <v>#VALUE!</v>
      </c>
      <c r="Z19" s="33">
        <f t="shared" si="5"/>
        <v>0</v>
      </c>
      <c r="AA19" s="58" t="s">
        <v>625</v>
      </c>
      <c r="AB19" s="55" t="s">
        <v>287</v>
      </c>
      <c r="AC19" s="66">
        <v>6</v>
      </c>
      <c r="AD19" s="66">
        <f>+AC19*12</f>
        <v>72</v>
      </c>
      <c r="AE19" s="36" t="s">
        <v>626</v>
      </c>
      <c r="AF19" s="36" t="s">
        <v>277</v>
      </c>
      <c r="AG19" s="281"/>
      <c r="AI19" s="67">
        <v>99</v>
      </c>
      <c r="AJ19" s="63">
        <f t="shared" si="6"/>
        <v>85.344827586206904</v>
      </c>
      <c r="AK19" s="64" t="e">
        <f t="shared" ca="1" si="7"/>
        <v>#VALUE!</v>
      </c>
      <c r="AL19" s="65" t="e">
        <f t="shared" ca="1" si="8"/>
        <v>#VALUE!</v>
      </c>
      <c r="AM19" s="33">
        <f t="shared" si="9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0"/>
        <v>7</v>
      </c>
      <c r="BL19" s="4">
        <f t="shared" si="11"/>
        <v>0.77777777777777779</v>
      </c>
      <c r="BM19" s="295"/>
      <c r="BN19" s="295"/>
      <c r="BO19" s="295"/>
      <c r="BP19" s="295"/>
      <c r="BQ19" s="295"/>
      <c r="BR19" s="278" t="str">
        <f t="shared" si="12"/>
        <v>En producción, se enviaron fotos de PP de exhibicajas, pendiente el OK de licencia</v>
      </c>
      <c r="BS19" s="278" t="str">
        <f t="shared" si="13"/>
        <v>Agosto</v>
      </c>
      <c r="BT19" s="278" t="s">
        <v>627</v>
      </c>
      <c r="CJ19" s="278"/>
      <c r="CK19" s="278"/>
      <c r="CL19" s="278"/>
      <c r="CM19" s="278"/>
      <c r="CN19" s="278"/>
      <c r="CO19" s="278"/>
      <c r="CP19" s="268"/>
      <c r="CQ19" s="268"/>
      <c r="CR19" s="267"/>
      <c r="CS19" s="267"/>
      <c r="CT19" s="267"/>
      <c r="CU19" s="267"/>
      <c r="CV19" s="267"/>
      <c r="CW19" s="267"/>
      <c r="CX19" s="267"/>
      <c r="CY19" s="267"/>
      <c r="CZ19" s="267"/>
      <c r="DA19" s="267"/>
    </row>
    <row r="20" spans="1:105" ht="117.95">
      <c r="A20" s="54">
        <v>6</v>
      </c>
      <c r="B20" s="55">
        <v>46234</v>
      </c>
      <c r="C20" s="56" t="s">
        <v>174</v>
      </c>
      <c r="D20" s="55" t="s">
        <v>77</v>
      </c>
      <c r="E20" s="57">
        <v>7503057496053</v>
      </c>
      <c r="F20" s="58" t="s">
        <v>634</v>
      </c>
      <c r="G20" s="342" t="s">
        <v>635</v>
      </c>
      <c r="H20" s="59"/>
      <c r="I20" s="55" t="s">
        <v>636</v>
      </c>
      <c r="J20" s="55" t="s">
        <v>613</v>
      </c>
      <c r="K20" s="50" t="s">
        <v>583</v>
      </c>
      <c r="L20" s="57">
        <v>1</v>
      </c>
      <c r="M20" s="60" t="e">
        <f>0.43+$N$18</f>
        <v>#VALUE!</v>
      </c>
      <c r="N20" s="55" t="s">
        <v>64</v>
      </c>
      <c r="O20" s="54">
        <v>10000</v>
      </c>
      <c r="P20" s="60" t="e">
        <f t="shared" ca="1" si="0"/>
        <v>#VALUE!</v>
      </c>
      <c r="Q20" s="60" t="e">
        <f ca="1">+P20*0.25</f>
        <v>#VALUE!</v>
      </c>
      <c r="R20" s="60" t="e">
        <f ca="1">+(Q20+P20)*43.94%</f>
        <v>#VALUE!</v>
      </c>
      <c r="S20" s="60" t="e">
        <f t="shared" ca="1" si="1"/>
        <v>#VALUE!</v>
      </c>
      <c r="T20" s="60" t="e">
        <f t="shared" ca="1" si="2"/>
        <v>#VALUE!</v>
      </c>
      <c r="U20" s="61" t="s">
        <v>637</v>
      </c>
      <c r="V20" s="62">
        <v>69</v>
      </c>
      <c r="W20" s="63">
        <f>(V20/1.16)*0.6</f>
        <v>35.689655172413794</v>
      </c>
      <c r="X20" s="64" t="e">
        <f t="shared" ca="1" si="3"/>
        <v>#VALUE!</v>
      </c>
      <c r="Y20" s="65" t="e">
        <f t="shared" ca="1" si="4"/>
        <v>#VALUE!</v>
      </c>
      <c r="Z20" s="33">
        <f t="shared" si="5"/>
        <v>0.4</v>
      </c>
      <c r="AA20" s="58" t="s">
        <v>638</v>
      </c>
      <c r="AB20" s="55" t="s">
        <v>287</v>
      </c>
      <c r="AC20" s="66">
        <v>6</v>
      </c>
      <c r="AD20" s="66">
        <f>+AC20*4</f>
        <v>24</v>
      </c>
      <c r="AE20" s="58" t="s">
        <v>639</v>
      </c>
      <c r="AF20" s="36" t="s">
        <v>174</v>
      </c>
      <c r="AG20" s="281"/>
      <c r="AI20" s="67">
        <v>59</v>
      </c>
      <c r="AJ20" s="63">
        <f t="shared" si="6"/>
        <v>50.862068965517246</v>
      </c>
      <c r="AK20" s="64" t="e">
        <f t="shared" ca="1" si="7"/>
        <v>#VALUE!</v>
      </c>
      <c r="AL20" s="65" t="e">
        <f t="shared" ca="1" si="8"/>
        <v>#VALUE!</v>
      </c>
      <c r="AM20" s="33">
        <f t="shared" si="9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/>
      <c r="BH20" s="3"/>
      <c r="BI20" s="3"/>
      <c r="BJ20" s="3">
        <v>9</v>
      </c>
      <c r="BK20" s="3">
        <f t="shared" si="10"/>
        <v>6</v>
      </c>
      <c r="BL20" s="4">
        <f t="shared" si="11"/>
        <v>0.66666666666666663</v>
      </c>
      <c r="BM20" s="295"/>
      <c r="BN20" s="295"/>
      <c r="BO20" s="295"/>
      <c r="BP20" s="295"/>
      <c r="BQ20" s="295"/>
      <c r="BR20" s="278" t="str">
        <f t="shared" ref="BR20:BR27" si="14">+AE20</f>
        <v>Regu revisión de archivos</v>
      </c>
      <c r="BS20" s="278" t="str">
        <f t="shared" ref="BS20:BS27" si="15">+AF20</f>
        <v>Septiembre</v>
      </c>
      <c r="BT20" s="278" t="s">
        <v>640</v>
      </c>
      <c r="CJ20" s="278"/>
      <c r="CK20" s="278"/>
      <c r="CL20" s="278"/>
      <c r="CM20" s="278"/>
      <c r="CN20" s="278"/>
      <c r="CO20" s="278"/>
      <c r="CP20" s="268"/>
      <c r="CQ20" s="268"/>
      <c r="CR20" s="267"/>
      <c r="CS20" s="267"/>
      <c r="CT20" s="267"/>
      <c r="CU20" s="267"/>
      <c r="CV20" s="267"/>
      <c r="CW20" s="267"/>
      <c r="CX20" s="267"/>
      <c r="CY20" s="267"/>
      <c r="CZ20" s="267"/>
      <c r="DA20" s="267"/>
    </row>
    <row r="21" spans="1:105" ht="117.95">
      <c r="A21" s="54">
        <v>7</v>
      </c>
      <c r="B21" s="55">
        <v>46234</v>
      </c>
      <c r="C21" s="56" t="s">
        <v>174</v>
      </c>
      <c r="D21" s="55" t="s">
        <v>77</v>
      </c>
      <c r="E21" s="57">
        <v>7503057496060</v>
      </c>
      <c r="F21" s="58" t="s">
        <v>641</v>
      </c>
      <c r="G21" s="342" t="s">
        <v>642</v>
      </c>
      <c r="H21" s="59"/>
      <c r="I21" s="55" t="s">
        <v>636</v>
      </c>
      <c r="J21" s="55" t="s">
        <v>613</v>
      </c>
      <c r="K21" s="50" t="s">
        <v>583</v>
      </c>
      <c r="L21" s="57">
        <v>1</v>
      </c>
      <c r="M21" s="60" t="e">
        <f>0.43+$N$18</f>
        <v>#VALUE!</v>
      </c>
      <c r="N21" s="55" t="s">
        <v>64</v>
      </c>
      <c r="O21" s="54">
        <v>10000</v>
      </c>
      <c r="P21" s="60" t="e">
        <f t="shared" ca="1" si="0"/>
        <v>#VALUE!</v>
      </c>
      <c r="Q21" s="60" t="e">
        <f ca="1">+P21*0.25</f>
        <v>#VALUE!</v>
      </c>
      <c r="R21" s="60" t="e">
        <f ca="1">+(Q21+P21)*43.94%</f>
        <v>#VALUE!</v>
      </c>
      <c r="S21" s="60" t="e">
        <f t="shared" ca="1" si="1"/>
        <v>#VALUE!</v>
      </c>
      <c r="T21" s="60" t="e">
        <f t="shared" ca="1" si="2"/>
        <v>#VALUE!</v>
      </c>
      <c r="U21" s="61" t="s">
        <v>643</v>
      </c>
      <c r="V21" s="62">
        <v>69</v>
      </c>
      <c r="W21" s="63">
        <f>(V21/1.16)*0.6</f>
        <v>35.689655172413794</v>
      </c>
      <c r="X21" s="64" t="e">
        <f t="shared" ca="1" si="3"/>
        <v>#VALUE!</v>
      </c>
      <c r="Y21" s="65" t="e">
        <f t="shared" ca="1" si="4"/>
        <v>#VALUE!</v>
      </c>
      <c r="Z21" s="33">
        <f t="shared" si="5"/>
        <v>0.4</v>
      </c>
      <c r="AA21" s="58" t="s">
        <v>638</v>
      </c>
      <c r="AB21" s="55" t="s">
        <v>287</v>
      </c>
      <c r="AC21" s="66">
        <v>6</v>
      </c>
      <c r="AD21" s="66">
        <f>+AC21*4</f>
        <v>24</v>
      </c>
      <c r="AE21" s="58" t="s">
        <v>639</v>
      </c>
      <c r="AF21" s="36" t="s">
        <v>174</v>
      </c>
      <c r="AG21" s="281"/>
      <c r="AI21" s="67">
        <v>59</v>
      </c>
      <c r="AJ21" s="63">
        <f t="shared" si="6"/>
        <v>50.862068965517246</v>
      </c>
      <c r="AK21" s="64" t="e">
        <f t="shared" ca="1" si="7"/>
        <v>#VALUE!</v>
      </c>
      <c r="AL21" s="65" t="e">
        <f t="shared" ca="1" si="8"/>
        <v>#VALUE!</v>
      </c>
      <c r="AM21" s="33">
        <f t="shared" si="9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/>
      <c r="BH21" s="3"/>
      <c r="BI21" s="3"/>
      <c r="BJ21" s="3">
        <v>9</v>
      </c>
      <c r="BK21" s="3">
        <f t="shared" si="10"/>
        <v>6</v>
      </c>
      <c r="BL21" s="4">
        <f t="shared" si="11"/>
        <v>0.66666666666666663</v>
      </c>
      <c r="BM21" s="295"/>
      <c r="BN21" s="295"/>
      <c r="BO21" s="295"/>
      <c r="BP21" s="295"/>
      <c r="BQ21" s="295"/>
      <c r="BR21" s="278" t="str">
        <f t="shared" si="14"/>
        <v>Regu revisión de archivos</v>
      </c>
      <c r="BS21" s="278" t="str">
        <f t="shared" si="15"/>
        <v>Septiembre</v>
      </c>
      <c r="BT21" s="278" t="s">
        <v>640</v>
      </c>
      <c r="CJ21" s="278"/>
      <c r="CK21" s="278"/>
      <c r="CL21" s="278"/>
      <c r="CM21" s="278"/>
      <c r="CN21" s="278"/>
      <c r="CO21" s="278"/>
      <c r="CP21" s="268"/>
      <c r="CQ21" s="268"/>
      <c r="CR21" s="267"/>
      <c r="CS21" s="267"/>
      <c r="CT21" s="267"/>
      <c r="CU21" s="267"/>
      <c r="CV21" s="267"/>
      <c r="CW21" s="267"/>
      <c r="CX21" s="267"/>
      <c r="CY21" s="267"/>
      <c r="CZ21" s="267"/>
      <c r="DA21" s="267"/>
    </row>
    <row r="22" spans="1:105" ht="236.1">
      <c r="A22" s="54">
        <v>8</v>
      </c>
      <c r="B22" s="55">
        <v>46234</v>
      </c>
      <c r="C22" s="56" t="s">
        <v>174</v>
      </c>
      <c r="D22" s="55" t="s">
        <v>77</v>
      </c>
      <c r="E22" s="57">
        <v>7503057496077</v>
      </c>
      <c r="F22" s="58" t="s">
        <v>644</v>
      </c>
      <c r="G22" s="342" t="s">
        <v>645</v>
      </c>
      <c r="H22" s="68"/>
      <c r="I22" s="55" t="s">
        <v>636</v>
      </c>
      <c r="J22" s="55" t="s">
        <v>613</v>
      </c>
      <c r="K22" s="50" t="s">
        <v>583</v>
      </c>
      <c r="L22" s="57">
        <v>1</v>
      </c>
      <c r="M22" s="60" t="e">
        <f>0.793+$N$18</f>
        <v>#VALUE!</v>
      </c>
      <c r="N22" s="55" t="s">
        <v>64</v>
      </c>
      <c r="O22" s="54">
        <v>10000</v>
      </c>
      <c r="P22" s="60" t="e">
        <f t="shared" ca="1" si="0"/>
        <v>#VALUE!</v>
      </c>
      <c r="Q22" s="60" t="e">
        <f ca="1">+P22*0.25</f>
        <v>#VALUE!</v>
      </c>
      <c r="R22" s="60" t="e">
        <f ca="1">+(Q22+P22)*26.93%</f>
        <v>#VALUE!</v>
      </c>
      <c r="S22" s="60" t="e">
        <f t="shared" ca="1" si="1"/>
        <v>#VALUE!</v>
      </c>
      <c r="T22" s="60" t="e">
        <f t="shared" ca="1" si="2"/>
        <v>#VALUE!</v>
      </c>
      <c r="U22" s="61" t="s">
        <v>646</v>
      </c>
      <c r="V22" s="62">
        <v>89</v>
      </c>
      <c r="W22" s="63">
        <f>(V22/1.16)*0.65</f>
        <v>49.87068965517242</v>
      </c>
      <c r="X22" s="64" t="e">
        <f t="shared" ca="1" si="3"/>
        <v>#VALUE!</v>
      </c>
      <c r="Y22" s="65" t="e">
        <f t="shared" ca="1" si="4"/>
        <v>#VALUE!</v>
      </c>
      <c r="Z22" s="33">
        <f t="shared" si="5"/>
        <v>0.35</v>
      </c>
      <c r="AA22" s="58" t="s">
        <v>638</v>
      </c>
      <c r="AB22" s="55" t="s">
        <v>287</v>
      </c>
      <c r="AC22" s="66">
        <v>6</v>
      </c>
      <c r="AD22" s="66">
        <f>+AC22*4</f>
        <v>24</v>
      </c>
      <c r="AE22" s="58" t="s">
        <v>647</v>
      </c>
      <c r="AF22" s="36" t="s">
        <v>174</v>
      </c>
      <c r="AG22" s="281"/>
      <c r="AI22" s="67">
        <v>69</v>
      </c>
      <c r="AJ22" s="63">
        <f t="shared" si="6"/>
        <v>59.482758620689658</v>
      </c>
      <c r="AK22" s="64" t="e">
        <f t="shared" ca="1" si="7"/>
        <v>#VALUE!</v>
      </c>
      <c r="AL22" s="65" t="e">
        <f t="shared" ca="1" si="8"/>
        <v>#VALUE!</v>
      </c>
      <c r="AM22" s="33">
        <f t="shared" si="9"/>
        <v>0</v>
      </c>
      <c r="BA22" s="3">
        <v>1</v>
      </c>
      <c r="BB22" s="3">
        <v>1</v>
      </c>
      <c r="BC22" s="3">
        <v>1</v>
      </c>
      <c r="BD22" s="3">
        <v>1</v>
      </c>
      <c r="BE22" s="3"/>
      <c r="BF22" s="3"/>
      <c r="BG22" s="3"/>
      <c r="BH22" s="3"/>
      <c r="BI22" s="3"/>
      <c r="BJ22" s="3">
        <v>9</v>
      </c>
      <c r="BK22" s="3">
        <f t="shared" si="10"/>
        <v>4</v>
      </c>
      <c r="BL22" s="4">
        <f t="shared" si="11"/>
        <v>0.44444444444444442</v>
      </c>
      <c r="BM22" s="295"/>
      <c r="BN22" s="295"/>
      <c r="BO22" s="295"/>
      <c r="BP22" s="295"/>
      <c r="BQ22" s="295"/>
      <c r="BR22" s="278" t="str">
        <f t="shared" si="14"/>
        <v>Falta confirmación de molde de envase 2D o 3D</v>
      </c>
      <c r="BS22" s="278" t="str">
        <f t="shared" si="15"/>
        <v>Septiembre</v>
      </c>
      <c r="BT22" s="278" t="s">
        <v>640</v>
      </c>
      <c r="CJ22" s="278"/>
      <c r="CK22" s="278"/>
      <c r="CL22" s="278"/>
      <c r="CM22" s="278"/>
      <c r="CN22" s="278"/>
      <c r="CO22" s="278"/>
      <c r="CP22" s="268"/>
      <c r="CQ22" s="268"/>
      <c r="CR22" s="267"/>
      <c r="CS22" s="267"/>
      <c r="CT22" s="267"/>
      <c r="CU22" s="267"/>
      <c r="CV22" s="267"/>
      <c r="CW22" s="267"/>
      <c r="CX22" s="267"/>
      <c r="CY22" s="267"/>
      <c r="CZ22" s="267"/>
      <c r="DA22" s="267"/>
    </row>
    <row r="23" spans="1:105" ht="236.1">
      <c r="A23" s="54">
        <v>9</v>
      </c>
      <c r="B23" s="55">
        <v>46234</v>
      </c>
      <c r="C23" s="56" t="s">
        <v>174</v>
      </c>
      <c r="D23" s="55" t="s">
        <v>77</v>
      </c>
      <c r="E23" s="57">
        <v>7503057496084</v>
      </c>
      <c r="F23" s="58" t="s">
        <v>648</v>
      </c>
      <c r="G23" s="342" t="s">
        <v>649</v>
      </c>
      <c r="H23" s="59"/>
      <c r="I23" s="55" t="s">
        <v>636</v>
      </c>
      <c r="J23" s="55" t="s">
        <v>613</v>
      </c>
      <c r="K23" s="50" t="s">
        <v>583</v>
      </c>
      <c r="L23" s="57">
        <v>1</v>
      </c>
      <c r="M23" s="60" t="e">
        <f>0.57+$N$18</f>
        <v>#VALUE!</v>
      </c>
      <c r="N23" s="55" t="s">
        <v>64</v>
      </c>
      <c r="O23" s="54">
        <v>10000</v>
      </c>
      <c r="P23" s="60" t="e">
        <f t="shared" ca="1" si="0"/>
        <v>#VALUE!</v>
      </c>
      <c r="Q23" s="60" t="e">
        <f ca="1">+P23*0.25</f>
        <v>#VALUE!</v>
      </c>
      <c r="R23" s="60" t="e">
        <f ca="1">+(Q23+P23)*33.15%</f>
        <v>#VALUE!</v>
      </c>
      <c r="S23" s="60" t="e">
        <f t="shared" ca="1" si="1"/>
        <v>#VALUE!</v>
      </c>
      <c r="T23" s="60" t="e">
        <f t="shared" ca="1" si="2"/>
        <v>#VALUE!</v>
      </c>
      <c r="U23" s="61" t="s">
        <v>650</v>
      </c>
      <c r="V23" s="62">
        <v>69</v>
      </c>
      <c r="W23" s="63">
        <f>(V23/1.16)*0.6</f>
        <v>35.689655172413794</v>
      </c>
      <c r="X23" s="64" t="e">
        <f t="shared" ca="1" si="3"/>
        <v>#VALUE!</v>
      </c>
      <c r="Y23" s="65" t="e">
        <f t="shared" ca="1" si="4"/>
        <v>#VALUE!</v>
      </c>
      <c r="Z23" s="33">
        <f t="shared" si="5"/>
        <v>0.4</v>
      </c>
      <c r="AA23" s="58" t="s">
        <v>638</v>
      </c>
      <c r="AB23" s="55" t="s">
        <v>287</v>
      </c>
      <c r="AC23" s="66">
        <v>6</v>
      </c>
      <c r="AD23" s="66">
        <f>+AC23*4</f>
        <v>24</v>
      </c>
      <c r="AE23" s="58" t="s">
        <v>651</v>
      </c>
      <c r="AF23" s="36" t="s">
        <v>174</v>
      </c>
      <c r="AG23" s="281"/>
      <c r="AI23" s="67">
        <v>69</v>
      </c>
      <c r="AJ23" s="63">
        <f t="shared" si="6"/>
        <v>59.482758620689658</v>
      </c>
      <c r="AK23" s="64" t="e">
        <f t="shared" ca="1" si="7"/>
        <v>#VALUE!</v>
      </c>
      <c r="AL23" s="65" t="e">
        <f t="shared" ca="1" si="8"/>
        <v>#VALUE!</v>
      </c>
      <c r="AM23" s="33">
        <f t="shared" si="9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/>
      <c r="BH23" s="3"/>
      <c r="BI23" s="3"/>
      <c r="BJ23" s="3">
        <v>9</v>
      </c>
      <c r="BK23" s="3">
        <f t="shared" si="10"/>
        <v>6</v>
      </c>
      <c r="BL23" s="4">
        <f t="shared" si="11"/>
        <v>0.66666666666666663</v>
      </c>
      <c r="BM23" s="295"/>
      <c r="BN23" s="295"/>
      <c r="BO23" s="295"/>
      <c r="BP23" s="295"/>
      <c r="BQ23" s="295"/>
      <c r="BR23" s="278" t="str">
        <f t="shared" si="14"/>
        <v>En espera de PPEDIDOS</v>
      </c>
      <c r="BS23" s="278" t="str">
        <f t="shared" si="15"/>
        <v>Septiembre</v>
      </c>
      <c r="BT23" s="278" t="s">
        <v>640</v>
      </c>
      <c r="CJ23" s="278"/>
      <c r="CK23" s="278"/>
      <c r="CL23" s="278"/>
      <c r="CM23" s="278"/>
      <c r="CN23" s="278"/>
      <c r="CO23" s="278"/>
      <c r="CP23" s="268"/>
      <c r="CQ23" s="268"/>
      <c r="CR23" s="267"/>
      <c r="CS23" s="267"/>
      <c r="CT23" s="267"/>
      <c r="CU23" s="267"/>
      <c r="CV23" s="267"/>
      <c r="CW23" s="267"/>
      <c r="CX23" s="267"/>
      <c r="CY23" s="267"/>
      <c r="CZ23" s="267"/>
      <c r="DA23" s="267"/>
    </row>
    <row r="24" spans="1:105" ht="236.1">
      <c r="A24" s="54">
        <v>11</v>
      </c>
      <c r="B24" s="55">
        <v>46234</v>
      </c>
      <c r="C24" s="56" t="s">
        <v>174</v>
      </c>
      <c r="D24" s="55" t="s">
        <v>77</v>
      </c>
      <c r="E24" s="57">
        <v>7503057496107</v>
      </c>
      <c r="F24" s="58" t="s">
        <v>652</v>
      </c>
      <c r="G24" s="342" t="s">
        <v>653</v>
      </c>
      <c r="H24" s="59"/>
      <c r="I24" s="55" t="s">
        <v>654</v>
      </c>
      <c r="J24" s="55" t="s">
        <v>613</v>
      </c>
      <c r="K24" s="50" t="s">
        <v>583</v>
      </c>
      <c r="L24" s="57">
        <v>1</v>
      </c>
      <c r="M24" s="60"/>
      <c r="N24" s="55" t="s">
        <v>81</v>
      </c>
      <c r="O24" s="54">
        <v>10000</v>
      </c>
      <c r="P24" s="60" t="e">
        <v>#NAME?</v>
      </c>
      <c r="Q24" s="60">
        <v>0</v>
      </c>
      <c r="R24" s="60">
        <v>0</v>
      </c>
      <c r="S24" s="60" t="e">
        <f t="shared" ca="1" si="1"/>
        <v>#VALUE!</v>
      </c>
      <c r="T24" s="60" t="e">
        <f t="shared" ca="1" si="2"/>
        <v>#NAME?</v>
      </c>
      <c r="U24" s="61" t="s">
        <v>655</v>
      </c>
      <c r="V24" s="62">
        <v>99</v>
      </c>
      <c r="W24" s="63">
        <f>(V24/1.16)*0.6</f>
        <v>51.206896551724142</v>
      </c>
      <c r="X24" s="64" t="e">
        <f t="shared" ca="1" si="3"/>
        <v>#NAME?</v>
      </c>
      <c r="Y24" s="65" t="e">
        <f t="shared" ca="1" si="4"/>
        <v>#NAME?</v>
      </c>
      <c r="Z24" s="33">
        <f t="shared" si="5"/>
        <v>0.4</v>
      </c>
      <c r="AA24" s="58" t="s">
        <v>638</v>
      </c>
      <c r="AB24" s="55" t="s">
        <v>656</v>
      </c>
      <c r="AC24" s="66">
        <v>6</v>
      </c>
      <c r="AD24" s="66">
        <f>+AC24*12</f>
        <v>72</v>
      </c>
      <c r="AE24" s="58" t="s">
        <v>651</v>
      </c>
      <c r="AF24" s="36" t="s">
        <v>174</v>
      </c>
      <c r="AG24" s="281"/>
      <c r="AI24" s="67">
        <v>59</v>
      </c>
      <c r="AJ24" s="63">
        <f t="shared" si="6"/>
        <v>50.862068965517246</v>
      </c>
      <c r="AK24" s="64" t="e">
        <f t="shared" ca="1" si="7"/>
        <v>#NAME?</v>
      </c>
      <c r="AL24" s="65" t="e">
        <f t="shared" ca="1" si="8"/>
        <v>#NAME?</v>
      </c>
      <c r="AM24" s="33">
        <f t="shared" si="9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/>
      <c r="BH24" s="3"/>
      <c r="BI24" s="3"/>
      <c r="BJ24" s="3">
        <v>9</v>
      </c>
      <c r="BK24" s="3">
        <f t="shared" si="10"/>
        <v>6</v>
      </c>
      <c r="BL24" s="4">
        <f t="shared" si="11"/>
        <v>0.66666666666666663</v>
      </c>
      <c r="BM24" s="295"/>
      <c r="BN24" s="295"/>
      <c r="BO24" s="295"/>
      <c r="BP24" s="295"/>
      <c r="BQ24" s="295"/>
      <c r="BR24" s="278" t="str">
        <f t="shared" si="14"/>
        <v>En espera de PPEDIDOS</v>
      </c>
      <c r="BS24" s="278" t="str">
        <f t="shared" si="15"/>
        <v>Septiembre</v>
      </c>
      <c r="BT24" s="278" t="s">
        <v>640</v>
      </c>
      <c r="CJ24" s="278"/>
      <c r="CK24" s="278"/>
      <c r="CL24" s="278"/>
      <c r="CM24" s="278"/>
      <c r="CN24" s="278"/>
      <c r="CO24" s="278"/>
      <c r="CP24" s="268"/>
      <c r="CQ24" s="268"/>
      <c r="CR24" s="267"/>
      <c r="CS24" s="267"/>
      <c r="CT24" s="267"/>
      <c r="CU24" s="267"/>
      <c r="CV24" s="267"/>
      <c r="CW24" s="267"/>
      <c r="CX24" s="267"/>
      <c r="CY24" s="267"/>
      <c r="CZ24" s="267"/>
      <c r="DA24" s="267"/>
    </row>
    <row r="25" spans="1:105" ht="236.1">
      <c r="A25" s="54">
        <v>12</v>
      </c>
      <c r="B25" s="55">
        <v>46234</v>
      </c>
      <c r="C25" s="56" t="s">
        <v>174</v>
      </c>
      <c r="D25" s="55" t="s">
        <v>77</v>
      </c>
      <c r="E25" s="57">
        <v>7503057496091</v>
      </c>
      <c r="F25" s="58" t="s">
        <v>657</v>
      </c>
      <c r="G25" s="342" t="s">
        <v>658</v>
      </c>
      <c r="H25" s="59"/>
      <c r="I25" s="55" t="s">
        <v>654</v>
      </c>
      <c r="J25" s="55" t="s">
        <v>613</v>
      </c>
      <c r="K25" s="50" t="s">
        <v>583</v>
      </c>
      <c r="L25" s="57">
        <v>1</v>
      </c>
      <c r="M25" s="60"/>
      <c r="N25" s="55" t="s">
        <v>81</v>
      </c>
      <c r="O25" s="54">
        <v>10000</v>
      </c>
      <c r="P25" s="60" t="e">
        <v>#NAME?</v>
      </c>
      <c r="Q25" s="60">
        <v>0</v>
      </c>
      <c r="R25" s="60">
        <v>0</v>
      </c>
      <c r="S25" s="60" t="e">
        <f t="shared" ca="1" si="1"/>
        <v>#VALUE!</v>
      </c>
      <c r="T25" s="60" t="e">
        <f t="shared" ca="1" si="2"/>
        <v>#NAME?</v>
      </c>
      <c r="U25" s="61" t="s">
        <v>659</v>
      </c>
      <c r="V25" s="62">
        <v>99</v>
      </c>
      <c r="W25" s="63">
        <f>(V25/1.16)*0.6</f>
        <v>51.206896551724142</v>
      </c>
      <c r="X25" s="64" t="e">
        <f t="shared" ca="1" si="3"/>
        <v>#NAME?</v>
      </c>
      <c r="Y25" s="65" t="e">
        <f t="shared" ca="1" si="4"/>
        <v>#NAME?</v>
      </c>
      <c r="Z25" s="33">
        <f t="shared" si="5"/>
        <v>0.4</v>
      </c>
      <c r="AA25" s="58" t="s">
        <v>625</v>
      </c>
      <c r="AB25" s="55" t="s">
        <v>656</v>
      </c>
      <c r="AC25" s="66">
        <v>6</v>
      </c>
      <c r="AD25" s="66">
        <f>+AC25*12</f>
        <v>72</v>
      </c>
      <c r="AE25" s="58" t="s">
        <v>651</v>
      </c>
      <c r="AF25" s="36" t="s">
        <v>174</v>
      </c>
      <c r="AG25" s="281"/>
      <c r="AI25" s="67">
        <v>59</v>
      </c>
      <c r="AJ25" s="63">
        <f t="shared" si="6"/>
        <v>50.862068965517246</v>
      </c>
      <c r="AK25" s="64" t="e">
        <f t="shared" ca="1" si="7"/>
        <v>#NAME?</v>
      </c>
      <c r="AL25" s="65" t="e">
        <f t="shared" ca="1" si="8"/>
        <v>#NAME?</v>
      </c>
      <c r="AM25" s="33">
        <f t="shared" si="9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/>
      <c r="BH25" s="3"/>
      <c r="BI25" s="3"/>
      <c r="BJ25" s="3">
        <v>9</v>
      </c>
      <c r="BK25" s="3">
        <f t="shared" si="10"/>
        <v>6</v>
      </c>
      <c r="BL25" s="4">
        <f t="shared" si="11"/>
        <v>0.66666666666666663</v>
      </c>
      <c r="BM25" s="295"/>
      <c r="BN25" s="295"/>
      <c r="BO25" s="295"/>
      <c r="BP25" s="295"/>
      <c r="BQ25" s="295"/>
      <c r="BR25" s="278" t="str">
        <f t="shared" si="14"/>
        <v>En espera de PPEDIDOS</v>
      </c>
      <c r="BS25" s="278" t="str">
        <f t="shared" si="15"/>
        <v>Septiembre</v>
      </c>
      <c r="BT25" s="278" t="s">
        <v>640</v>
      </c>
      <c r="CJ25" s="278"/>
      <c r="CK25" s="278"/>
      <c r="CL25" s="278"/>
      <c r="CM25" s="278"/>
      <c r="CN25" s="278"/>
      <c r="CO25" s="278"/>
      <c r="CP25" s="268"/>
      <c r="CQ25" s="268"/>
      <c r="CR25" s="267"/>
      <c r="CS25" s="267"/>
      <c r="CT25" s="267"/>
      <c r="CU25" s="267"/>
      <c r="CV25" s="267"/>
      <c r="CW25" s="267"/>
      <c r="CX25" s="267"/>
      <c r="CY25" s="267"/>
      <c r="CZ25" s="267"/>
      <c r="DA25" s="267"/>
    </row>
    <row r="26" spans="1:105" ht="147.6">
      <c r="A26" s="54">
        <v>13</v>
      </c>
      <c r="B26" s="55">
        <v>46234</v>
      </c>
      <c r="C26" s="56" t="s">
        <v>174</v>
      </c>
      <c r="D26" s="55" t="s">
        <v>77</v>
      </c>
      <c r="E26" s="57">
        <v>7503057496114</v>
      </c>
      <c r="F26" s="58" t="s">
        <v>660</v>
      </c>
      <c r="G26" s="342" t="s">
        <v>661</v>
      </c>
      <c r="H26" s="69"/>
      <c r="I26" s="55" t="s">
        <v>662</v>
      </c>
      <c r="J26" s="55" t="s">
        <v>613</v>
      </c>
      <c r="K26" s="50" t="s">
        <v>583</v>
      </c>
      <c r="L26" s="57">
        <v>1</v>
      </c>
      <c r="M26" s="60" t="e">
        <f>0.85+$N$18</f>
        <v>#VALUE!</v>
      </c>
      <c r="N26" s="55" t="s">
        <v>64</v>
      </c>
      <c r="O26" s="54">
        <v>10000</v>
      </c>
      <c r="P26" s="60" t="e">
        <f ca="1">+M26*$Q$18</f>
        <v>#VALUE!</v>
      </c>
      <c r="Q26" s="60" t="e">
        <f ca="1">+P26*0.15</f>
        <v>#VALUE!</v>
      </c>
      <c r="R26" s="60" t="e">
        <f ca="1">+(Q26+P26)*15.33%</f>
        <v>#VALUE!</v>
      </c>
      <c r="S26" s="60" t="e">
        <f t="shared" ca="1" si="1"/>
        <v>#VALUE!</v>
      </c>
      <c r="T26" s="60" t="e">
        <f t="shared" ca="1" si="2"/>
        <v>#VALUE!</v>
      </c>
      <c r="U26" s="61" t="s">
        <v>663</v>
      </c>
      <c r="V26" s="62">
        <v>99</v>
      </c>
      <c r="W26" s="63">
        <f>(V26/1.16)*0.6</f>
        <v>51.206896551724142</v>
      </c>
      <c r="X26" s="64" t="e">
        <f t="shared" ca="1" si="3"/>
        <v>#VALUE!</v>
      </c>
      <c r="Y26" s="65" t="e">
        <f t="shared" ca="1" si="4"/>
        <v>#VALUE!</v>
      </c>
      <c r="Z26" s="33">
        <f t="shared" si="5"/>
        <v>0.4</v>
      </c>
      <c r="AA26" s="58" t="s">
        <v>625</v>
      </c>
      <c r="AB26" s="55" t="s">
        <v>287</v>
      </c>
      <c r="AC26" s="66">
        <v>6</v>
      </c>
      <c r="AD26" s="66">
        <f>+AC26*12</f>
        <v>72</v>
      </c>
      <c r="AE26" s="58" t="s">
        <v>664</v>
      </c>
      <c r="AF26" s="36" t="s">
        <v>174</v>
      </c>
      <c r="AG26" s="281"/>
      <c r="AI26" s="67">
        <v>49</v>
      </c>
      <c r="AJ26" s="63">
        <f t="shared" si="6"/>
        <v>42.241379310344833</v>
      </c>
      <c r="AK26" s="64" t="e">
        <f t="shared" ca="1" si="7"/>
        <v>#VALUE!</v>
      </c>
      <c r="AL26" s="65" t="e">
        <f t="shared" ca="1" si="8"/>
        <v>#VALUE!</v>
      </c>
      <c r="AM26" s="33">
        <f t="shared" si="9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/>
      <c r="BH26" s="3"/>
      <c r="BI26" s="3"/>
      <c r="BJ26" s="3">
        <v>9</v>
      </c>
      <c r="BK26" s="3">
        <f t="shared" si="10"/>
        <v>6</v>
      </c>
      <c r="BL26" s="4">
        <f t="shared" si="11"/>
        <v>0.66666666666666663</v>
      </c>
      <c r="BM26" s="295"/>
      <c r="BN26" s="295"/>
      <c r="BO26" s="295"/>
      <c r="BP26" s="295"/>
      <c r="BQ26" s="295"/>
      <c r="BR26" s="278" t="str">
        <f t="shared" si="14"/>
        <v>En revisión de regulatorios</v>
      </c>
      <c r="BS26" s="278" t="str">
        <f t="shared" si="15"/>
        <v>Septiembre</v>
      </c>
      <c r="BT26" s="278" t="s">
        <v>129</v>
      </c>
      <c r="CJ26" s="278"/>
      <c r="CK26" s="278"/>
      <c r="CL26" s="278"/>
      <c r="CM26" s="278"/>
      <c r="CN26" s="278"/>
      <c r="CO26" s="278"/>
      <c r="CP26" s="268"/>
      <c r="CQ26" s="268"/>
      <c r="CR26" s="267"/>
      <c r="CS26" s="267"/>
      <c r="CT26" s="267"/>
      <c r="CU26" s="267"/>
      <c r="CV26" s="267"/>
      <c r="CW26" s="267"/>
      <c r="CX26" s="267"/>
      <c r="CY26" s="267"/>
      <c r="CZ26" s="267"/>
      <c r="DA26" s="267"/>
    </row>
    <row r="27" spans="1:105" ht="147.6">
      <c r="A27" s="54">
        <v>14</v>
      </c>
      <c r="B27" s="55">
        <v>46234</v>
      </c>
      <c r="C27" s="56" t="s">
        <v>174</v>
      </c>
      <c r="D27" s="55" t="s">
        <v>77</v>
      </c>
      <c r="E27" s="57">
        <v>7503057496121</v>
      </c>
      <c r="F27" s="58" t="s">
        <v>665</v>
      </c>
      <c r="G27" s="342" t="s">
        <v>666</v>
      </c>
      <c r="H27" s="69"/>
      <c r="I27" s="55" t="s">
        <v>662</v>
      </c>
      <c r="J27" s="55" t="s">
        <v>613</v>
      </c>
      <c r="K27" s="50" t="s">
        <v>583</v>
      </c>
      <c r="L27" s="57">
        <v>1</v>
      </c>
      <c r="M27" s="60" t="e">
        <f>0.85+$N$18</f>
        <v>#VALUE!</v>
      </c>
      <c r="N27" s="55" t="s">
        <v>64</v>
      </c>
      <c r="O27" s="54">
        <v>10000</v>
      </c>
      <c r="P27" s="60" t="e">
        <f ca="1">+M27*$Q$18</f>
        <v>#VALUE!</v>
      </c>
      <c r="Q27" s="60" t="e">
        <f ca="1">+P27*0.15</f>
        <v>#VALUE!</v>
      </c>
      <c r="R27" s="60" t="e">
        <f ca="1">+(Q27+P27)*15.33%</f>
        <v>#VALUE!</v>
      </c>
      <c r="S27" s="60" t="e">
        <f t="shared" ca="1" si="1"/>
        <v>#VALUE!</v>
      </c>
      <c r="T27" s="60" t="e">
        <f t="shared" ca="1" si="2"/>
        <v>#VALUE!</v>
      </c>
      <c r="U27" s="61" t="s">
        <v>667</v>
      </c>
      <c r="V27" s="62">
        <v>99</v>
      </c>
      <c r="W27" s="63">
        <f>(V27/1.16)*0.6</f>
        <v>51.206896551724142</v>
      </c>
      <c r="X27" s="64" t="e">
        <f t="shared" ca="1" si="3"/>
        <v>#VALUE!</v>
      </c>
      <c r="Y27" s="65" t="e">
        <f t="shared" ca="1" si="4"/>
        <v>#VALUE!</v>
      </c>
      <c r="Z27" s="33">
        <f t="shared" si="5"/>
        <v>0.4</v>
      </c>
      <c r="AA27" s="58" t="s">
        <v>625</v>
      </c>
      <c r="AB27" s="55" t="s">
        <v>287</v>
      </c>
      <c r="AC27" s="66">
        <v>6</v>
      </c>
      <c r="AD27" s="66">
        <f>+AC27*12</f>
        <v>72</v>
      </c>
      <c r="AE27" s="58" t="s">
        <v>664</v>
      </c>
      <c r="AF27" s="36" t="s">
        <v>174</v>
      </c>
      <c r="AG27" s="281"/>
      <c r="AI27" s="67">
        <v>49</v>
      </c>
      <c r="AJ27" s="63">
        <f t="shared" si="6"/>
        <v>42.241379310344833</v>
      </c>
      <c r="AK27" s="64" t="e">
        <f t="shared" ca="1" si="7"/>
        <v>#VALUE!</v>
      </c>
      <c r="AL27" s="65" t="e">
        <f t="shared" ca="1" si="8"/>
        <v>#VALUE!</v>
      </c>
      <c r="AM27" s="33">
        <f t="shared" si="9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/>
      <c r="BH27" s="3"/>
      <c r="BI27" s="3"/>
      <c r="BJ27" s="3">
        <v>9</v>
      </c>
      <c r="BK27" s="3">
        <f t="shared" si="10"/>
        <v>6</v>
      </c>
      <c r="BL27" s="4">
        <f t="shared" si="11"/>
        <v>0.66666666666666663</v>
      </c>
      <c r="BM27" s="295"/>
      <c r="BN27" s="295"/>
      <c r="BO27" s="295"/>
      <c r="BP27" s="295"/>
      <c r="BQ27" s="295"/>
      <c r="BR27" s="278" t="str">
        <f t="shared" si="14"/>
        <v>En revisión de regulatorios</v>
      </c>
      <c r="BS27" s="278" t="str">
        <f t="shared" si="15"/>
        <v>Septiembre</v>
      </c>
      <c r="BT27" s="278" t="s">
        <v>129</v>
      </c>
      <c r="CJ27" s="278"/>
      <c r="CK27" s="278"/>
      <c r="CL27" s="278"/>
      <c r="CM27" s="278"/>
      <c r="CN27" s="278"/>
      <c r="CO27" s="278"/>
      <c r="CP27" s="268"/>
      <c r="CQ27" s="268"/>
      <c r="CR27" s="267"/>
      <c r="CS27" s="267"/>
      <c r="CT27" s="267"/>
      <c r="CU27" s="267"/>
      <c r="CV27" s="267"/>
      <c r="CW27" s="267"/>
      <c r="CX27" s="267"/>
      <c r="CY27" s="267"/>
      <c r="CZ27" s="267"/>
      <c r="DA27" s="267"/>
    </row>
    <row r="28" spans="1:105">
      <c r="CJ28" s="278"/>
      <c r="CK28" s="278"/>
      <c r="CL28" s="278"/>
      <c r="CM28" s="278"/>
      <c r="CN28" s="278"/>
      <c r="CO28" s="278"/>
      <c r="CP28" s="268"/>
      <c r="CQ28" s="268"/>
      <c r="CR28" s="267"/>
      <c r="CS28" s="267"/>
      <c r="CT28" s="267"/>
      <c r="CU28" s="267"/>
      <c r="CV28" s="267"/>
      <c r="CW28" s="267"/>
      <c r="CX28" s="267"/>
      <c r="CY28" s="267"/>
      <c r="CZ28" s="267"/>
      <c r="DA28" s="267"/>
    </row>
    <row r="29" spans="1:105">
      <c r="CJ29" s="278"/>
      <c r="CK29" s="278"/>
      <c r="CL29" s="278"/>
      <c r="CM29" s="278"/>
      <c r="CN29" s="278"/>
      <c r="CO29" s="278"/>
      <c r="CP29" s="268"/>
      <c r="CQ29" s="268"/>
      <c r="CR29" s="267"/>
      <c r="CS29" s="267"/>
      <c r="CT29" s="267"/>
      <c r="CU29" s="267"/>
      <c r="CV29" s="267"/>
      <c r="CW29" s="267"/>
      <c r="CX29" s="267"/>
      <c r="CY29" s="267"/>
      <c r="CZ29" s="267"/>
      <c r="DA29" s="267"/>
    </row>
    <row r="30" spans="1:105">
      <c r="CJ30" s="278"/>
      <c r="CK30" s="278"/>
      <c r="CL30" s="278"/>
      <c r="CM30" s="278"/>
      <c r="CN30" s="278"/>
      <c r="CO30" s="278"/>
      <c r="CP30" s="268"/>
      <c r="CQ30" s="268"/>
      <c r="CR30" s="267"/>
      <c r="CS30" s="267"/>
      <c r="CT30" s="267"/>
      <c r="CU30" s="267"/>
      <c r="CV30" s="267"/>
      <c r="CW30" s="267"/>
      <c r="CX30" s="267"/>
      <c r="CY30" s="267"/>
      <c r="CZ30" s="267"/>
      <c r="DA30" s="267"/>
    </row>
    <row r="31" spans="1:105">
      <c r="CJ31" s="278"/>
      <c r="CK31" s="278"/>
      <c r="CL31" s="278"/>
      <c r="CM31" s="278"/>
      <c r="CN31" s="278"/>
      <c r="CO31" s="278"/>
      <c r="CP31" s="268"/>
      <c r="CQ31" s="268"/>
      <c r="CR31" s="267"/>
      <c r="CS31" s="267"/>
      <c r="CT31" s="267"/>
      <c r="CU31" s="267"/>
      <c r="CV31" s="267"/>
      <c r="CW31" s="267"/>
      <c r="CX31" s="267"/>
      <c r="CY31" s="267"/>
      <c r="CZ31" s="267"/>
      <c r="DA31" s="267"/>
    </row>
    <row r="32" spans="1:105">
      <c r="CJ32" s="278"/>
      <c r="CK32" s="278"/>
      <c r="CL32" s="278"/>
      <c r="CM32" s="278"/>
      <c r="CN32" s="278"/>
      <c r="CO32" s="278"/>
      <c r="CP32" s="268"/>
      <c r="CQ32" s="268"/>
      <c r="CR32" s="267"/>
      <c r="CS32" s="267"/>
      <c r="CT32" s="267"/>
      <c r="CU32" s="267"/>
      <c r="CV32" s="267"/>
      <c r="CW32" s="267"/>
      <c r="CX32" s="267"/>
      <c r="CY32" s="267"/>
      <c r="CZ32" s="267"/>
      <c r="DA32" s="267"/>
    </row>
    <row r="33" spans="88:105">
      <c r="CJ33" s="278"/>
      <c r="CK33" s="278"/>
      <c r="CL33" s="278"/>
      <c r="CM33" s="278"/>
      <c r="CN33" s="278"/>
      <c r="CO33" s="278"/>
      <c r="CP33" s="268"/>
      <c r="CQ33" s="268"/>
      <c r="CR33" s="267"/>
      <c r="CS33" s="267"/>
      <c r="CT33" s="267"/>
      <c r="CU33" s="267"/>
      <c r="CV33" s="267"/>
      <c r="CW33" s="267"/>
      <c r="CX33" s="267"/>
      <c r="CY33" s="267"/>
      <c r="CZ33" s="267"/>
      <c r="DA33" s="267"/>
    </row>
    <row r="34" spans="88:105">
      <c r="CJ34" s="278"/>
      <c r="CK34" s="278"/>
      <c r="CL34" s="278"/>
      <c r="CM34" s="278"/>
      <c r="CN34" s="278"/>
      <c r="CO34" s="278"/>
      <c r="CP34" s="268"/>
      <c r="CQ34" s="268"/>
      <c r="CR34" s="267"/>
      <c r="CS34" s="267"/>
      <c r="CT34" s="267"/>
      <c r="CU34" s="267"/>
      <c r="CV34" s="267"/>
      <c r="CW34" s="267"/>
      <c r="CX34" s="267"/>
      <c r="CY34" s="267"/>
      <c r="CZ34" s="267"/>
      <c r="DA34" s="267"/>
    </row>
    <row r="35" spans="88:105">
      <c r="CJ35" s="278"/>
      <c r="CK35" s="278"/>
      <c r="CL35" s="278"/>
      <c r="CM35" s="278"/>
      <c r="CN35" s="278"/>
      <c r="CO35" s="278"/>
      <c r="CP35" s="268"/>
      <c r="CQ35" s="268"/>
      <c r="CR35" s="267"/>
      <c r="CS35" s="267"/>
      <c r="CT35" s="267"/>
      <c r="CU35" s="267"/>
      <c r="CV35" s="267"/>
      <c r="CW35" s="267"/>
      <c r="CX35" s="267"/>
      <c r="CY35" s="267"/>
      <c r="CZ35" s="267"/>
      <c r="DA35" s="267"/>
    </row>
    <row r="36" spans="88:105">
      <c r="CJ36" s="278"/>
      <c r="CK36" s="278"/>
      <c r="CL36" s="278"/>
      <c r="CM36" s="278"/>
      <c r="CN36" s="278"/>
      <c r="CO36" s="278"/>
      <c r="CP36" s="268"/>
      <c r="CQ36" s="268"/>
      <c r="CR36" s="267"/>
      <c r="CS36" s="267"/>
      <c r="CT36" s="267"/>
      <c r="CU36" s="267"/>
      <c r="CV36" s="267"/>
      <c r="CW36" s="267"/>
      <c r="CX36" s="267"/>
      <c r="CY36" s="267"/>
      <c r="CZ36" s="267"/>
      <c r="DA36" s="267"/>
    </row>
    <row r="37" spans="88:105">
      <c r="CJ37" s="278"/>
      <c r="CK37" s="278"/>
      <c r="CL37" s="278"/>
      <c r="CM37" s="278"/>
      <c r="CN37" s="278"/>
      <c r="CO37" s="278"/>
      <c r="CP37" s="268"/>
      <c r="CQ37" s="268"/>
      <c r="CR37" s="267"/>
      <c r="CS37" s="267"/>
      <c r="CT37" s="267"/>
      <c r="CU37" s="267"/>
      <c r="CV37" s="267"/>
      <c r="CW37" s="267"/>
      <c r="CX37" s="267"/>
      <c r="CY37" s="267"/>
      <c r="CZ37" s="267"/>
      <c r="DA37" s="267"/>
    </row>
    <row r="38" spans="88:105">
      <c r="CJ38" s="278"/>
      <c r="CK38" s="278"/>
      <c r="CL38" s="278"/>
      <c r="CM38" s="278"/>
      <c r="CN38" s="278"/>
      <c r="CO38" s="278"/>
      <c r="CP38" s="268"/>
      <c r="CQ38" s="268"/>
      <c r="CR38" s="267"/>
      <c r="CS38" s="267"/>
      <c r="CT38" s="267"/>
      <c r="CU38" s="267"/>
      <c r="CV38" s="267"/>
      <c r="CW38" s="267"/>
      <c r="CX38" s="267"/>
      <c r="CY38" s="267"/>
      <c r="CZ38" s="267"/>
      <c r="DA38" s="267"/>
    </row>
    <row r="39" spans="88:105">
      <c r="CJ39" s="278"/>
      <c r="CK39" s="278"/>
      <c r="CL39" s="278"/>
      <c r="CM39" s="278"/>
      <c r="CN39" s="278"/>
      <c r="CO39" s="278"/>
      <c r="CP39" s="268"/>
      <c r="CQ39" s="268"/>
      <c r="CR39" s="267"/>
      <c r="CS39" s="267"/>
      <c r="CT39" s="267"/>
      <c r="CU39" s="267"/>
      <c r="CV39" s="267"/>
      <c r="CW39" s="267"/>
      <c r="CX39" s="267"/>
      <c r="CY39" s="267"/>
      <c r="CZ39" s="267"/>
      <c r="DA39" s="267"/>
    </row>
    <row r="40" spans="88:105">
      <c r="CJ40" s="278"/>
      <c r="CK40" s="278"/>
      <c r="CL40" s="278"/>
      <c r="CM40" s="278"/>
      <c r="CN40" s="278"/>
      <c r="CO40" s="278"/>
      <c r="CP40" s="268"/>
      <c r="CQ40" s="268"/>
      <c r="CR40" s="267"/>
      <c r="CS40" s="267"/>
      <c r="CT40" s="267"/>
      <c r="CU40" s="267"/>
      <c r="CV40" s="267"/>
      <c r="CW40" s="267"/>
      <c r="CX40" s="267"/>
      <c r="CY40" s="267"/>
      <c r="CZ40" s="267"/>
      <c r="DA40" s="267"/>
    </row>
    <row r="41" spans="88:105">
      <c r="CJ41" s="278"/>
      <c r="CK41" s="278"/>
      <c r="CL41" s="278"/>
      <c r="CM41" s="278"/>
      <c r="CN41" s="278"/>
      <c r="CO41" s="278"/>
      <c r="CP41" s="268"/>
      <c r="CQ41" s="268"/>
      <c r="CR41" s="267"/>
      <c r="CS41" s="267"/>
      <c r="CT41" s="267"/>
      <c r="CU41" s="267"/>
      <c r="CV41" s="267"/>
      <c r="CW41" s="267"/>
      <c r="CX41" s="267"/>
      <c r="CY41" s="267"/>
      <c r="CZ41" s="267"/>
      <c r="DA41" s="267"/>
    </row>
    <row r="42" spans="88:105">
      <c r="CJ42" s="278"/>
      <c r="CK42" s="278"/>
      <c r="CL42" s="278"/>
      <c r="CM42" s="278"/>
      <c r="CN42" s="278"/>
      <c r="CO42" s="278"/>
      <c r="CP42" s="268"/>
      <c r="CQ42" s="268"/>
      <c r="CR42" s="267"/>
      <c r="CS42" s="267"/>
      <c r="CT42" s="267"/>
      <c r="CU42" s="267"/>
      <c r="CV42" s="267"/>
      <c r="CW42" s="267"/>
      <c r="CX42" s="267"/>
      <c r="CY42" s="267"/>
      <c r="CZ42" s="267"/>
      <c r="DA42" s="267"/>
    </row>
    <row r="43" spans="88:105">
      <c r="CJ43" s="278"/>
      <c r="CK43" s="278"/>
      <c r="CL43" s="278"/>
      <c r="CM43" s="278"/>
      <c r="CN43" s="278"/>
      <c r="CO43" s="278"/>
      <c r="CP43" s="268"/>
      <c r="CQ43" s="268"/>
      <c r="CR43" s="267"/>
      <c r="CS43" s="267"/>
      <c r="CT43" s="267"/>
      <c r="CU43" s="267"/>
      <c r="CV43" s="267"/>
      <c r="CW43" s="267"/>
      <c r="CX43" s="267"/>
      <c r="CY43" s="267"/>
      <c r="CZ43" s="267"/>
      <c r="DA43" s="267"/>
    </row>
    <row r="44" spans="88:105">
      <c r="CJ44" s="278"/>
      <c r="CK44" s="278"/>
      <c r="CL44" s="278"/>
      <c r="CM44" s="278"/>
      <c r="CN44" s="278"/>
      <c r="CO44" s="278"/>
      <c r="CP44" s="268"/>
      <c r="CQ44" s="268"/>
      <c r="CR44" s="341"/>
      <c r="CS44" s="341"/>
      <c r="CT44" s="341"/>
      <c r="CU44" s="341"/>
      <c r="CV44" s="341"/>
      <c r="CW44" s="341"/>
      <c r="CX44" s="341"/>
      <c r="CY44" s="341"/>
      <c r="CZ44" s="341"/>
      <c r="DA44" s="341"/>
    </row>
    <row r="45" spans="88:105">
      <c r="CJ45" s="278"/>
      <c r="CK45" s="278"/>
      <c r="CL45" s="278"/>
      <c r="CM45" s="278"/>
      <c r="CN45" s="278"/>
      <c r="CO45" s="278"/>
      <c r="CP45" s="268"/>
      <c r="CQ45" s="268"/>
      <c r="CR45" s="267"/>
      <c r="CS45" s="267"/>
      <c r="CT45" s="267"/>
      <c r="CU45" s="267"/>
      <c r="CV45" s="267"/>
      <c r="CW45" s="267"/>
      <c r="CX45" s="267"/>
      <c r="CY45" s="267"/>
      <c r="CZ45" s="267"/>
      <c r="DA45" s="267"/>
    </row>
    <row r="46" spans="88:105">
      <c r="CJ46" s="278"/>
      <c r="CK46" s="278"/>
      <c r="CL46" s="278"/>
      <c r="CM46" s="278"/>
      <c r="CN46" s="278"/>
      <c r="CO46" s="278"/>
      <c r="CP46" s="268"/>
      <c r="CQ46" s="268"/>
      <c r="CR46" s="267"/>
      <c r="CS46" s="267"/>
      <c r="CT46" s="267"/>
      <c r="CU46" s="267"/>
      <c r="CV46" s="267"/>
      <c r="CW46" s="267"/>
      <c r="CX46" s="267"/>
      <c r="CY46" s="267"/>
      <c r="CZ46" s="267"/>
      <c r="DA46" s="267"/>
    </row>
    <row r="47" spans="88:105">
      <c r="CJ47" s="278"/>
      <c r="CK47" s="278"/>
      <c r="CL47" s="278"/>
      <c r="CM47" s="278"/>
      <c r="CN47" s="278"/>
      <c r="CO47" s="278"/>
      <c r="CP47" s="268"/>
      <c r="CQ47" s="268"/>
      <c r="CR47" s="267"/>
      <c r="CS47" s="267"/>
      <c r="CT47" s="267"/>
      <c r="CU47" s="267"/>
      <c r="CV47" s="267"/>
      <c r="CW47" s="267"/>
      <c r="CX47" s="267"/>
      <c r="CY47" s="267"/>
      <c r="CZ47" s="267"/>
      <c r="DA47" s="267"/>
    </row>
    <row r="48" spans="88:105">
      <c r="CJ48" s="278"/>
      <c r="CK48" s="278"/>
      <c r="CL48" s="278"/>
      <c r="CM48" s="278"/>
      <c r="CN48" s="278"/>
      <c r="CO48" s="278"/>
      <c r="CP48" s="268"/>
      <c r="CQ48" s="268"/>
      <c r="CR48" s="267"/>
      <c r="CS48" s="267"/>
      <c r="CT48" s="267"/>
      <c r="CU48" s="267"/>
      <c r="CV48" s="267"/>
      <c r="CW48" s="267"/>
      <c r="CX48" s="267"/>
      <c r="CY48" s="267"/>
      <c r="CZ48" s="267"/>
      <c r="DA48" s="267"/>
    </row>
    <row r="49" spans="88:105">
      <c r="CJ49" s="278"/>
      <c r="CK49" s="278"/>
      <c r="CL49" s="278"/>
      <c r="CM49" s="278"/>
      <c r="CN49" s="278"/>
      <c r="CO49" s="278"/>
      <c r="CP49" s="268"/>
      <c r="CQ49" s="268"/>
      <c r="CR49" s="267"/>
      <c r="CS49" s="267"/>
      <c r="CT49" s="267"/>
      <c r="CU49" s="267"/>
      <c r="CV49" s="267"/>
      <c r="CW49" s="267"/>
      <c r="CX49" s="267"/>
      <c r="CY49" s="267"/>
      <c r="CZ49" s="267"/>
      <c r="DA49" s="267"/>
    </row>
    <row r="50" spans="88:105">
      <c r="CJ50" s="278"/>
      <c r="CK50" s="278"/>
      <c r="CL50" s="278"/>
      <c r="CM50" s="278"/>
      <c r="CN50" s="278"/>
      <c r="CO50" s="278"/>
      <c r="CP50" s="268"/>
      <c r="CQ50" s="268"/>
      <c r="CR50" s="267"/>
      <c r="CS50" s="267"/>
      <c r="CT50" s="267"/>
      <c r="CU50" s="267"/>
      <c r="CV50" s="267"/>
      <c r="CW50" s="267"/>
      <c r="CX50" s="267"/>
      <c r="CY50" s="267"/>
      <c r="CZ50" s="267"/>
      <c r="DA50" s="267"/>
    </row>
    <row r="51" spans="88:105">
      <c r="CJ51" s="278"/>
      <c r="CK51" s="278"/>
      <c r="CL51" s="278"/>
      <c r="CM51" s="278"/>
      <c r="CN51" s="278"/>
      <c r="CO51" s="278"/>
      <c r="CP51" s="268"/>
      <c r="CQ51" s="268"/>
      <c r="CR51" s="267"/>
      <c r="CS51" s="267"/>
      <c r="CT51" s="267"/>
      <c r="CU51" s="267"/>
      <c r="CV51" s="267"/>
      <c r="CW51" s="267"/>
      <c r="CX51" s="267"/>
      <c r="CY51" s="267"/>
      <c r="CZ51" s="267"/>
      <c r="DA51" s="267"/>
    </row>
    <row r="52" spans="88:105">
      <c r="CJ52" s="278"/>
      <c r="CK52" s="278"/>
      <c r="CL52" s="278"/>
      <c r="CM52" s="278"/>
      <c r="CN52" s="278"/>
      <c r="CO52" s="278"/>
      <c r="CP52" s="268"/>
      <c r="CQ52" s="268"/>
      <c r="CR52" s="267"/>
      <c r="CS52" s="267"/>
      <c r="CT52" s="267"/>
      <c r="CU52" s="267"/>
      <c r="CV52" s="267"/>
      <c r="CW52" s="267"/>
      <c r="CX52" s="267"/>
      <c r="CY52" s="267"/>
      <c r="CZ52" s="267"/>
      <c r="DA52" s="267"/>
    </row>
    <row r="53" spans="88:105">
      <c r="CJ53" s="278"/>
      <c r="CK53" s="278"/>
      <c r="CL53" s="278"/>
      <c r="CM53" s="278"/>
      <c r="CN53" s="278"/>
      <c r="CO53" s="278"/>
      <c r="CP53" s="268"/>
      <c r="CQ53" s="268"/>
      <c r="CR53" s="267"/>
      <c r="CS53" s="267"/>
      <c r="CT53" s="267"/>
      <c r="CU53" s="267"/>
      <c r="CV53" s="267"/>
      <c r="CW53" s="267"/>
      <c r="CX53" s="267"/>
      <c r="CY53" s="267"/>
      <c r="CZ53" s="267"/>
      <c r="DA53" s="267"/>
    </row>
    <row r="54" spans="88:105">
      <c r="CJ54" s="278"/>
      <c r="CK54" s="278"/>
      <c r="CL54" s="278"/>
      <c r="CM54" s="278"/>
      <c r="CN54" s="278"/>
      <c r="CO54" s="278"/>
      <c r="CP54" s="268"/>
      <c r="CQ54" s="268"/>
      <c r="CR54" s="267"/>
      <c r="CS54" s="267"/>
      <c r="CT54" s="267"/>
      <c r="CU54" s="267"/>
      <c r="CV54" s="267"/>
      <c r="CW54" s="267"/>
      <c r="CX54" s="267"/>
      <c r="CY54" s="267"/>
      <c r="CZ54" s="267"/>
      <c r="DA54" s="267"/>
    </row>
    <row r="55" spans="88:105">
      <c r="CJ55" s="278"/>
      <c r="CK55" s="278"/>
      <c r="CL55" s="278"/>
      <c r="CM55" s="278"/>
      <c r="CN55" s="278"/>
      <c r="CO55" s="278"/>
      <c r="CP55" s="268"/>
      <c r="CQ55" s="268"/>
      <c r="CR55" s="267"/>
      <c r="CS55" s="267"/>
      <c r="CT55" s="267"/>
      <c r="CU55" s="267"/>
      <c r="CV55" s="267"/>
      <c r="CW55" s="267"/>
      <c r="CX55" s="267"/>
      <c r="CY55" s="267"/>
      <c r="CZ55" s="267"/>
      <c r="DA55" s="267"/>
    </row>
    <row r="56" spans="88:105">
      <c r="CJ56" s="278"/>
      <c r="CK56" s="278"/>
      <c r="CL56" s="278"/>
      <c r="CM56" s="278"/>
      <c r="CN56" s="278"/>
      <c r="CO56" s="278"/>
      <c r="CP56" s="268"/>
      <c r="CQ56" s="268"/>
      <c r="CR56" s="267"/>
      <c r="CS56" s="267"/>
      <c r="CT56" s="267"/>
      <c r="CU56" s="267"/>
      <c r="CV56" s="267"/>
      <c r="CW56" s="267"/>
      <c r="CX56" s="267"/>
      <c r="CY56" s="267"/>
      <c r="CZ56" s="267"/>
      <c r="DA56" s="267"/>
    </row>
    <row r="57" spans="88:105">
      <c r="CJ57" s="278"/>
      <c r="CK57" s="278"/>
      <c r="CL57" s="278"/>
      <c r="CM57" s="278"/>
      <c r="CN57" s="278"/>
      <c r="CO57" s="278"/>
      <c r="CP57" s="268"/>
      <c r="CQ57" s="268"/>
      <c r="CR57" s="267"/>
      <c r="CS57" s="267"/>
      <c r="CT57" s="267"/>
      <c r="CU57" s="267"/>
      <c r="CV57" s="267"/>
      <c r="CW57" s="267"/>
      <c r="CX57" s="267"/>
      <c r="CY57" s="267"/>
      <c r="CZ57" s="267"/>
      <c r="DA57" s="267"/>
    </row>
    <row r="58" spans="88:105">
      <c r="CJ58" s="278"/>
      <c r="CK58" s="278"/>
      <c r="CL58" s="278"/>
      <c r="CM58" s="278"/>
      <c r="CN58" s="278"/>
      <c r="CO58" s="278"/>
      <c r="CP58" s="268"/>
      <c r="CQ58" s="268"/>
      <c r="CR58" s="267"/>
      <c r="CS58" s="267"/>
      <c r="CT58" s="267"/>
      <c r="CU58" s="267"/>
      <c r="CV58" s="267"/>
      <c r="CW58" s="267"/>
      <c r="CX58" s="267"/>
      <c r="CY58" s="267"/>
      <c r="CZ58" s="267"/>
      <c r="DA58" s="267"/>
    </row>
    <row r="59" spans="88:105">
      <c r="CJ59" s="278"/>
      <c r="CK59" s="278"/>
      <c r="CL59" s="278"/>
      <c r="CM59" s="278"/>
      <c r="CN59" s="278"/>
      <c r="CO59" s="278"/>
      <c r="CP59" s="268"/>
      <c r="CQ59" s="268"/>
      <c r="CR59" s="267"/>
      <c r="CS59" s="267"/>
      <c r="CT59" s="267"/>
      <c r="CU59" s="267"/>
      <c r="CV59" s="267"/>
      <c r="CW59" s="267"/>
      <c r="CX59" s="267"/>
      <c r="CY59" s="267"/>
      <c r="CZ59" s="267"/>
      <c r="DA59" s="267"/>
    </row>
    <row r="60" spans="88:105">
      <c r="CJ60" s="278"/>
      <c r="CK60" s="278"/>
      <c r="CL60" s="278"/>
      <c r="CM60" s="278"/>
      <c r="CN60" s="278"/>
      <c r="CO60" s="278"/>
      <c r="CP60" s="268"/>
      <c r="CQ60" s="268"/>
      <c r="CR60" s="267"/>
      <c r="CS60" s="267"/>
      <c r="CT60" s="267"/>
      <c r="CU60" s="267"/>
      <c r="CV60" s="267"/>
      <c r="CW60" s="267"/>
      <c r="CX60" s="267"/>
      <c r="CY60" s="267"/>
      <c r="CZ60" s="267"/>
      <c r="DA60" s="267"/>
    </row>
    <row r="61" spans="88:105">
      <c r="CJ61" s="278"/>
      <c r="CK61" s="278"/>
      <c r="CL61" s="278"/>
      <c r="CM61" s="278"/>
      <c r="CN61" s="278"/>
      <c r="CO61" s="278"/>
      <c r="CP61" s="268"/>
      <c r="CQ61" s="268"/>
      <c r="CR61" s="267"/>
      <c r="CS61" s="267"/>
      <c r="CT61" s="267"/>
      <c r="CU61" s="267"/>
      <c r="CV61" s="267"/>
      <c r="CW61" s="267"/>
      <c r="CX61" s="267"/>
      <c r="CY61" s="267"/>
      <c r="CZ61" s="267"/>
      <c r="DA61" s="267"/>
    </row>
    <row r="62" spans="88:105">
      <c r="CJ62" s="278"/>
      <c r="CK62" s="278"/>
      <c r="CL62" s="278"/>
      <c r="CM62" s="278"/>
      <c r="CN62" s="278"/>
      <c r="CO62" s="278"/>
      <c r="CP62" s="268"/>
      <c r="CQ62" s="268"/>
      <c r="CR62" s="267"/>
      <c r="CS62" s="267"/>
      <c r="CT62" s="267"/>
      <c r="CU62" s="267"/>
      <c r="CV62" s="267"/>
      <c r="CW62" s="267"/>
      <c r="CX62" s="267"/>
      <c r="CY62" s="267"/>
      <c r="CZ62" s="267"/>
      <c r="DA62" s="267"/>
    </row>
    <row r="63" spans="88:105">
      <c r="CJ63" s="278"/>
      <c r="CK63" s="278"/>
      <c r="CL63" s="278"/>
      <c r="CM63" s="278"/>
      <c r="CN63" s="278"/>
      <c r="CO63" s="278"/>
      <c r="CP63" s="268"/>
      <c r="CQ63" s="268"/>
      <c r="CR63" s="267"/>
      <c r="CS63" s="267"/>
      <c r="CT63" s="267"/>
      <c r="CU63" s="267"/>
      <c r="CV63" s="267"/>
      <c r="CW63" s="267"/>
      <c r="CX63" s="267"/>
      <c r="CY63" s="267"/>
      <c r="CZ63" s="267"/>
      <c r="DA63" s="267"/>
    </row>
    <row r="64" spans="88:105">
      <c r="CJ64" s="278"/>
      <c r="CK64" s="278"/>
      <c r="CL64" s="278"/>
      <c r="CM64" s="278"/>
      <c r="CN64" s="278"/>
      <c r="CO64" s="278"/>
      <c r="CP64" s="268"/>
      <c r="CQ64" s="268"/>
      <c r="CR64" s="267"/>
      <c r="CS64" s="267"/>
      <c r="CT64" s="267"/>
      <c r="CU64" s="267"/>
      <c r="CV64" s="267"/>
      <c r="CW64" s="267"/>
      <c r="CX64" s="267"/>
      <c r="CY64" s="267"/>
      <c r="CZ64" s="267"/>
      <c r="DA64" s="267"/>
    </row>
    <row r="65" spans="88:105">
      <c r="CJ65" s="278"/>
      <c r="CK65" s="278"/>
      <c r="CL65" s="278"/>
      <c r="CM65" s="278"/>
      <c r="CN65" s="278"/>
      <c r="CO65" s="278"/>
      <c r="CP65" s="268"/>
      <c r="CQ65" s="268"/>
      <c r="CR65" s="267"/>
      <c r="CS65" s="267"/>
      <c r="CT65" s="267"/>
      <c r="CU65" s="267"/>
      <c r="CV65" s="267"/>
      <c r="CW65" s="267"/>
      <c r="CX65" s="267"/>
      <c r="CY65" s="267"/>
      <c r="CZ65" s="267"/>
      <c r="DA65" s="267"/>
    </row>
    <row r="66" spans="88:105">
      <c r="CJ66" s="278"/>
      <c r="CK66" s="278"/>
      <c r="CL66" s="278"/>
      <c r="CM66" s="278"/>
      <c r="CN66" s="278"/>
      <c r="CO66" s="278"/>
      <c r="CP66" s="268"/>
      <c r="CQ66" s="268"/>
      <c r="CR66" s="267"/>
      <c r="CS66" s="267"/>
      <c r="CT66" s="267"/>
      <c r="CU66" s="267"/>
      <c r="CV66" s="267"/>
      <c r="CW66" s="267"/>
      <c r="CX66" s="267"/>
      <c r="CY66" s="267"/>
      <c r="CZ66" s="267"/>
      <c r="DA66" s="267"/>
    </row>
    <row r="67" spans="88:105">
      <c r="CJ67" s="278"/>
      <c r="CK67" s="278"/>
      <c r="CL67" s="278"/>
      <c r="CM67" s="278"/>
      <c r="CN67" s="278"/>
      <c r="CO67" s="278"/>
      <c r="CP67" s="268"/>
      <c r="CQ67" s="268"/>
      <c r="CR67" s="267"/>
      <c r="CS67" s="267"/>
      <c r="CT67" s="267"/>
      <c r="CU67" s="267"/>
      <c r="CV67" s="267"/>
      <c r="CW67" s="267"/>
      <c r="CX67" s="267"/>
      <c r="CY67" s="267"/>
      <c r="CZ67" s="267"/>
      <c r="DA67" s="267"/>
    </row>
    <row r="68" spans="88:105">
      <c r="CJ68" s="278"/>
      <c r="CK68" s="278"/>
      <c r="CL68" s="278"/>
      <c r="CM68" s="278"/>
      <c r="CN68" s="278"/>
      <c r="CO68" s="278"/>
      <c r="CP68" s="268"/>
      <c r="CQ68" s="268"/>
      <c r="CR68" s="267"/>
      <c r="CS68" s="267"/>
      <c r="CT68" s="267"/>
      <c r="CU68" s="267"/>
      <c r="CV68" s="267"/>
      <c r="CW68" s="267"/>
      <c r="CX68" s="267"/>
      <c r="CY68" s="267"/>
      <c r="CZ68" s="267"/>
      <c r="DA68" s="267"/>
    </row>
  </sheetData>
  <mergeCells count="2">
    <mergeCell ref="A2:B2"/>
    <mergeCell ref="CJ14:DA14"/>
  </mergeCells>
  <conditionalFormatting sqref="X17:X27 AK17:AK27">
    <cfRule type="cellIs" dxfId="14" priority="2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A68"/>
  <sheetViews>
    <sheetView topLeftCell="AT8" zoomScale="26" zoomScaleNormal="26" workbookViewId="0">
      <selection activeCell="CJ8" sqref="CJ1:DA1048576"/>
    </sheetView>
  </sheetViews>
  <sheetFormatPr defaultColWidth="11.5703125" defaultRowHeight="27.6"/>
  <cols>
    <col min="1" max="1" width="8.5703125" bestFit="1" customWidth="1"/>
    <col min="2" max="2" width="39.42578125" bestFit="1" customWidth="1"/>
    <col min="3" max="3" width="35.28515625" bestFit="1" customWidth="1"/>
    <col min="4" max="4" width="21.140625" bestFit="1" customWidth="1"/>
    <col min="5" max="5" width="39.42578125" bestFit="1" customWidth="1"/>
    <col min="6" max="6" width="35.7109375" bestFit="1" customWidth="1"/>
    <col min="7" max="7" width="40.140625" bestFit="1" customWidth="1"/>
    <col min="8" max="8" width="23.7109375" bestFit="1" customWidth="1"/>
    <col min="9" max="9" width="29.42578125" bestFit="1" customWidth="1"/>
    <col min="10" max="10" width="22.140625" bestFit="1" customWidth="1"/>
    <col min="11" max="11" width="37.85546875" bestFit="1" customWidth="1"/>
    <col min="12" max="12" width="14.28515625" bestFit="1" customWidth="1"/>
    <col min="13" max="13" width="120.85546875" bestFit="1" customWidth="1"/>
    <col min="14" max="14" width="22.140625" bestFit="1" customWidth="1"/>
    <col min="15" max="15" width="39.85546875" bestFit="1" customWidth="1"/>
    <col min="16" max="16" width="38.5703125" bestFit="1" customWidth="1"/>
    <col min="17" max="17" width="15.85546875" bestFit="1" customWidth="1"/>
    <col min="18" max="19" width="39" bestFit="1" customWidth="1"/>
    <col min="20" max="20" width="156.85546875" bestFit="1" customWidth="1"/>
    <col min="21" max="21" width="30" bestFit="1" customWidth="1"/>
    <col min="22" max="22" width="22.140625" bestFit="1" customWidth="1"/>
    <col min="23" max="23" width="39.7109375" bestFit="1" customWidth="1"/>
    <col min="24" max="24" width="39" bestFit="1" customWidth="1"/>
    <col min="25" max="25" width="15.85546875" bestFit="1" customWidth="1"/>
    <col min="26" max="26" width="39" bestFit="1" customWidth="1"/>
    <col min="27" max="27" width="26.28515625" bestFit="1" customWidth="1"/>
    <col min="28" max="28" width="39" bestFit="1" customWidth="1"/>
    <col min="29" max="29" width="37.28515625" bestFit="1" customWidth="1"/>
    <col min="30" max="30" width="31.5703125" bestFit="1" customWidth="1"/>
    <col min="31" max="31" width="150.5703125" bestFit="1" customWidth="1"/>
    <col min="32" max="32" width="31.5703125" bestFit="1" customWidth="1"/>
    <col min="33" max="33" width="39.85546875" bestFit="1" customWidth="1"/>
    <col min="34" max="34" width="37.85546875" bestFit="1" customWidth="1"/>
    <col min="35" max="35" width="36.85546875" bestFit="1" customWidth="1"/>
    <col min="36" max="36" width="37.85546875" bestFit="1" customWidth="1"/>
    <col min="37" max="37" width="30" bestFit="1" customWidth="1"/>
    <col min="38" max="38" width="35.85546875" bestFit="1" customWidth="1"/>
    <col min="39" max="39" width="39.85546875" bestFit="1" customWidth="1"/>
    <col min="40" max="40" width="15.85546875" bestFit="1" customWidth="1"/>
    <col min="41" max="41" width="18.5703125" bestFit="1" customWidth="1"/>
    <col min="42" max="42" width="35.28515625" bestFit="1" customWidth="1"/>
    <col min="43" max="43" width="40.42578125" customWidth="1"/>
    <col min="44" max="45" width="37.85546875" bestFit="1" customWidth="1"/>
    <col min="46" max="46" width="36.85546875" bestFit="1" customWidth="1"/>
    <col min="47" max="47" width="37.85546875" bestFit="1" customWidth="1"/>
    <col min="48" max="48" width="31.140625" bestFit="1" customWidth="1"/>
    <col min="49" max="52" width="40.42578125" customWidth="1"/>
    <col min="53" max="53" width="17.42578125" bestFit="1" customWidth="1"/>
    <col min="54" max="54" width="39" bestFit="1" customWidth="1"/>
    <col min="55" max="55" width="34.140625" bestFit="1" customWidth="1"/>
    <col min="56" max="56" width="38.5703125" bestFit="1" customWidth="1"/>
    <col min="57" max="57" width="36.85546875" bestFit="1" customWidth="1"/>
    <col min="58" max="58" width="21.140625" bestFit="1" customWidth="1"/>
    <col min="59" max="59" width="19.140625" customWidth="1"/>
    <col min="60" max="60" width="22.7109375" customWidth="1"/>
    <col min="61" max="61" width="38.42578125" bestFit="1" customWidth="1"/>
    <col min="62" max="62" width="12.140625" bestFit="1" customWidth="1"/>
    <col min="63" max="63" width="16.85546875" bestFit="1" customWidth="1"/>
    <col min="64" max="64" width="28.42578125" bestFit="1" customWidth="1"/>
    <col min="70" max="72" width="42" customWidth="1"/>
    <col min="88" max="93" width="35.42578125" style="279" customWidth="1"/>
    <col min="94" max="105" width="35.42578125" style="266" customWidth="1"/>
  </cols>
  <sheetData>
    <row r="1" spans="1:105" s="168" customFormat="1" ht="68.849999999999994" customHeight="1">
      <c r="A1" s="177"/>
      <c r="B1" s="181"/>
      <c r="C1" s="181"/>
      <c r="D1" s="177"/>
      <c r="E1" s="178"/>
      <c r="F1" s="177"/>
      <c r="G1" s="177"/>
      <c r="H1" s="179"/>
      <c r="I1" s="177"/>
      <c r="J1" s="177"/>
      <c r="K1" s="177"/>
      <c r="L1" s="177"/>
      <c r="M1" s="177"/>
      <c r="N1" s="179"/>
      <c r="O1" s="179"/>
      <c r="P1" s="179"/>
      <c r="Q1" s="179"/>
      <c r="R1" s="179"/>
      <c r="S1" s="181"/>
      <c r="T1" s="179"/>
      <c r="U1" s="179"/>
      <c r="V1" s="179"/>
      <c r="W1" s="179"/>
      <c r="X1" s="179"/>
      <c r="Y1" s="179"/>
      <c r="Z1" s="179"/>
      <c r="AA1" s="179"/>
      <c r="AB1" s="181"/>
      <c r="AC1" s="179"/>
      <c r="AD1" s="179"/>
      <c r="AE1" s="179"/>
      <c r="AF1" s="167"/>
      <c r="AG1" s="179"/>
      <c r="AH1" s="179"/>
      <c r="AI1" s="179"/>
      <c r="AJ1" s="179"/>
      <c r="AK1" s="179"/>
      <c r="AL1" s="177"/>
      <c r="AM1" s="179"/>
      <c r="AN1" s="177"/>
      <c r="AO1" s="177"/>
      <c r="AP1" s="179"/>
      <c r="AR1" s="181"/>
      <c r="AS1" s="181"/>
      <c r="AT1" s="181"/>
      <c r="AU1" s="181"/>
      <c r="AV1" s="181"/>
      <c r="BA1" s="165"/>
      <c r="BB1" s="165"/>
      <c r="BC1" s="165"/>
      <c r="BD1" s="165"/>
      <c r="BE1" s="165"/>
      <c r="BF1" s="165"/>
      <c r="BG1" s="165"/>
      <c r="BH1" s="165"/>
      <c r="BI1" s="165"/>
      <c r="BJ1" s="165"/>
      <c r="BK1" s="165"/>
      <c r="BL1" s="165"/>
      <c r="CJ1" s="165"/>
      <c r="CK1" s="165"/>
      <c r="CL1" s="165"/>
      <c r="CM1" s="165"/>
      <c r="CN1" s="165"/>
      <c r="CO1" s="165"/>
      <c r="CP1" s="165"/>
      <c r="CQ1" s="165"/>
      <c r="CR1" s="165"/>
      <c r="CS1" s="165"/>
      <c r="CT1" s="165"/>
      <c r="CU1" s="165"/>
      <c r="CV1" s="165"/>
      <c r="CW1" s="165"/>
      <c r="CX1" s="165"/>
      <c r="CY1" s="165"/>
      <c r="CZ1" s="165"/>
      <c r="DA1" s="165"/>
    </row>
    <row r="2" spans="1:105" s="168" customFormat="1" ht="68.849999999999994" customHeight="1">
      <c r="A2" s="177"/>
      <c r="B2" s="181"/>
      <c r="C2" s="181"/>
      <c r="D2" s="177"/>
      <c r="E2" s="178"/>
      <c r="F2" s="177"/>
      <c r="G2" s="177"/>
      <c r="H2" s="179"/>
      <c r="I2" s="177"/>
      <c r="J2" s="177"/>
      <c r="K2" s="177"/>
      <c r="L2" s="177"/>
      <c r="M2" s="177"/>
      <c r="N2" s="179"/>
      <c r="O2" s="179"/>
      <c r="P2" s="179"/>
      <c r="Q2" s="179"/>
      <c r="R2" s="179"/>
      <c r="S2" s="181"/>
      <c r="T2" s="179"/>
      <c r="U2" s="179"/>
      <c r="V2" s="179"/>
      <c r="W2" s="179"/>
      <c r="X2" s="179"/>
      <c r="Y2" s="179"/>
      <c r="Z2" s="179"/>
      <c r="AA2" s="179"/>
      <c r="AB2" s="181"/>
      <c r="AC2" s="179"/>
      <c r="AD2" s="179"/>
      <c r="AE2" s="179"/>
      <c r="AF2" s="167"/>
      <c r="AG2" s="179"/>
      <c r="AH2" s="179"/>
      <c r="AI2" s="179"/>
      <c r="AJ2" s="179"/>
      <c r="AK2" s="179"/>
      <c r="AL2" s="177"/>
      <c r="AM2" s="179"/>
      <c r="AN2" s="177"/>
      <c r="AO2" s="177"/>
      <c r="AP2" s="179"/>
      <c r="AR2" s="181"/>
      <c r="AS2" s="181"/>
      <c r="AT2" s="181"/>
      <c r="AU2" s="181"/>
      <c r="AV2" s="181"/>
      <c r="BA2" s="165"/>
      <c r="BB2" s="165"/>
      <c r="BC2" s="165"/>
      <c r="BD2" s="165"/>
      <c r="BE2" s="165"/>
      <c r="BF2" s="165"/>
      <c r="BG2" s="165"/>
      <c r="BH2" s="165"/>
      <c r="BI2" s="165"/>
      <c r="BJ2" s="165"/>
      <c r="BK2" s="165"/>
      <c r="BL2" s="165"/>
      <c r="CJ2" s="165"/>
      <c r="CK2" s="165"/>
      <c r="CL2" s="165"/>
      <c r="CM2" s="165"/>
      <c r="CN2" s="165"/>
      <c r="CO2" s="165"/>
      <c r="CP2" s="165"/>
      <c r="CQ2" s="165"/>
      <c r="CR2" s="165"/>
      <c r="CS2" s="165"/>
      <c r="CT2" s="165"/>
      <c r="CU2" s="165"/>
      <c r="CV2" s="165"/>
      <c r="CW2" s="165"/>
      <c r="CX2" s="165"/>
      <c r="CY2" s="165"/>
      <c r="CZ2" s="165"/>
      <c r="DA2" s="165"/>
    </row>
    <row r="3" spans="1:105" s="168" customFormat="1" ht="68.849999999999994" customHeight="1">
      <c r="A3" s="177"/>
      <c r="B3" s="181"/>
      <c r="C3" s="181"/>
      <c r="D3" s="177"/>
      <c r="E3" s="178"/>
      <c r="F3" s="177"/>
      <c r="G3" s="177"/>
      <c r="H3" s="179"/>
      <c r="I3" s="177"/>
      <c r="J3" s="177"/>
      <c r="K3" s="177"/>
      <c r="L3" s="177"/>
      <c r="M3" s="177"/>
      <c r="N3" s="179"/>
      <c r="O3" s="179"/>
      <c r="P3" s="179"/>
      <c r="Q3" s="179"/>
      <c r="R3" s="179"/>
      <c r="S3" s="181"/>
      <c r="T3" s="179"/>
      <c r="U3" s="179"/>
      <c r="V3" s="179"/>
      <c r="W3" s="179"/>
      <c r="X3" s="179"/>
      <c r="Y3" s="179"/>
      <c r="Z3" s="179"/>
      <c r="AA3" s="179"/>
      <c r="AB3" s="181"/>
      <c r="AC3" s="179"/>
      <c r="AD3" s="179"/>
      <c r="AE3" s="179"/>
      <c r="AF3" s="167"/>
      <c r="AG3" s="179"/>
      <c r="AH3" s="179"/>
      <c r="AI3" s="179"/>
      <c r="AJ3" s="179"/>
      <c r="AK3" s="179"/>
      <c r="AL3" s="177"/>
      <c r="AM3" s="179"/>
      <c r="AN3" s="177"/>
      <c r="AO3" s="177"/>
      <c r="AP3" s="179"/>
      <c r="AR3" s="181"/>
      <c r="AS3" s="181"/>
      <c r="AT3" s="181"/>
      <c r="AU3" s="181"/>
      <c r="AV3" s="181"/>
      <c r="BA3" s="165"/>
      <c r="BB3" s="165"/>
      <c r="BC3" s="165"/>
      <c r="BD3" s="165"/>
      <c r="BE3" s="165"/>
      <c r="BF3" s="165"/>
      <c r="BG3" s="165"/>
      <c r="BH3" s="165"/>
      <c r="BI3" s="165"/>
      <c r="BJ3" s="165"/>
      <c r="BK3" s="165"/>
      <c r="BL3" s="165"/>
      <c r="CJ3" s="165"/>
      <c r="CK3" s="165"/>
      <c r="CL3" s="165"/>
      <c r="CM3" s="165"/>
      <c r="CN3" s="165"/>
      <c r="CO3" s="165"/>
      <c r="CP3" s="165"/>
      <c r="CQ3" s="165"/>
      <c r="CR3" s="165"/>
      <c r="CS3" s="165"/>
      <c r="CT3" s="165"/>
      <c r="CU3" s="165"/>
      <c r="CV3" s="165"/>
      <c r="CW3" s="165"/>
      <c r="CX3" s="165"/>
      <c r="CY3" s="165"/>
      <c r="CZ3" s="165"/>
      <c r="DA3" s="165"/>
    </row>
    <row r="4" spans="1:105" s="168" customFormat="1" ht="68.849999999999994" customHeight="1">
      <c r="A4" s="177"/>
      <c r="B4" s="181"/>
      <c r="C4" s="181"/>
      <c r="D4" s="177"/>
      <c r="E4" s="178"/>
      <c r="F4" s="177"/>
      <c r="G4" s="177"/>
      <c r="H4" s="179"/>
      <c r="I4" s="177"/>
      <c r="J4" s="177"/>
      <c r="K4" s="177"/>
      <c r="L4" s="177"/>
      <c r="M4" s="177"/>
      <c r="N4" s="179"/>
      <c r="O4" s="179"/>
      <c r="P4" s="179"/>
      <c r="Q4" s="179"/>
      <c r="R4" s="179"/>
      <c r="S4" s="181"/>
      <c r="T4" s="179"/>
      <c r="U4" s="179"/>
      <c r="V4" s="179"/>
      <c r="W4" s="179"/>
      <c r="X4" s="179"/>
      <c r="Y4" s="179"/>
      <c r="Z4" s="179"/>
      <c r="AA4" s="179"/>
      <c r="AB4" s="181"/>
      <c r="AC4" s="179"/>
      <c r="AD4" s="179"/>
      <c r="AE4" s="179"/>
      <c r="AF4" s="167"/>
      <c r="AG4" s="179"/>
      <c r="AH4" s="179"/>
      <c r="AI4" s="179"/>
      <c r="AJ4" s="179"/>
      <c r="AK4" s="179"/>
      <c r="AL4" s="177"/>
      <c r="AM4" s="179"/>
      <c r="AN4" s="177"/>
      <c r="AO4" s="177"/>
      <c r="AP4" s="179"/>
      <c r="AR4" s="181"/>
      <c r="AS4" s="181"/>
      <c r="AT4" s="181"/>
      <c r="AU4" s="181"/>
      <c r="AV4" s="181"/>
      <c r="BA4" s="165"/>
      <c r="BB4" s="165"/>
      <c r="BC4" s="165"/>
      <c r="BD4" s="165"/>
      <c r="BE4" s="165"/>
      <c r="BF4" s="165"/>
      <c r="BG4" s="165"/>
      <c r="BH4" s="165"/>
      <c r="BI4" s="165"/>
      <c r="BJ4" s="165"/>
      <c r="BK4" s="165"/>
      <c r="BL4" s="165"/>
      <c r="CJ4" s="165"/>
      <c r="CK4" s="165"/>
      <c r="CL4" s="165"/>
      <c r="CM4" s="165"/>
      <c r="CN4" s="165"/>
      <c r="CO4" s="165"/>
      <c r="CP4" s="165"/>
      <c r="CQ4" s="165"/>
      <c r="CR4" s="165"/>
      <c r="CS4" s="165"/>
      <c r="CT4" s="165"/>
      <c r="CU4" s="165"/>
      <c r="CV4" s="165"/>
      <c r="CW4" s="165"/>
      <c r="CX4" s="165"/>
      <c r="CY4" s="165"/>
      <c r="CZ4" s="165"/>
      <c r="DA4" s="165"/>
    </row>
    <row r="5" spans="1:105" s="168" customFormat="1" ht="68.849999999999994" customHeight="1">
      <c r="A5" s="177"/>
      <c r="B5" s="181"/>
      <c r="C5" s="181"/>
      <c r="D5" s="177"/>
      <c r="E5" s="178"/>
      <c r="F5" s="177"/>
      <c r="G5" s="177"/>
      <c r="H5" s="179"/>
      <c r="I5" s="177"/>
      <c r="J5" s="177"/>
      <c r="K5" s="177"/>
      <c r="L5" s="177"/>
      <c r="M5" s="177"/>
      <c r="N5" s="179"/>
      <c r="O5" s="179"/>
      <c r="P5" s="179"/>
      <c r="Q5" s="179"/>
      <c r="R5" s="179"/>
      <c r="S5" s="181"/>
      <c r="T5" s="179"/>
      <c r="U5" s="179"/>
      <c r="V5" s="179"/>
      <c r="W5" s="179"/>
      <c r="X5" s="179"/>
      <c r="Y5" s="179"/>
      <c r="Z5" s="179"/>
      <c r="AA5" s="179"/>
      <c r="AB5" s="181"/>
      <c r="AC5" s="179"/>
      <c r="AD5" s="179"/>
      <c r="AE5" s="179"/>
      <c r="AF5" s="167"/>
      <c r="AG5" s="179"/>
      <c r="AH5" s="179"/>
      <c r="AI5" s="179"/>
      <c r="AJ5" s="179"/>
      <c r="AK5" s="179"/>
      <c r="AL5" s="177"/>
      <c r="AM5" s="179"/>
      <c r="AN5" s="177"/>
      <c r="AO5" s="177"/>
      <c r="AP5" s="179"/>
      <c r="AR5" s="181"/>
      <c r="AS5" s="181"/>
      <c r="AT5" s="181"/>
      <c r="AU5" s="181"/>
      <c r="AV5" s="181"/>
      <c r="BA5" s="165"/>
      <c r="BB5" s="165"/>
      <c r="BC5" s="165"/>
      <c r="BD5" s="165"/>
      <c r="BE5" s="165"/>
      <c r="BF5" s="165"/>
      <c r="BG5" s="165"/>
      <c r="BH5" s="165"/>
      <c r="BI5" s="165"/>
      <c r="BJ5" s="165"/>
      <c r="BK5" s="165"/>
      <c r="BL5" s="165"/>
      <c r="CJ5" s="165"/>
      <c r="CK5" s="165"/>
      <c r="CL5" s="165"/>
      <c r="CM5" s="165"/>
      <c r="CN5" s="165"/>
      <c r="CO5" s="165"/>
      <c r="CP5" s="165"/>
      <c r="CQ5" s="165"/>
      <c r="CR5" s="165"/>
      <c r="CS5" s="165"/>
      <c r="CT5" s="165"/>
      <c r="CU5" s="165"/>
      <c r="CV5" s="165"/>
      <c r="CW5" s="165"/>
      <c r="CX5" s="165"/>
      <c r="CY5" s="165"/>
      <c r="CZ5" s="165"/>
      <c r="DA5" s="165"/>
    </row>
    <row r="6" spans="1:105" s="168" customFormat="1" ht="68.849999999999994" customHeight="1">
      <c r="A6" s="177"/>
      <c r="B6" s="181"/>
      <c r="C6" s="181"/>
      <c r="D6" s="177"/>
      <c r="E6" s="178"/>
      <c r="F6" s="177"/>
      <c r="G6" s="177"/>
      <c r="H6" s="179"/>
      <c r="I6" s="177"/>
      <c r="J6" s="177"/>
      <c r="K6" s="177"/>
      <c r="L6" s="177"/>
      <c r="M6" s="177"/>
      <c r="N6" s="179"/>
      <c r="O6" s="179"/>
      <c r="P6" s="179"/>
      <c r="Q6" s="179"/>
      <c r="R6" s="179"/>
      <c r="S6" s="181"/>
      <c r="T6" s="179"/>
      <c r="U6" s="179"/>
      <c r="V6" s="179"/>
      <c r="W6" s="179"/>
      <c r="X6" s="179"/>
      <c r="Y6" s="179"/>
      <c r="Z6" s="179"/>
      <c r="AA6" s="179"/>
      <c r="AB6" s="181"/>
      <c r="AC6" s="179"/>
      <c r="AD6" s="179"/>
      <c r="AE6" s="179"/>
      <c r="AF6" s="167"/>
      <c r="AG6" s="179"/>
      <c r="AH6" s="179"/>
      <c r="AI6" s="179"/>
      <c r="AJ6" s="179"/>
      <c r="AK6" s="179"/>
      <c r="AL6" s="177"/>
      <c r="AM6" s="179"/>
      <c r="AN6" s="177"/>
      <c r="AO6" s="177"/>
      <c r="AP6" s="179"/>
      <c r="AR6" s="181"/>
      <c r="AS6" s="181"/>
      <c r="AT6" s="181"/>
      <c r="AU6" s="181"/>
      <c r="AV6" s="181"/>
      <c r="BA6" s="165"/>
      <c r="BB6" s="165"/>
      <c r="BC6" s="165"/>
      <c r="BD6" s="165"/>
      <c r="BE6" s="165"/>
      <c r="BF6" s="165"/>
      <c r="BG6" s="165"/>
      <c r="BH6" s="165"/>
      <c r="BI6" s="165"/>
      <c r="BJ6" s="165"/>
      <c r="BK6" s="165"/>
      <c r="BL6" s="165"/>
      <c r="CJ6" s="165"/>
      <c r="CK6" s="165"/>
      <c r="CL6" s="165"/>
      <c r="CM6" s="165"/>
      <c r="CN6" s="165"/>
      <c r="CO6" s="165"/>
      <c r="CP6" s="165"/>
      <c r="CQ6" s="165"/>
      <c r="CR6" s="165"/>
      <c r="CS6" s="165"/>
      <c r="CT6" s="165"/>
      <c r="CU6" s="165"/>
      <c r="CV6" s="165"/>
      <c r="CW6" s="165"/>
      <c r="CX6" s="165"/>
      <c r="CY6" s="165"/>
      <c r="CZ6" s="165"/>
      <c r="DA6" s="165"/>
    </row>
    <row r="7" spans="1:105" s="168" customFormat="1" ht="68.849999999999994" customHeight="1">
      <c r="A7" s="177"/>
      <c r="B7" s="181"/>
      <c r="C7" s="181"/>
      <c r="D7" s="177"/>
      <c r="E7" s="178"/>
      <c r="F7" s="177"/>
      <c r="G7" s="177"/>
      <c r="H7" s="179"/>
      <c r="I7" s="177"/>
      <c r="J7" s="177"/>
      <c r="K7" s="177"/>
      <c r="L7" s="177"/>
      <c r="M7" s="177"/>
      <c r="N7" s="179"/>
      <c r="O7" s="179"/>
      <c r="P7" s="179"/>
      <c r="Q7" s="179"/>
      <c r="R7" s="179"/>
      <c r="S7" s="181"/>
      <c r="T7" s="179"/>
      <c r="U7" s="179"/>
      <c r="V7" s="179"/>
      <c r="W7" s="179"/>
      <c r="X7" s="179"/>
      <c r="Y7" s="179"/>
      <c r="Z7" s="179"/>
      <c r="AA7" s="179"/>
      <c r="AB7" s="181"/>
      <c r="AC7" s="179"/>
      <c r="AD7" s="179"/>
      <c r="AE7" s="179"/>
      <c r="AF7" s="167"/>
      <c r="AG7" s="179"/>
      <c r="AH7" s="179"/>
      <c r="AI7" s="179"/>
      <c r="AJ7" s="179"/>
      <c r="AK7" s="179"/>
      <c r="AL7" s="177"/>
      <c r="AM7" s="179"/>
      <c r="AN7" s="177"/>
      <c r="AO7" s="177"/>
      <c r="AP7" s="179"/>
      <c r="AR7" s="181"/>
      <c r="AS7" s="181"/>
      <c r="AT7" s="181"/>
      <c r="AU7" s="181"/>
      <c r="AV7" s="181"/>
      <c r="BA7" s="165"/>
      <c r="BB7" s="165"/>
      <c r="BC7" s="165"/>
      <c r="BD7" s="165"/>
      <c r="BE7" s="165"/>
      <c r="BF7" s="165"/>
      <c r="BG7" s="165"/>
      <c r="BH7" s="165"/>
      <c r="BI7" s="165"/>
      <c r="BJ7" s="165"/>
      <c r="BK7" s="165"/>
      <c r="BL7" s="165"/>
      <c r="CJ7" s="165"/>
      <c r="CK7" s="165"/>
      <c r="CL7" s="165"/>
      <c r="CM7" s="165"/>
      <c r="CN7" s="165"/>
      <c r="CO7" s="165"/>
      <c r="CP7" s="165"/>
      <c r="CQ7" s="165"/>
      <c r="CR7" s="165"/>
      <c r="CS7" s="165"/>
      <c r="CT7" s="165"/>
      <c r="CU7" s="165"/>
      <c r="CV7" s="165"/>
      <c r="CW7" s="165"/>
      <c r="CX7" s="165"/>
      <c r="CY7" s="165"/>
      <c r="CZ7" s="165"/>
      <c r="DA7" s="165"/>
    </row>
    <row r="8" spans="1:105" s="168" customFormat="1" ht="68.849999999999994" customHeight="1">
      <c r="A8" s="177"/>
      <c r="B8" s="181"/>
      <c r="C8" s="181"/>
      <c r="D8" s="177"/>
      <c r="E8" s="178"/>
      <c r="F8" s="177"/>
      <c r="G8" s="177"/>
      <c r="H8" s="179"/>
      <c r="I8" s="177"/>
      <c r="J8" s="177"/>
      <c r="K8" s="177"/>
      <c r="L8" s="177"/>
      <c r="M8" s="177"/>
      <c r="N8" s="179"/>
      <c r="O8" s="179"/>
      <c r="P8" s="179"/>
      <c r="Q8" s="179"/>
      <c r="R8" s="179"/>
      <c r="S8" s="181"/>
      <c r="T8" s="179"/>
      <c r="U8" s="179"/>
      <c r="V8" s="179"/>
      <c r="W8" s="179"/>
      <c r="X8" s="179"/>
      <c r="Y8" s="179"/>
      <c r="Z8" s="179"/>
      <c r="AA8" s="179"/>
      <c r="AB8" s="181"/>
      <c r="AC8" s="179"/>
      <c r="AD8" s="179"/>
      <c r="AE8" s="179"/>
      <c r="AF8" s="167"/>
      <c r="AG8" s="179"/>
      <c r="AH8" s="179"/>
      <c r="AI8" s="179"/>
      <c r="AJ8" s="179"/>
      <c r="AK8" s="179"/>
      <c r="AL8" s="177"/>
      <c r="AM8" s="179"/>
      <c r="AN8" s="177"/>
      <c r="AO8" s="177"/>
      <c r="AP8" s="179"/>
      <c r="AR8" s="181"/>
      <c r="AS8" s="181"/>
      <c r="AT8" s="181"/>
      <c r="AU8" s="181"/>
      <c r="AV8" s="181"/>
      <c r="BA8" s="165"/>
      <c r="BB8" s="165"/>
      <c r="BC8" s="165"/>
      <c r="BD8" s="165"/>
      <c r="BE8" s="165"/>
      <c r="BF8" s="165"/>
      <c r="BG8" s="165"/>
      <c r="BH8" s="165"/>
      <c r="BI8" s="165"/>
      <c r="BJ8" s="165"/>
      <c r="BK8" s="165"/>
      <c r="BL8" s="165"/>
      <c r="CJ8" s="165"/>
      <c r="CK8" s="165"/>
      <c r="CL8" s="165"/>
      <c r="CM8" s="165"/>
      <c r="CN8" s="165"/>
      <c r="CO8" s="165"/>
      <c r="CP8" s="165"/>
      <c r="CQ8" s="165"/>
      <c r="CR8" s="165"/>
      <c r="CS8" s="165"/>
      <c r="CT8" s="165"/>
      <c r="CU8" s="165"/>
      <c r="CV8" s="165"/>
      <c r="CW8" s="165"/>
      <c r="CX8" s="165"/>
      <c r="CY8" s="165"/>
      <c r="CZ8" s="165"/>
      <c r="DA8" s="165"/>
    </row>
    <row r="9" spans="1:105" s="168" customFormat="1" ht="68.849999999999994" customHeight="1">
      <c r="A9" s="177"/>
      <c r="B9" s="181"/>
      <c r="C9" s="181"/>
      <c r="D9" s="177"/>
      <c r="E9" s="178"/>
      <c r="F9" s="177"/>
      <c r="G9" s="177"/>
      <c r="H9" s="179"/>
      <c r="I9" s="177"/>
      <c r="J9" s="177"/>
      <c r="K9" s="177"/>
      <c r="L9" s="177"/>
      <c r="M9" s="177"/>
      <c r="N9" s="179"/>
      <c r="O9" s="179"/>
      <c r="P9" s="179"/>
      <c r="Q9" s="179"/>
      <c r="R9" s="179"/>
      <c r="S9" s="181"/>
      <c r="T9" s="179"/>
      <c r="U9" s="179"/>
      <c r="V9" s="179"/>
      <c r="W9" s="179"/>
      <c r="X9" s="179"/>
      <c r="Y9" s="179"/>
      <c r="Z9" s="179"/>
      <c r="AA9" s="179"/>
      <c r="AB9" s="181"/>
      <c r="AC9" s="179"/>
      <c r="AD9" s="179"/>
      <c r="AE9" s="179"/>
      <c r="AF9" s="167"/>
      <c r="AG9" s="179"/>
      <c r="AH9" s="179"/>
      <c r="AI9" s="179"/>
      <c r="AJ9" s="179"/>
      <c r="AK9" s="179"/>
      <c r="AL9" s="177"/>
      <c r="AM9" s="179"/>
      <c r="AN9" s="177"/>
      <c r="AO9" s="177"/>
      <c r="AP9" s="179"/>
      <c r="AR9" s="181"/>
      <c r="AS9" s="181"/>
      <c r="AT9" s="181"/>
      <c r="AU9" s="181"/>
      <c r="AV9" s="181"/>
      <c r="BA9" s="165"/>
      <c r="BB9" s="165"/>
      <c r="BC9" s="165"/>
      <c r="BD9" s="165"/>
      <c r="BE9" s="165"/>
      <c r="BF9" s="165"/>
      <c r="BG9" s="165"/>
      <c r="BH9" s="165"/>
      <c r="BI9" s="165"/>
      <c r="BJ9" s="165"/>
      <c r="BK9" s="165"/>
      <c r="BL9" s="165"/>
      <c r="CJ9" s="165"/>
      <c r="CK9" s="165"/>
      <c r="CL9" s="165"/>
      <c r="CM9" s="165"/>
      <c r="CN9" s="165"/>
      <c r="CO9" s="165"/>
      <c r="CP9" s="165"/>
      <c r="CQ9" s="165"/>
      <c r="CR9" s="165"/>
      <c r="CS9" s="165"/>
      <c r="CT9" s="165"/>
      <c r="CU9" s="165"/>
      <c r="CV9" s="165"/>
      <c r="CW9" s="165"/>
      <c r="CX9" s="165"/>
      <c r="CY9" s="165"/>
      <c r="CZ9" s="165"/>
      <c r="DA9" s="165"/>
    </row>
    <row r="10" spans="1:105" s="168" customFormat="1" ht="68.849999999999994" customHeight="1">
      <c r="A10" s="177"/>
      <c r="B10" s="181"/>
      <c r="C10" s="181"/>
      <c r="D10" s="177"/>
      <c r="E10" s="178"/>
      <c r="F10" s="177"/>
      <c r="G10" s="177"/>
      <c r="H10" s="179"/>
      <c r="I10" s="177"/>
      <c r="J10" s="177"/>
      <c r="K10" s="177"/>
      <c r="L10" s="177"/>
      <c r="M10" s="177"/>
      <c r="N10" s="179"/>
      <c r="O10" s="179"/>
      <c r="P10" s="179"/>
      <c r="Q10" s="179"/>
      <c r="R10" s="179"/>
      <c r="S10" s="181"/>
      <c r="T10" s="179"/>
      <c r="U10" s="179"/>
      <c r="V10" s="179"/>
      <c r="W10" s="179"/>
      <c r="X10" s="179"/>
      <c r="Y10" s="179"/>
      <c r="Z10" s="179"/>
      <c r="AA10" s="179"/>
      <c r="AB10" s="181"/>
      <c r="AC10" s="179"/>
      <c r="AD10" s="179"/>
      <c r="AE10" s="179"/>
      <c r="AF10" s="167"/>
      <c r="AG10" s="179"/>
      <c r="AH10" s="179"/>
      <c r="AI10" s="179"/>
      <c r="AJ10" s="179"/>
      <c r="AK10" s="179"/>
      <c r="AL10" s="177"/>
      <c r="AM10" s="179"/>
      <c r="AN10" s="177"/>
      <c r="AO10" s="177"/>
      <c r="AP10" s="179"/>
      <c r="AR10" s="181"/>
      <c r="AS10" s="181"/>
      <c r="AT10" s="181"/>
      <c r="AU10" s="181"/>
      <c r="AV10" s="181"/>
      <c r="BA10" s="165"/>
      <c r="BB10" s="165"/>
      <c r="BC10" s="165"/>
      <c r="BD10" s="165"/>
      <c r="BE10" s="165"/>
      <c r="BF10" s="165"/>
      <c r="BG10" s="165"/>
      <c r="BH10" s="165"/>
      <c r="BI10" s="165"/>
      <c r="BJ10" s="165"/>
      <c r="BK10" s="165"/>
      <c r="BL10" s="165"/>
      <c r="CJ10" s="165"/>
      <c r="CK10" s="165"/>
      <c r="CL10" s="165"/>
      <c r="CM10" s="165"/>
      <c r="CN10" s="165"/>
      <c r="CO10" s="165"/>
      <c r="CP10" s="165"/>
      <c r="CQ10" s="165"/>
      <c r="CR10" s="165"/>
      <c r="CS10" s="165"/>
      <c r="CT10" s="165"/>
      <c r="CU10" s="165"/>
      <c r="CV10" s="165"/>
      <c r="CW10" s="165"/>
      <c r="CX10" s="165"/>
      <c r="CY10" s="165"/>
      <c r="CZ10" s="165"/>
      <c r="DA10" s="165"/>
    </row>
    <row r="11" spans="1:105" s="168" customFormat="1" ht="68.849999999999994" customHeight="1">
      <c r="A11" s="177"/>
      <c r="B11" s="181"/>
      <c r="C11" s="181"/>
      <c r="D11" s="177"/>
      <c r="E11" s="178"/>
      <c r="F11" s="177"/>
      <c r="G11" s="177"/>
      <c r="H11" s="179"/>
      <c r="I11" s="177"/>
      <c r="J11" s="177"/>
      <c r="K11" s="177"/>
      <c r="L11" s="177"/>
      <c r="M11" s="177"/>
      <c r="N11" s="179"/>
      <c r="O11" s="179"/>
      <c r="P11" s="179"/>
      <c r="Q11" s="179"/>
      <c r="R11" s="179"/>
      <c r="S11" s="181"/>
      <c r="T11" s="179"/>
      <c r="U11" s="179"/>
      <c r="V11" s="179"/>
      <c r="W11" s="179"/>
      <c r="X11" s="179"/>
      <c r="Y11" s="179"/>
      <c r="Z11" s="179"/>
      <c r="AA11" s="179"/>
      <c r="AB11" s="181"/>
      <c r="AC11" s="179"/>
      <c r="AD11" s="179"/>
      <c r="AE11" s="179"/>
      <c r="AF11" s="167"/>
      <c r="AG11" s="179"/>
      <c r="AH11" s="179"/>
      <c r="AI11" s="179"/>
      <c r="AJ11" s="179"/>
      <c r="AK11" s="179"/>
      <c r="AL11" s="177"/>
      <c r="AM11" s="179"/>
      <c r="AN11" s="177"/>
      <c r="AO11" s="177"/>
      <c r="AP11" s="179"/>
      <c r="AR11" s="181"/>
      <c r="AS11" s="181"/>
      <c r="AT11" s="181"/>
      <c r="AU11" s="181"/>
      <c r="AV11" s="181"/>
      <c r="BA11" s="165"/>
      <c r="BB11" s="165"/>
      <c r="BC11" s="165"/>
      <c r="BD11" s="165"/>
      <c r="BE11" s="165"/>
      <c r="BF11" s="165"/>
      <c r="BG11" s="165"/>
      <c r="BH11" s="165"/>
      <c r="BI11" s="165"/>
      <c r="BJ11" s="165"/>
      <c r="BK11" s="165"/>
      <c r="BL11" s="165"/>
      <c r="CJ11" s="165"/>
      <c r="CK11" s="165"/>
      <c r="CL11" s="165"/>
      <c r="CM11" s="165"/>
      <c r="CN11" s="165"/>
      <c r="CO11" s="165"/>
      <c r="CP11" s="165"/>
      <c r="CQ11" s="165"/>
      <c r="CR11" s="165"/>
      <c r="CS11" s="165"/>
      <c r="CT11" s="165"/>
      <c r="CU11" s="165"/>
      <c r="CV11" s="165"/>
      <c r="CW11" s="165"/>
      <c r="CX11" s="165"/>
      <c r="CY11" s="165"/>
      <c r="CZ11" s="165"/>
      <c r="DA11" s="165"/>
    </row>
    <row r="12" spans="1:105" s="168" customFormat="1" ht="68.849999999999994" customHeight="1">
      <c r="A12" s="177"/>
      <c r="B12" s="181"/>
      <c r="C12" s="181"/>
      <c r="D12" s="177"/>
      <c r="E12" s="178"/>
      <c r="F12" s="177"/>
      <c r="G12" s="177"/>
      <c r="H12" s="179"/>
      <c r="I12" s="177"/>
      <c r="J12" s="177"/>
      <c r="K12" s="177"/>
      <c r="L12" s="177"/>
      <c r="M12" s="177"/>
      <c r="N12" s="179"/>
      <c r="O12" s="179"/>
      <c r="P12" s="179"/>
      <c r="Q12" s="179"/>
      <c r="R12" s="179"/>
      <c r="S12" s="181"/>
      <c r="T12" s="179"/>
      <c r="U12" s="179"/>
      <c r="V12" s="179"/>
      <c r="W12" s="179"/>
      <c r="X12" s="179"/>
      <c r="Y12" s="179"/>
      <c r="Z12" s="179"/>
      <c r="AA12" s="179"/>
      <c r="AB12" s="181"/>
      <c r="AC12" s="179"/>
      <c r="AD12" s="179"/>
      <c r="AE12" s="179"/>
      <c r="AF12" s="167"/>
      <c r="AG12" s="179"/>
      <c r="AH12" s="179"/>
      <c r="AI12" s="179"/>
      <c r="AJ12" s="179"/>
      <c r="AK12" s="179"/>
      <c r="AL12" s="177"/>
      <c r="AM12" s="179"/>
      <c r="AN12" s="177"/>
      <c r="AO12" s="177"/>
      <c r="AP12" s="179"/>
      <c r="AR12" s="181"/>
      <c r="AS12" s="181"/>
      <c r="AT12" s="181"/>
      <c r="AU12" s="181"/>
      <c r="AV12" s="181"/>
      <c r="BA12" s="165"/>
      <c r="BB12" s="165"/>
      <c r="BC12" s="165"/>
      <c r="BD12" s="165"/>
      <c r="BE12" s="165"/>
      <c r="BF12" s="165"/>
      <c r="BG12" s="165"/>
      <c r="BH12" s="165"/>
      <c r="BI12" s="165"/>
      <c r="BJ12" s="165"/>
      <c r="BK12" s="165"/>
      <c r="BL12" s="165"/>
      <c r="CJ12" s="165"/>
      <c r="CK12" s="165"/>
      <c r="CL12" s="165"/>
      <c r="CM12" s="165"/>
      <c r="CN12" s="165"/>
      <c r="CO12" s="165"/>
      <c r="CP12" s="165"/>
      <c r="CQ12" s="165"/>
      <c r="CR12" s="165"/>
      <c r="CS12" s="165"/>
      <c r="CT12" s="165"/>
      <c r="CU12" s="165"/>
      <c r="CV12" s="165"/>
      <c r="CW12" s="165"/>
      <c r="CX12" s="165"/>
      <c r="CY12" s="165"/>
      <c r="CZ12" s="165"/>
      <c r="DA12" s="165"/>
    </row>
    <row r="13" spans="1:105" s="168" customFormat="1" ht="68.849999999999994" customHeight="1">
      <c r="A13" s="177"/>
      <c r="B13" s="181"/>
      <c r="C13" s="181"/>
      <c r="D13" s="177"/>
      <c r="E13" s="178"/>
      <c r="F13" s="177"/>
      <c r="G13" s="177"/>
      <c r="H13" s="179"/>
      <c r="I13" s="177"/>
      <c r="J13" s="177"/>
      <c r="K13" s="177"/>
      <c r="L13" s="177"/>
      <c r="M13" s="177"/>
      <c r="N13" s="179"/>
      <c r="O13" s="179"/>
      <c r="P13" s="179"/>
      <c r="Q13" s="179"/>
      <c r="R13" s="179"/>
      <c r="S13" s="181"/>
      <c r="T13" s="179"/>
      <c r="U13" s="179"/>
      <c r="V13" s="179"/>
      <c r="W13" s="179"/>
      <c r="X13" s="179"/>
      <c r="Y13" s="179"/>
      <c r="Z13" s="179"/>
      <c r="AA13" s="179"/>
      <c r="AB13" s="181"/>
      <c r="AC13" s="179"/>
      <c r="AD13" s="179"/>
      <c r="AE13" s="179"/>
      <c r="AF13" s="167"/>
      <c r="AG13" s="179"/>
      <c r="AH13" s="179"/>
      <c r="AI13" s="179"/>
      <c r="AJ13" s="179"/>
      <c r="AK13" s="179"/>
      <c r="AL13" s="177"/>
      <c r="AM13" s="179"/>
      <c r="AN13" s="177"/>
      <c r="AO13" s="177"/>
      <c r="AP13" s="179"/>
      <c r="AR13" s="181"/>
      <c r="AS13" s="181"/>
      <c r="AT13" s="181"/>
      <c r="AU13" s="181"/>
      <c r="AV13" s="181"/>
      <c r="BA13" s="165"/>
      <c r="BB13" s="165"/>
      <c r="BC13" s="165"/>
      <c r="BD13" s="165"/>
      <c r="BE13" s="165"/>
      <c r="BF13" s="165"/>
      <c r="BG13" s="165"/>
      <c r="BH13" s="165"/>
      <c r="BI13" s="165"/>
      <c r="BJ13" s="165"/>
      <c r="BK13" s="165"/>
      <c r="BL13" s="165"/>
    </row>
    <row r="14" spans="1:105" s="168" customFormat="1" ht="68.849999999999994" customHeight="1">
      <c r="A14" s="177"/>
      <c r="B14" s="181"/>
      <c r="C14" s="181"/>
      <c r="D14" s="177"/>
      <c r="E14" s="178"/>
      <c r="F14" s="177"/>
      <c r="G14" s="177"/>
      <c r="H14" s="179"/>
      <c r="I14" s="177"/>
      <c r="J14" s="177"/>
      <c r="K14" s="177"/>
      <c r="L14" s="177"/>
      <c r="M14" s="177"/>
      <c r="N14" s="179"/>
      <c r="O14" s="179"/>
      <c r="P14" s="179"/>
      <c r="Q14" s="179"/>
      <c r="R14" s="179"/>
      <c r="S14" s="181"/>
      <c r="T14" s="179"/>
      <c r="U14" s="179"/>
      <c r="V14" s="179"/>
      <c r="W14" s="179"/>
      <c r="X14" s="179"/>
      <c r="Y14" s="179"/>
      <c r="Z14" s="179"/>
      <c r="AA14" s="179"/>
      <c r="AB14" s="181"/>
      <c r="AC14" s="179"/>
      <c r="AD14" s="179"/>
      <c r="AE14" s="179"/>
      <c r="AF14" s="167"/>
      <c r="AG14" s="179"/>
      <c r="AH14" s="179"/>
      <c r="AI14" s="179"/>
      <c r="AJ14" s="179"/>
      <c r="AK14" s="179"/>
      <c r="AL14" s="177"/>
      <c r="AM14" s="179"/>
      <c r="AN14" s="177"/>
      <c r="AO14" s="177"/>
      <c r="AP14" s="179"/>
      <c r="AR14" s="181"/>
      <c r="AS14" s="181"/>
      <c r="AT14" s="181"/>
      <c r="AU14" s="181"/>
      <c r="AV14" s="181"/>
      <c r="BA14" s="165"/>
      <c r="BB14" s="165"/>
      <c r="BC14" s="165"/>
      <c r="BD14" s="165"/>
      <c r="BE14" s="165"/>
      <c r="BF14" s="165"/>
      <c r="BG14" s="165"/>
      <c r="BH14" s="165"/>
      <c r="BI14" s="165"/>
      <c r="BJ14" s="165"/>
      <c r="BK14" s="165"/>
      <c r="BL14" s="165"/>
      <c r="CJ14" s="394" t="s">
        <v>0</v>
      </c>
      <c r="CK14" s="395"/>
      <c r="CL14" s="395"/>
      <c r="CM14" s="395"/>
      <c r="CN14" s="395"/>
      <c r="CO14" s="395"/>
      <c r="CP14" s="395"/>
      <c r="CQ14" s="395"/>
      <c r="CR14" s="395"/>
      <c r="CS14" s="395"/>
      <c r="CT14" s="395"/>
      <c r="CU14" s="395"/>
      <c r="CV14" s="395"/>
      <c r="CW14" s="395"/>
      <c r="CX14" s="395"/>
      <c r="CY14" s="395"/>
      <c r="CZ14" s="395"/>
      <c r="DA14" s="395"/>
    </row>
    <row r="15" spans="1:105" ht="68.849999999999994" customHeight="1">
      <c r="A15" s="171"/>
      <c r="B15" s="176"/>
      <c r="C15" s="176"/>
      <c r="D15" s="171"/>
      <c r="E15" s="172"/>
      <c r="F15" s="171"/>
      <c r="G15" s="171"/>
      <c r="H15" s="173"/>
      <c r="I15" s="171"/>
      <c r="J15" s="171"/>
      <c r="K15" s="171"/>
      <c r="L15" s="171"/>
      <c r="M15" s="171"/>
      <c r="N15" s="173"/>
      <c r="O15" s="173"/>
      <c r="P15" s="173"/>
      <c r="Q15" s="173"/>
      <c r="R15" s="173"/>
      <c r="S15" s="176"/>
      <c r="T15" s="173"/>
      <c r="U15" s="173"/>
      <c r="V15" s="173"/>
      <c r="W15" s="173"/>
      <c r="X15" s="173"/>
      <c r="Y15" s="173"/>
      <c r="Z15" s="173"/>
      <c r="AA15" s="173"/>
      <c r="AB15" s="176"/>
      <c r="AC15" s="173"/>
      <c r="AD15" s="173"/>
      <c r="AE15" s="173"/>
      <c r="AF15" s="164"/>
      <c r="AG15" s="173"/>
      <c r="AH15" s="173"/>
      <c r="AI15" s="173"/>
      <c r="AJ15" s="173"/>
      <c r="AK15" s="173"/>
      <c r="AL15" s="171"/>
      <c r="AM15" s="173"/>
      <c r="AN15" s="171"/>
      <c r="AO15" s="171"/>
      <c r="AP15" s="173"/>
      <c r="AR15" s="176"/>
      <c r="AS15" s="176"/>
      <c r="AT15" s="176"/>
      <c r="AU15" s="176"/>
      <c r="AV15" s="176"/>
      <c r="BA15" s="162"/>
      <c r="BB15" s="162"/>
      <c r="BC15" s="162"/>
      <c r="BD15" s="162"/>
      <c r="BE15" s="162"/>
      <c r="BF15" s="162"/>
      <c r="BG15" s="162"/>
      <c r="BH15" s="162"/>
      <c r="BI15" s="162"/>
      <c r="BJ15" s="162"/>
      <c r="BK15" s="162"/>
      <c r="BL15" s="162"/>
      <c r="CJ15" s="356" t="s">
        <v>1</v>
      </c>
      <c r="CK15" s="356"/>
      <c r="CL15" s="356" t="s">
        <v>2</v>
      </c>
      <c r="CM15" s="356"/>
      <c r="CN15" s="356" t="s">
        <v>3</v>
      </c>
      <c r="CO15" s="356"/>
      <c r="CP15" s="356" t="s">
        <v>4</v>
      </c>
      <c r="CQ15" s="356"/>
      <c r="CR15" s="356" t="s">
        <v>5</v>
      </c>
      <c r="CS15" s="356"/>
      <c r="CT15" s="356" t="s">
        <v>6</v>
      </c>
      <c r="CU15" s="356"/>
      <c r="CV15" s="356" t="s">
        <v>7</v>
      </c>
      <c r="CW15" s="356"/>
      <c r="CX15" s="356" t="s">
        <v>8</v>
      </c>
      <c r="CY15" s="356"/>
      <c r="CZ15" s="356" t="s">
        <v>9</v>
      </c>
      <c r="DA15" s="356"/>
    </row>
    <row r="16" spans="1:105" ht="183.6" customHeight="1">
      <c r="A16" s="10" t="s">
        <v>10</v>
      </c>
      <c r="B16" s="13" t="s">
        <v>11</v>
      </c>
      <c r="C16" s="13" t="s">
        <v>12</v>
      </c>
      <c r="D16" s="10" t="s">
        <v>13</v>
      </c>
      <c r="E16" s="11" t="s">
        <v>14</v>
      </c>
      <c r="F16" s="10" t="s">
        <v>15</v>
      </c>
      <c r="G16" s="10" t="s">
        <v>16</v>
      </c>
      <c r="H16" s="12" t="s">
        <v>17</v>
      </c>
      <c r="I16" s="10" t="s">
        <v>18</v>
      </c>
      <c r="J16" s="10" t="s">
        <v>19</v>
      </c>
      <c r="K16" s="10" t="s">
        <v>20</v>
      </c>
      <c r="L16" s="10" t="s">
        <v>21</v>
      </c>
      <c r="M16" s="10" t="s">
        <v>265</v>
      </c>
      <c r="N16" s="12" t="s">
        <v>23</v>
      </c>
      <c r="O16" s="12" t="s">
        <v>24</v>
      </c>
      <c r="P16" s="12" t="s">
        <v>25</v>
      </c>
      <c r="Q16" s="12" t="s">
        <v>26</v>
      </c>
      <c r="R16" s="12" t="s">
        <v>27</v>
      </c>
      <c r="S16" s="13" t="s">
        <v>28</v>
      </c>
      <c r="T16" s="12" t="s">
        <v>668</v>
      </c>
      <c r="U16" s="12" t="s">
        <v>41</v>
      </c>
      <c r="V16" s="12" t="s">
        <v>23</v>
      </c>
      <c r="W16" s="12" t="s">
        <v>24</v>
      </c>
      <c r="X16" s="12" t="s">
        <v>669</v>
      </c>
      <c r="Y16" s="12" t="s">
        <v>26</v>
      </c>
      <c r="Z16" s="12" t="s">
        <v>27</v>
      </c>
      <c r="AA16" s="12" t="s">
        <v>618</v>
      </c>
      <c r="AB16" s="13" t="s">
        <v>28</v>
      </c>
      <c r="AC16" s="12" t="s">
        <v>670</v>
      </c>
      <c r="AD16" s="12" t="s">
        <v>29</v>
      </c>
      <c r="AE16" s="12" t="s">
        <v>671</v>
      </c>
      <c r="AF16" s="2" t="s">
        <v>30</v>
      </c>
      <c r="AG16" s="12" t="s">
        <v>672</v>
      </c>
      <c r="AH16" s="12" t="s">
        <v>31</v>
      </c>
      <c r="AI16" s="12" t="s">
        <v>32</v>
      </c>
      <c r="AJ16" s="12" t="s">
        <v>33</v>
      </c>
      <c r="AK16" s="12" t="s">
        <v>34</v>
      </c>
      <c r="AL16" s="10" t="s">
        <v>264</v>
      </c>
      <c r="AM16" s="12" t="s">
        <v>36</v>
      </c>
      <c r="AN16" s="10" t="s">
        <v>673</v>
      </c>
      <c r="AO16" s="10" t="s">
        <v>271</v>
      </c>
      <c r="AP16" s="12" t="s">
        <v>38</v>
      </c>
      <c r="AR16" s="13" t="s">
        <v>30</v>
      </c>
      <c r="AS16" s="13" t="s">
        <v>31</v>
      </c>
      <c r="AT16" s="13" t="s">
        <v>32</v>
      </c>
      <c r="AU16" s="13" t="s">
        <v>33</v>
      </c>
      <c r="AV16" s="13" t="s">
        <v>272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293" t="s">
        <v>38</v>
      </c>
      <c r="BS16" s="1" t="s">
        <v>39</v>
      </c>
      <c r="BT16" s="1" t="s">
        <v>53</v>
      </c>
      <c r="CJ16" s="357" t="s">
        <v>54</v>
      </c>
      <c r="CK16" s="357" t="s">
        <v>55</v>
      </c>
      <c r="CL16" s="357" t="s">
        <v>54</v>
      </c>
      <c r="CM16" s="357" t="s">
        <v>55</v>
      </c>
      <c r="CN16" s="357" t="s">
        <v>54</v>
      </c>
      <c r="CO16" s="357" t="s">
        <v>55</v>
      </c>
      <c r="CP16" s="357" t="s">
        <v>54</v>
      </c>
      <c r="CQ16" s="357" t="s">
        <v>55</v>
      </c>
      <c r="CR16" s="357" t="s">
        <v>54</v>
      </c>
      <c r="CS16" s="357" t="s">
        <v>55</v>
      </c>
      <c r="CT16" s="357" t="s">
        <v>54</v>
      </c>
      <c r="CU16" s="357" t="s">
        <v>55</v>
      </c>
      <c r="CV16" s="357" t="s">
        <v>54</v>
      </c>
      <c r="CW16" s="357" t="s">
        <v>55</v>
      </c>
      <c r="CX16" s="357" t="s">
        <v>54</v>
      </c>
      <c r="CY16" s="357" t="s">
        <v>55</v>
      </c>
      <c r="CZ16" s="357" t="s">
        <v>54</v>
      </c>
      <c r="DA16" s="357" t="s">
        <v>55</v>
      </c>
    </row>
    <row r="17" spans="1:105" ht="183.6" customHeight="1">
      <c r="A17" s="80">
        <v>1</v>
      </c>
      <c r="B17" s="80" t="s">
        <v>674</v>
      </c>
      <c r="C17" s="80" t="s">
        <v>674</v>
      </c>
      <c r="D17" s="6" t="s">
        <v>675</v>
      </c>
      <c r="E17" s="77">
        <v>7503057496145</v>
      </c>
      <c r="F17" s="77" t="s">
        <v>676</v>
      </c>
      <c r="G17" s="78" t="s">
        <v>677</v>
      </c>
      <c r="H17" s="99" t="s">
        <v>60</v>
      </c>
      <c r="I17" s="80" t="s">
        <v>678</v>
      </c>
      <c r="J17" s="80" t="s">
        <v>679</v>
      </c>
      <c r="K17" s="80" t="s">
        <v>176</v>
      </c>
      <c r="L17" s="113">
        <v>2</v>
      </c>
      <c r="M17" s="114" t="s">
        <v>680</v>
      </c>
      <c r="N17" s="115"/>
      <c r="O17" s="82" t="s">
        <v>681</v>
      </c>
      <c r="P17" s="80"/>
      <c r="Q17" s="78" t="s">
        <v>69</v>
      </c>
      <c r="R17" s="80" t="s">
        <v>69</v>
      </c>
      <c r="S17" s="80" t="s">
        <v>69</v>
      </c>
      <c r="T17" s="108" t="s">
        <v>682</v>
      </c>
      <c r="U17" s="84"/>
      <c r="V17" s="85" t="s">
        <v>81</v>
      </c>
      <c r="W17" s="85">
        <v>10000</v>
      </c>
      <c r="X17" s="86">
        <v>14.88</v>
      </c>
      <c r="Y17" s="86"/>
      <c r="Z17" s="86"/>
      <c r="AA17" s="86" t="e">
        <f t="shared" ref="AA17:AA22" ca="1" si="0">+AH17*$AB$18</f>
        <v>#VALUE!</v>
      </c>
      <c r="AB17" s="86" t="e">
        <f t="shared" ref="AB17:AB22" ca="1" si="1">X17+Y17+Z17+AA17</f>
        <v>#VALUE!</v>
      </c>
      <c r="AC17" s="86" t="s">
        <v>683</v>
      </c>
      <c r="AD17" s="86">
        <v>70</v>
      </c>
      <c r="AE17" s="87" t="s">
        <v>684</v>
      </c>
      <c r="AF17" s="88">
        <v>69</v>
      </c>
      <c r="AG17" s="86">
        <f t="shared" ref="AG17:AG22" si="2">AF17/1.16</f>
        <v>59.482758620689658</v>
      </c>
      <c r="AH17" s="86">
        <f t="shared" ref="AH17:AH22" si="3">(AG17)*0.6</f>
        <v>35.689655172413794</v>
      </c>
      <c r="AI17" s="89" t="e">
        <f t="shared" ref="AI17:AI22" ca="1" si="4">AB17/AH17</f>
        <v>#VALUE!</v>
      </c>
      <c r="AJ17" s="89" t="e">
        <f t="shared" ref="AJ17:AJ22" ca="1" si="5">1-(AB17/AH17)</f>
        <v>#VALUE!</v>
      </c>
      <c r="AK17" s="90">
        <f t="shared" ref="AK17:AK22" si="6">1-(AH17/(AF17/1.16))</f>
        <v>0.4</v>
      </c>
      <c r="AL17" s="81" t="s">
        <v>524</v>
      </c>
      <c r="AM17" s="85" t="s">
        <v>99</v>
      </c>
      <c r="AN17" s="116" t="s">
        <v>176</v>
      </c>
      <c r="AO17" s="116" t="s">
        <v>176</v>
      </c>
      <c r="AP17" s="91"/>
      <c r="AR17" s="67">
        <v>49</v>
      </c>
      <c r="AS17" s="63">
        <f t="shared" ref="AS17:AS22" si="7">(AR17/1.16)</f>
        <v>42.241379310344833</v>
      </c>
      <c r="AT17" s="64" t="e">
        <f t="shared" ref="AT17:AT22" ca="1" si="8">+AB17/AS17</f>
        <v>#VALUE!</v>
      </c>
      <c r="AU17" s="65" t="e">
        <f t="shared" ref="AU17:AU22" ca="1" si="9">1-(AB17/AS17)</f>
        <v>#VALUE!</v>
      </c>
      <c r="AV17" s="33">
        <f t="shared" ref="AV17:AV22" si="10">1-(AS17/(AR17/1.16))</f>
        <v>0</v>
      </c>
      <c r="BA17" s="3">
        <v>1</v>
      </c>
      <c r="BB17" s="3"/>
      <c r="BC17" s="3"/>
      <c r="BD17" s="3"/>
      <c r="BE17" s="3"/>
      <c r="BF17" s="3"/>
      <c r="BG17" s="3"/>
      <c r="BH17" s="3"/>
      <c r="BI17" s="3"/>
      <c r="BJ17" s="3">
        <v>9</v>
      </c>
      <c r="BK17" s="3">
        <f t="shared" ref="BK17:BK22" si="11">SUM(BA17:BG17)</f>
        <v>1</v>
      </c>
      <c r="BL17" s="4">
        <f t="shared" ref="BL17:BL22" si="12">+BK17/BJ17</f>
        <v>0.1111111111111111</v>
      </c>
      <c r="BR17" s="294"/>
      <c r="BS17" s="284"/>
      <c r="BT17" s="278"/>
      <c r="CJ17" s="358">
        <v>45809</v>
      </c>
      <c r="CK17" s="358">
        <v>45809</v>
      </c>
      <c r="CL17" s="278"/>
      <c r="CM17" s="278"/>
      <c r="CN17" s="278"/>
      <c r="CO17" s="278"/>
      <c r="CP17" s="268"/>
      <c r="CQ17" s="268"/>
      <c r="CR17" s="267"/>
      <c r="CS17" s="267"/>
      <c r="CT17" s="267"/>
      <c r="CU17" s="267"/>
      <c r="CV17" s="267"/>
      <c r="CW17" s="267"/>
      <c r="CX17" s="267"/>
      <c r="CY17" s="267"/>
      <c r="CZ17" s="267"/>
      <c r="DA17" s="267"/>
    </row>
    <row r="18" spans="1:105" ht="183.6" customHeight="1">
      <c r="A18" s="80">
        <v>2</v>
      </c>
      <c r="B18" s="80" t="s">
        <v>674</v>
      </c>
      <c r="C18" s="80" t="s">
        <v>674</v>
      </c>
      <c r="D18" s="6" t="s">
        <v>675</v>
      </c>
      <c r="E18" s="77">
        <v>7503057496152</v>
      </c>
      <c r="F18" s="77" t="s">
        <v>685</v>
      </c>
      <c r="G18" s="78" t="s">
        <v>686</v>
      </c>
      <c r="H18" s="99" t="s">
        <v>60</v>
      </c>
      <c r="I18" s="80" t="s">
        <v>678</v>
      </c>
      <c r="J18" s="80" t="s">
        <v>679</v>
      </c>
      <c r="K18" s="80" t="s">
        <v>176</v>
      </c>
      <c r="L18" s="113">
        <v>2</v>
      </c>
      <c r="M18" s="114" t="s">
        <v>680</v>
      </c>
      <c r="N18" s="115"/>
      <c r="O18" s="82" t="s">
        <v>687</v>
      </c>
      <c r="P18" s="80"/>
      <c r="Q18" s="78" t="s">
        <v>69</v>
      </c>
      <c r="R18" s="80" t="s">
        <v>69</v>
      </c>
      <c r="S18" s="80" t="s">
        <v>69</v>
      </c>
      <c r="T18" s="108" t="s">
        <v>688</v>
      </c>
      <c r="U18" s="84"/>
      <c r="V18" s="85" t="s">
        <v>81</v>
      </c>
      <c r="W18" s="85">
        <v>10000</v>
      </c>
      <c r="X18" s="86">
        <v>15</v>
      </c>
      <c r="Y18" s="86"/>
      <c r="Z18" s="86"/>
      <c r="AA18" s="86" t="e">
        <f t="shared" ca="1" si="0"/>
        <v>#VALUE!</v>
      </c>
      <c r="AB18" s="86" t="e">
        <f t="shared" ca="1" si="1"/>
        <v>#VALUE!</v>
      </c>
      <c r="AC18" s="86" t="s">
        <v>683</v>
      </c>
      <c r="AD18" s="86">
        <v>70</v>
      </c>
      <c r="AE18" s="87" t="s">
        <v>689</v>
      </c>
      <c r="AF18" s="88">
        <v>69</v>
      </c>
      <c r="AG18" s="86">
        <f t="shared" si="2"/>
        <v>59.482758620689658</v>
      </c>
      <c r="AH18" s="86">
        <f t="shared" si="3"/>
        <v>35.689655172413794</v>
      </c>
      <c r="AI18" s="89" t="e">
        <f t="shared" ca="1" si="4"/>
        <v>#VALUE!</v>
      </c>
      <c r="AJ18" s="89" t="e">
        <f t="shared" ca="1" si="5"/>
        <v>#VALUE!</v>
      </c>
      <c r="AK18" s="90">
        <f t="shared" si="6"/>
        <v>0.4</v>
      </c>
      <c r="AL18" s="81" t="s">
        <v>524</v>
      </c>
      <c r="AM18" s="85" t="s">
        <v>99</v>
      </c>
      <c r="AN18" s="116" t="s">
        <v>176</v>
      </c>
      <c r="AO18" s="116" t="s">
        <v>176</v>
      </c>
      <c r="AP18" s="91"/>
      <c r="AR18" s="67">
        <v>49</v>
      </c>
      <c r="AS18" s="63">
        <f t="shared" si="7"/>
        <v>42.241379310344833</v>
      </c>
      <c r="AT18" s="64" t="e">
        <f t="shared" ca="1" si="8"/>
        <v>#VALUE!</v>
      </c>
      <c r="AU18" s="65" t="e">
        <f t="shared" ca="1" si="9"/>
        <v>#VALUE!</v>
      </c>
      <c r="AV18" s="33">
        <f t="shared" si="10"/>
        <v>0</v>
      </c>
      <c r="BA18" s="3">
        <v>1</v>
      </c>
      <c r="BB18" s="3"/>
      <c r="BC18" s="3"/>
      <c r="BD18" s="3"/>
      <c r="BE18" s="3"/>
      <c r="BF18" s="3"/>
      <c r="BG18" s="3"/>
      <c r="BH18" s="3"/>
      <c r="BI18" s="3"/>
      <c r="BJ18" s="3">
        <v>9</v>
      </c>
      <c r="BK18" s="3">
        <f t="shared" si="11"/>
        <v>1</v>
      </c>
      <c r="BL18" s="4">
        <f t="shared" si="12"/>
        <v>0.1111111111111111</v>
      </c>
      <c r="CJ18" s="278"/>
      <c r="CK18" s="278"/>
      <c r="CL18" s="278"/>
      <c r="CM18" s="278"/>
      <c r="CN18" s="278"/>
      <c r="CO18" s="278"/>
      <c r="CP18" s="268"/>
      <c r="CQ18" s="268"/>
      <c r="CR18" s="267"/>
      <c r="CS18" s="267"/>
      <c r="CT18" s="267"/>
      <c r="CU18" s="267"/>
      <c r="CV18" s="267"/>
      <c r="CW18" s="267"/>
      <c r="CX18" s="267"/>
      <c r="CY18" s="267"/>
      <c r="CZ18" s="267"/>
      <c r="DA18" s="267"/>
    </row>
    <row r="19" spans="1:105" ht="183.6" customHeight="1">
      <c r="A19" s="80">
        <v>3</v>
      </c>
      <c r="B19" s="80" t="s">
        <v>674</v>
      </c>
      <c r="C19" s="80" t="s">
        <v>674</v>
      </c>
      <c r="D19" s="6" t="s">
        <v>675</v>
      </c>
      <c r="E19" s="77">
        <v>7503057496169</v>
      </c>
      <c r="F19" s="77" t="s">
        <v>690</v>
      </c>
      <c r="G19" s="78" t="s">
        <v>691</v>
      </c>
      <c r="H19" s="99" t="s">
        <v>60</v>
      </c>
      <c r="I19" s="80" t="s">
        <v>636</v>
      </c>
      <c r="J19" s="80" t="s">
        <v>679</v>
      </c>
      <c r="K19" s="80" t="s">
        <v>176</v>
      </c>
      <c r="L19" s="113">
        <v>2</v>
      </c>
      <c r="M19" s="114" t="s">
        <v>692</v>
      </c>
      <c r="N19" s="115"/>
      <c r="O19" s="117" t="s">
        <v>693</v>
      </c>
      <c r="P19" s="80"/>
      <c r="Q19" s="78" t="s">
        <v>69</v>
      </c>
      <c r="R19" s="80" t="s">
        <v>69</v>
      </c>
      <c r="S19" s="80" t="s">
        <v>69</v>
      </c>
      <c r="T19" s="118" t="s">
        <v>694</v>
      </c>
      <c r="U19" s="84"/>
      <c r="V19" s="85" t="s">
        <v>81</v>
      </c>
      <c r="W19" s="85">
        <v>10000</v>
      </c>
      <c r="X19" s="86">
        <v>16.48</v>
      </c>
      <c r="Y19" s="86"/>
      <c r="Z19" s="86"/>
      <c r="AA19" s="86" t="e">
        <f t="shared" ca="1" si="0"/>
        <v>#VALUE!</v>
      </c>
      <c r="AB19" s="86" t="e">
        <f t="shared" ca="1" si="1"/>
        <v>#VALUE!</v>
      </c>
      <c r="AC19" s="86" t="s">
        <v>695</v>
      </c>
      <c r="AD19" s="86">
        <v>89</v>
      </c>
      <c r="AE19" s="87" t="s">
        <v>696</v>
      </c>
      <c r="AF19" s="88">
        <v>69</v>
      </c>
      <c r="AG19" s="86">
        <f t="shared" si="2"/>
        <v>59.482758620689658</v>
      </c>
      <c r="AH19" s="86">
        <f t="shared" si="3"/>
        <v>35.689655172413794</v>
      </c>
      <c r="AI19" s="89" t="e">
        <f t="shared" ca="1" si="4"/>
        <v>#VALUE!</v>
      </c>
      <c r="AJ19" s="89" t="e">
        <f t="shared" ca="1" si="5"/>
        <v>#VALUE!</v>
      </c>
      <c r="AK19" s="90">
        <f t="shared" si="6"/>
        <v>0.4</v>
      </c>
      <c r="AL19" s="81" t="s">
        <v>524</v>
      </c>
      <c r="AM19" s="85" t="s">
        <v>99</v>
      </c>
      <c r="AN19" s="116" t="s">
        <v>176</v>
      </c>
      <c r="AO19" s="116" t="s">
        <v>176</v>
      </c>
      <c r="AP19" s="91"/>
      <c r="AR19" s="67">
        <v>49</v>
      </c>
      <c r="AS19" s="63">
        <f t="shared" si="7"/>
        <v>42.241379310344833</v>
      </c>
      <c r="AT19" s="64" t="e">
        <f t="shared" ca="1" si="8"/>
        <v>#VALUE!</v>
      </c>
      <c r="AU19" s="65" t="e">
        <f t="shared" ca="1" si="9"/>
        <v>#VALUE!</v>
      </c>
      <c r="AV19" s="33">
        <f t="shared" si="10"/>
        <v>0</v>
      </c>
      <c r="BA19" s="3">
        <v>1</v>
      </c>
      <c r="BB19" s="3"/>
      <c r="BC19" s="3"/>
      <c r="BD19" s="3"/>
      <c r="BE19" s="3"/>
      <c r="BF19" s="3"/>
      <c r="BG19" s="3"/>
      <c r="BH19" s="3"/>
      <c r="BI19" s="3"/>
      <c r="BJ19" s="3">
        <v>9</v>
      </c>
      <c r="BK19" s="3">
        <f t="shared" si="11"/>
        <v>1</v>
      </c>
      <c r="BL19" s="4">
        <f t="shared" si="12"/>
        <v>0.1111111111111111</v>
      </c>
      <c r="CJ19" s="278"/>
      <c r="CK19" s="278"/>
      <c r="CL19" s="278"/>
      <c r="CM19" s="278"/>
      <c r="CN19" s="278"/>
      <c r="CO19" s="278"/>
      <c r="CP19" s="268"/>
      <c r="CQ19" s="268"/>
      <c r="CR19" s="267"/>
      <c r="CS19" s="267"/>
      <c r="CT19" s="267"/>
      <c r="CU19" s="267"/>
      <c r="CV19" s="267"/>
      <c r="CW19" s="267"/>
      <c r="CX19" s="267"/>
      <c r="CY19" s="267"/>
      <c r="CZ19" s="267"/>
      <c r="DA19" s="267"/>
    </row>
    <row r="20" spans="1:105" ht="183.6" customHeight="1">
      <c r="A20" s="80">
        <v>4</v>
      </c>
      <c r="B20" s="80" t="s">
        <v>674</v>
      </c>
      <c r="C20" s="80" t="s">
        <v>674</v>
      </c>
      <c r="D20" s="6" t="s">
        <v>675</v>
      </c>
      <c r="E20" s="77">
        <v>7503057496176</v>
      </c>
      <c r="F20" s="77" t="s">
        <v>697</v>
      </c>
      <c r="G20" s="78" t="s">
        <v>698</v>
      </c>
      <c r="H20" s="99" t="s">
        <v>60</v>
      </c>
      <c r="I20" s="80" t="s">
        <v>699</v>
      </c>
      <c r="J20" s="80" t="s">
        <v>679</v>
      </c>
      <c r="K20" s="80" t="s">
        <v>176</v>
      </c>
      <c r="L20" s="113">
        <v>2</v>
      </c>
      <c r="M20" s="114" t="s">
        <v>700</v>
      </c>
      <c r="N20" s="119"/>
      <c r="O20" s="85" t="s">
        <v>701</v>
      </c>
      <c r="P20" s="80"/>
      <c r="Q20" s="78" t="s">
        <v>69</v>
      </c>
      <c r="R20" s="80" t="s">
        <v>69</v>
      </c>
      <c r="S20" s="80" t="s">
        <v>69</v>
      </c>
      <c r="T20" s="108" t="s">
        <v>702</v>
      </c>
      <c r="U20" s="84"/>
      <c r="V20" s="85" t="s">
        <v>81</v>
      </c>
      <c r="W20" s="85">
        <v>10000</v>
      </c>
      <c r="X20" s="86">
        <v>13.45</v>
      </c>
      <c r="Y20" s="86"/>
      <c r="Z20" s="86"/>
      <c r="AA20" s="86" t="e">
        <f t="shared" ca="1" si="0"/>
        <v>#VALUE!</v>
      </c>
      <c r="AB20" s="86" t="e">
        <f t="shared" ca="1" si="1"/>
        <v>#VALUE!</v>
      </c>
      <c r="AC20" s="86" t="s">
        <v>683</v>
      </c>
      <c r="AD20" s="86">
        <v>59</v>
      </c>
      <c r="AE20" s="87" t="s">
        <v>703</v>
      </c>
      <c r="AF20" s="88">
        <v>49</v>
      </c>
      <c r="AG20" s="86">
        <f t="shared" si="2"/>
        <v>42.241379310344833</v>
      </c>
      <c r="AH20" s="86">
        <f t="shared" si="3"/>
        <v>25.3448275862069</v>
      </c>
      <c r="AI20" s="89" t="e">
        <f t="shared" ca="1" si="4"/>
        <v>#VALUE!</v>
      </c>
      <c r="AJ20" s="89" t="e">
        <f t="shared" ca="1" si="5"/>
        <v>#VALUE!</v>
      </c>
      <c r="AK20" s="90">
        <f t="shared" si="6"/>
        <v>0.4</v>
      </c>
      <c r="AL20" s="81" t="s">
        <v>524</v>
      </c>
      <c r="AM20" s="85" t="s">
        <v>99</v>
      </c>
      <c r="AN20" s="116" t="s">
        <v>176</v>
      </c>
      <c r="AO20" s="116" t="s">
        <v>176</v>
      </c>
      <c r="AP20" s="91"/>
      <c r="AR20" s="67">
        <v>49</v>
      </c>
      <c r="AS20" s="63">
        <f t="shared" si="7"/>
        <v>42.241379310344833</v>
      </c>
      <c r="AT20" s="64" t="e">
        <f t="shared" ca="1" si="8"/>
        <v>#VALUE!</v>
      </c>
      <c r="AU20" s="65" t="e">
        <f t="shared" ca="1" si="9"/>
        <v>#VALUE!</v>
      </c>
      <c r="AV20" s="33">
        <f t="shared" si="10"/>
        <v>0</v>
      </c>
      <c r="BA20" s="3">
        <v>1</v>
      </c>
      <c r="BB20" s="3"/>
      <c r="BC20" s="3"/>
      <c r="BD20" s="3"/>
      <c r="BE20" s="3"/>
      <c r="BF20" s="3"/>
      <c r="BG20" s="3"/>
      <c r="BH20" s="3"/>
      <c r="BI20" s="3"/>
      <c r="BJ20" s="3">
        <v>9</v>
      </c>
      <c r="BK20" s="3">
        <f t="shared" si="11"/>
        <v>1</v>
      </c>
      <c r="BL20" s="4">
        <f t="shared" si="12"/>
        <v>0.1111111111111111</v>
      </c>
      <c r="CJ20" s="278"/>
      <c r="CK20" s="278"/>
      <c r="CL20" s="278"/>
      <c r="CM20" s="278"/>
      <c r="CN20" s="278"/>
      <c r="CO20" s="278"/>
      <c r="CP20" s="268"/>
      <c r="CQ20" s="268"/>
      <c r="CR20" s="267"/>
      <c r="CS20" s="267"/>
      <c r="CT20" s="267"/>
      <c r="CU20" s="267"/>
      <c r="CV20" s="267"/>
      <c r="CW20" s="267"/>
      <c r="CX20" s="267"/>
      <c r="CY20" s="267"/>
      <c r="CZ20" s="267"/>
      <c r="DA20" s="267"/>
    </row>
    <row r="21" spans="1:105" ht="183.6" customHeight="1">
      <c r="A21" s="80">
        <v>5</v>
      </c>
      <c r="B21" s="80" t="s">
        <v>674</v>
      </c>
      <c r="C21" s="80" t="s">
        <v>674</v>
      </c>
      <c r="D21" s="6" t="s">
        <v>675</v>
      </c>
      <c r="E21" s="76">
        <v>7503057496190</v>
      </c>
      <c r="F21" s="77" t="s">
        <v>704</v>
      </c>
      <c r="G21" s="78" t="s">
        <v>705</v>
      </c>
      <c r="H21" s="99" t="s">
        <v>60</v>
      </c>
      <c r="I21" s="80" t="s">
        <v>706</v>
      </c>
      <c r="J21" s="80" t="s">
        <v>679</v>
      </c>
      <c r="K21" s="80" t="s">
        <v>176</v>
      </c>
      <c r="L21" s="113">
        <v>2</v>
      </c>
      <c r="M21" s="114" t="s">
        <v>707</v>
      </c>
      <c r="N21" s="80"/>
      <c r="O21" s="82" t="s">
        <v>708</v>
      </c>
      <c r="P21" s="80"/>
      <c r="Q21" s="78" t="s">
        <v>69</v>
      </c>
      <c r="R21" s="80" t="s">
        <v>69</v>
      </c>
      <c r="S21" s="80" t="s">
        <v>69</v>
      </c>
      <c r="T21" s="108" t="s">
        <v>709</v>
      </c>
      <c r="U21" s="84"/>
      <c r="V21" s="85" t="s">
        <v>81</v>
      </c>
      <c r="W21" s="85">
        <v>10000</v>
      </c>
      <c r="X21" s="86">
        <v>22.236249999999998</v>
      </c>
      <c r="Y21" s="86"/>
      <c r="Z21" s="86"/>
      <c r="AA21" s="86" t="e">
        <f t="shared" ca="1" si="0"/>
        <v>#VALUE!</v>
      </c>
      <c r="AB21" s="86" t="e">
        <f t="shared" ca="1" si="1"/>
        <v>#VALUE!</v>
      </c>
      <c r="AC21" s="87" t="s">
        <v>710</v>
      </c>
      <c r="AD21" s="86">
        <v>149</v>
      </c>
      <c r="AE21" s="87" t="s">
        <v>711</v>
      </c>
      <c r="AF21" s="88">
        <v>129</v>
      </c>
      <c r="AG21" s="86">
        <f t="shared" si="2"/>
        <v>111.20689655172414</v>
      </c>
      <c r="AH21" s="86">
        <f t="shared" si="3"/>
        <v>66.724137931034477</v>
      </c>
      <c r="AI21" s="89" t="e">
        <f t="shared" ca="1" si="4"/>
        <v>#VALUE!</v>
      </c>
      <c r="AJ21" s="89" t="e">
        <f t="shared" ca="1" si="5"/>
        <v>#VALUE!</v>
      </c>
      <c r="AK21" s="90">
        <f t="shared" si="6"/>
        <v>0.4</v>
      </c>
      <c r="AL21" s="81" t="s">
        <v>524</v>
      </c>
      <c r="AM21" s="85" t="s">
        <v>99</v>
      </c>
      <c r="AN21" s="116" t="s">
        <v>176</v>
      </c>
      <c r="AO21" s="116" t="s">
        <v>176</v>
      </c>
      <c r="AP21" s="91"/>
      <c r="AR21" s="67">
        <v>79</v>
      </c>
      <c r="AS21" s="63">
        <f t="shared" si="7"/>
        <v>68.103448275862078</v>
      </c>
      <c r="AT21" s="64" t="e">
        <f t="shared" ca="1" si="8"/>
        <v>#VALUE!</v>
      </c>
      <c r="AU21" s="65" t="e">
        <f t="shared" ca="1" si="9"/>
        <v>#VALUE!</v>
      </c>
      <c r="AV21" s="33">
        <f t="shared" si="10"/>
        <v>0</v>
      </c>
      <c r="BA21" s="3">
        <v>1</v>
      </c>
      <c r="BB21" s="3"/>
      <c r="BC21" s="3"/>
      <c r="BD21" s="3"/>
      <c r="BE21" s="3"/>
      <c r="BF21" s="3"/>
      <c r="BG21" s="3"/>
      <c r="BH21" s="3"/>
      <c r="BI21" s="3"/>
      <c r="BJ21" s="3">
        <v>9</v>
      </c>
      <c r="BK21" s="3">
        <f t="shared" si="11"/>
        <v>1</v>
      </c>
      <c r="BL21" s="4">
        <f t="shared" si="12"/>
        <v>0.1111111111111111</v>
      </c>
      <c r="CJ21" s="278"/>
      <c r="CK21" s="278"/>
      <c r="CL21" s="278"/>
      <c r="CM21" s="278"/>
      <c r="CN21" s="278"/>
      <c r="CO21" s="278"/>
      <c r="CP21" s="268"/>
      <c r="CQ21" s="268"/>
      <c r="CR21" s="267"/>
      <c r="CS21" s="267"/>
      <c r="CT21" s="267"/>
      <c r="CU21" s="267"/>
      <c r="CV21" s="267"/>
      <c r="CW21" s="267"/>
      <c r="CX21" s="267"/>
      <c r="CY21" s="267"/>
      <c r="CZ21" s="267"/>
      <c r="DA21" s="267"/>
    </row>
    <row r="22" spans="1:105" ht="183.6" customHeight="1">
      <c r="A22" s="80">
        <v>11</v>
      </c>
      <c r="B22" s="80" t="s">
        <v>674</v>
      </c>
      <c r="C22" s="80" t="s">
        <v>674</v>
      </c>
      <c r="D22" s="6" t="s">
        <v>675</v>
      </c>
      <c r="E22" s="76">
        <v>7503057496268</v>
      </c>
      <c r="F22" s="77" t="s">
        <v>712</v>
      </c>
      <c r="G22" s="78" t="s">
        <v>713</v>
      </c>
      <c r="H22" s="79" t="s">
        <v>60</v>
      </c>
      <c r="I22" s="80" t="s">
        <v>508</v>
      </c>
      <c r="J22" s="80" t="s">
        <v>679</v>
      </c>
      <c r="K22" s="78" t="s">
        <v>281</v>
      </c>
      <c r="L22" s="81">
        <v>2</v>
      </c>
      <c r="M22" s="78" t="s">
        <v>69</v>
      </c>
      <c r="N22" s="80"/>
      <c r="O22" s="82" t="s">
        <v>714</v>
      </c>
      <c r="P22" s="80"/>
      <c r="Q22" s="78" t="s">
        <v>715</v>
      </c>
      <c r="R22" s="78" t="s">
        <v>716</v>
      </c>
      <c r="S22" s="80" t="s">
        <v>60</v>
      </c>
      <c r="T22" s="80" t="s">
        <v>69</v>
      </c>
      <c r="U22" s="84">
        <v>5.5800000000000002E-2</v>
      </c>
      <c r="V22" s="85" t="s">
        <v>64</v>
      </c>
      <c r="W22" s="85">
        <v>30000</v>
      </c>
      <c r="X22" s="86">
        <f>+U22*$Y$17</f>
        <v>0</v>
      </c>
      <c r="Y22" s="86">
        <f>+X22*0.25</f>
        <v>0</v>
      </c>
      <c r="Z22" s="86" t="e">
        <v>#VALUE!</v>
      </c>
      <c r="AA22" s="86" t="e">
        <f t="shared" ca="1" si="0"/>
        <v>#VALUE!</v>
      </c>
      <c r="AB22" s="86" t="e">
        <f t="shared" ca="1" si="1"/>
        <v>#VALUE!</v>
      </c>
      <c r="AC22" s="86" t="s">
        <v>717</v>
      </c>
      <c r="AD22" s="86">
        <v>39</v>
      </c>
      <c r="AE22" s="87" t="s">
        <v>718</v>
      </c>
      <c r="AF22" s="88">
        <v>19.899999999999999</v>
      </c>
      <c r="AG22" s="86">
        <f t="shared" si="2"/>
        <v>17.155172413793103</v>
      </c>
      <c r="AH22" s="86">
        <f t="shared" si="3"/>
        <v>10.293103448275861</v>
      </c>
      <c r="AI22" s="89" t="e">
        <f t="shared" ca="1" si="4"/>
        <v>#VALUE!</v>
      </c>
      <c r="AJ22" s="89" t="e">
        <f t="shared" ca="1" si="5"/>
        <v>#VALUE!</v>
      </c>
      <c r="AK22" s="90">
        <f t="shared" si="6"/>
        <v>0.4</v>
      </c>
      <c r="AL22" s="75" t="s">
        <v>488</v>
      </c>
      <c r="AM22" s="80" t="s">
        <v>67</v>
      </c>
      <c r="AN22" s="91">
        <v>24</v>
      </c>
      <c r="AO22" s="29">
        <v>48</v>
      </c>
      <c r="AP22" s="91"/>
      <c r="AR22" s="67">
        <v>9</v>
      </c>
      <c r="AS22" s="63">
        <f t="shared" si="7"/>
        <v>7.7586206896551726</v>
      </c>
      <c r="AT22" s="64" t="e">
        <f t="shared" ca="1" si="8"/>
        <v>#VALUE!</v>
      </c>
      <c r="AU22" s="65" t="e">
        <f t="shared" ca="1" si="9"/>
        <v>#VALUE!</v>
      </c>
      <c r="AV22" s="33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4">
        <f t="shared" si="12"/>
        <v>0.66666666666666663</v>
      </c>
      <c r="CJ22" s="278"/>
      <c r="CK22" s="278"/>
      <c r="CL22" s="278"/>
      <c r="CM22" s="278"/>
      <c r="CN22" s="278"/>
      <c r="CO22" s="278"/>
      <c r="CP22" s="268"/>
      <c r="CQ22" s="268"/>
      <c r="CR22" s="267"/>
      <c r="CS22" s="267"/>
      <c r="CT22" s="267"/>
      <c r="CU22" s="267"/>
      <c r="CV22" s="267"/>
      <c r="CW22" s="267"/>
      <c r="CX22" s="267"/>
      <c r="CY22" s="267"/>
      <c r="CZ22" s="267"/>
      <c r="DA22" s="267"/>
    </row>
    <row r="23" spans="1:105">
      <c r="CJ23" s="278"/>
      <c r="CK23" s="278"/>
      <c r="CL23" s="278"/>
      <c r="CM23" s="278"/>
      <c r="CN23" s="278"/>
      <c r="CO23" s="278"/>
      <c r="CP23" s="268"/>
      <c r="CQ23" s="268"/>
      <c r="CR23" s="267"/>
      <c r="CS23" s="267"/>
      <c r="CT23" s="267"/>
      <c r="CU23" s="267"/>
      <c r="CV23" s="267"/>
      <c r="CW23" s="267"/>
      <c r="CX23" s="267"/>
      <c r="CY23" s="267"/>
      <c r="CZ23" s="267"/>
      <c r="DA23" s="267"/>
    </row>
    <row r="24" spans="1:105">
      <c r="CJ24" s="278"/>
      <c r="CK24" s="278"/>
      <c r="CL24" s="278"/>
      <c r="CM24" s="278"/>
      <c r="CN24" s="278"/>
      <c r="CO24" s="278"/>
      <c r="CP24" s="268"/>
      <c r="CQ24" s="268"/>
      <c r="CR24" s="267"/>
      <c r="CS24" s="267"/>
      <c r="CT24" s="267"/>
      <c r="CU24" s="267"/>
      <c r="CV24" s="267"/>
      <c r="CW24" s="267"/>
      <c r="CX24" s="267"/>
      <c r="CY24" s="267"/>
      <c r="CZ24" s="267"/>
      <c r="DA24" s="267"/>
    </row>
    <row r="25" spans="1:105">
      <c r="CJ25" s="278"/>
      <c r="CK25" s="278"/>
      <c r="CL25" s="278"/>
      <c r="CM25" s="278"/>
      <c r="CN25" s="278"/>
      <c r="CO25" s="278"/>
      <c r="CP25" s="268"/>
      <c r="CQ25" s="268"/>
      <c r="CR25" s="267"/>
      <c r="CS25" s="267"/>
      <c r="CT25" s="267"/>
      <c r="CU25" s="267"/>
      <c r="CV25" s="267"/>
      <c r="CW25" s="267"/>
      <c r="CX25" s="267"/>
      <c r="CY25" s="267"/>
      <c r="CZ25" s="267"/>
      <c r="DA25" s="267"/>
    </row>
    <row r="26" spans="1:105">
      <c r="CJ26" s="278"/>
      <c r="CK26" s="278"/>
      <c r="CL26" s="278"/>
      <c r="CM26" s="278"/>
      <c r="CN26" s="278"/>
      <c r="CO26" s="278"/>
      <c r="CP26" s="268"/>
      <c r="CQ26" s="268"/>
      <c r="CR26" s="267"/>
      <c r="CS26" s="267"/>
      <c r="CT26" s="267"/>
      <c r="CU26" s="267"/>
      <c r="CV26" s="267"/>
      <c r="CW26" s="267"/>
      <c r="CX26" s="267"/>
      <c r="CY26" s="267"/>
      <c r="CZ26" s="267"/>
      <c r="DA26" s="267"/>
    </row>
    <row r="27" spans="1:105">
      <c r="CJ27" s="278"/>
      <c r="CK27" s="278"/>
      <c r="CL27" s="278"/>
      <c r="CM27" s="278"/>
      <c r="CN27" s="278"/>
      <c r="CO27" s="278"/>
      <c r="CP27" s="268"/>
      <c r="CQ27" s="268"/>
      <c r="CR27" s="267"/>
      <c r="CS27" s="267"/>
      <c r="CT27" s="267"/>
      <c r="CU27" s="267"/>
      <c r="CV27" s="267"/>
      <c r="CW27" s="267"/>
      <c r="CX27" s="267"/>
      <c r="CY27" s="267"/>
      <c r="CZ27" s="267"/>
      <c r="DA27" s="267"/>
    </row>
    <row r="28" spans="1:105">
      <c r="CJ28" s="278"/>
      <c r="CK28" s="278"/>
      <c r="CL28" s="278"/>
      <c r="CM28" s="278"/>
      <c r="CN28" s="278"/>
      <c r="CO28" s="278"/>
      <c r="CP28" s="268"/>
      <c r="CQ28" s="268"/>
      <c r="CR28" s="267"/>
      <c r="CS28" s="267"/>
      <c r="CT28" s="267"/>
      <c r="CU28" s="267"/>
      <c r="CV28" s="267"/>
      <c r="CW28" s="267"/>
      <c r="CX28" s="267"/>
      <c r="CY28" s="267"/>
      <c r="CZ28" s="267"/>
      <c r="DA28" s="267"/>
    </row>
    <row r="29" spans="1:105">
      <c r="CJ29" s="278"/>
      <c r="CK29" s="278"/>
      <c r="CL29" s="278"/>
      <c r="CM29" s="278"/>
      <c r="CN29" s="278"/>
      <c r="CO29" s="278"/>
      <c r="CP29" s="268"/>
      <c r="CQ29" s="268"/>
      <c r="CR29" s="267"/>
      <c r="CS29" s="267"/>
      <c r="CT29" s="267"/>
      <c r="CU29" s="267"/>
      <c r="CV29" s="267"/>
      <c r="CW29" s="267"/>
      <c r="CX29" s="267"/>
      <c r="CY29" s="267"/>
      <c r="CZ29" s="267"/>
      <c r="DA29" s="267"/>
    </row>
    <row r="30" spans="1:105">
      <c r="CJ30" s="278"/>
      <c r="CK30" s="278"/>
      <c r="CL30" s="278"/>
      <c r="CM30" s="278"/>
      <c r="CN30" s="278"/>
      <c r="CO30" s="278"/>
      <c r="CP30" s="268"/>
      <c r="CQ30" s="268"/>
      <c r="CR30" s="267"/>
      <c r="CS30" s="267"/>
      <c r="CT30" s="267"/>
      <c r="CU30" s="267"/>
      <c r="CV30" s="267"/>
      <c r="CW30" s="267"/>
      <c r="CX30" s="267"/>
      <c r="CY30" s="267"/>
      <c r="CZ30" s="267"/>
      <c r="DA30" s="267"/>
    </row>
    <row r="31" spans="1:105">
      <c r="CJ31" s="278"/>
      <c r="CK31" s="278"/>
      <c r="CL31" s="278"/>
      <c r="CM31" s="278"/>
      <c r="CN31" s="278"/>
      <c r="CO31" s="278"/>
      <c r="CP31" s="268"/>
      <c r="CQ31" s="268"/>
      <c r="CR31" s="267"/>
      <c r="CS31" s="267"/>
      <c r="CT31" s="267"/>
      <c r="CU31" s="267"/>
      <c r="CV31" s="267"/>
      <c r="CW31" s="267"/>
      <c r="CX31" s="267"/>
      <c r="CY31" s="267"/>
      <c r="CZ31" s="267"/>
      <c r="DA31" s="267"/>
    </row>
    <row r="32" spans="1:105">
      <c r="CJ32" s="278"/>
      <c r="CK32" s="278"/>
      <c r="CL32" s="278"/>
      <c r="CM32" s="278"/>
      <c r="CN32" s="278"/>
      <c r="CO32" s="278"/>
      <c r="CP32" s="268"/>
      <c r="CQ32" s="268"/>
      <c r="CR32" s="267"/>
      <c r="CS32" s="267"/>
      <c r="CT32" s="267"/>
      <c r="CU32" s="267"/>
      <c r="CV32" s="267"/>
      <c r="CW32" s="267"/>
      <c r="CX32" s="267"/>
      <c r="CY32" s="267"/>
      <c r="CZ32" s="267"/>
      <c r="DA32" s="267"/>
    </row>
    <row r="33" spans="88:105">
      <c r="CJ33" s="278"/>
      <c r="CK33" s="278"/>
      <c r="CL33" s="278"/>
      <c r="CM33" s="278"/>
      <c r="CN33" s="278"/>
      <c r="CO33" s="278"/>
      <c r="CP33" s="268"/>
      <c r="CQ33" s="268"/>
      <c r="CR33" s="267"/>
      <c r="CS33" s="267"/>
      <c r="CT33" s="267"/>
      <c r="CU33" s="267"/>
      <c r="CV33" s="267"/>
      <c r="CW33" s="267"/>
      <c r="CX33" s="267"/>
      <c r="CY33" s="267"/>
      <c r="CZ33" s="267"/>
      <c r="DA33" s="267"/>
    </row>
    <row r="34" spans="88:105">
      <c r="CJ34" s="278"/>
      <c r="CK34" s="278"/>
      <c r="CL34" s="278"/>
      <c r="CM34" s="278"/>
      <c r="CN34" s="278"/>
      <c r="CO34" s="278"/>
      <c r="CP34" s="268"/>
      <c r="CQ34" s="268"/>
      <c r="CR34" s="267"/>
      <c r="CS34" s="267"/>
      <c r="CT34" s="267"/>
      <c r="CU34" s="267"/>
      <c r="CV34" s="267"/>
      <c r="CW34" s="267"/>
      <c r="CX34" s="267"/>
      <c r="CY34" s="267"/>
      <c r="CZ34" s="267"/>
      <c r="DA34" s="267"/>
    </row>
    <row r="35" spans="88:105">
      <c r="CJ35" s="278"/>
      <c r="CK35" s="278"/>
      <c r="CL35" s="278"/>
      <c r="CM35" s="278"/>
      <c r="CN35" s="278"/>
      <c r="CO35" s="278"/>
      <c r="CP35" s="268"/>
      <c r="CQ35" s="268"/>
      <c r="CR35" s="267"/>
      <c r="CS35" s="267"/>
      <c r="CT35" s="267"/>
      <c r="CU35" s="267"/>
      <c r="CV35" s="267"/>
      <c r="CW35" s="267"/>
      <c r="CX35" s="267"/>
      <c r="CY35" s="267"/>
      <c r="CZ35" s="267"/>
      <c r="DA35" s="267"/>
    </row>
    <row r="36" spans="88:105">
      <c r="CJ36" s="278"/>
      <c r="CK36" s="278"/>
      <c r="CL36" s="278"/>
      <c r="CM36" s="278"/>
      <c r="CN36" s="278"/>
      <c r="CO36" s="278"/>
      <c r="CP36" s="268"/>
      <c r="CQ36" s="268"/>
      <c r="CR36" s="267"/>
      <c r="CS36" s="267"/>
      <c r="CT36" s="267"/>
      <c r="CU36" s="267"/>
      <c r="CV36" s="267"/>
      <c r="CW36" s="267"/>
      <c r="CX36" s="267"/>
      <c r="CY36" s="267"/>
      <c r="CZ36" s="267"/>
      <c r="DA36" s="267"/>
    </row>
    <row r="37" spans="88:105">
      <c r="CJ37" s="278"/>
      <c r="CK37" s="278"/>
      <c r="CL37" s="278"/>
      <c r="CM37" s="278"/>
      <c r="CN37" s="278"/>
      <c r="CO37" s="278"/>
      <c r="CP37" s="268"/>
      <c r="CQ37" s="268"/>
      <c r="CR37" s="267"/>
      <c r="CS37" s="267"/>
      <c r="CT37" s="267"/>
      <c r="CU37" s="267"/>
      <c r="CV37" s="267"/>
      <c r="CW37" s="267"/>
      <c r="CX37" s="267"/>
      <c r="CY37" s="267"/>
      <c r="CZ37" s="267"/>
      <c r="DA37" s="267"/>
    </row>
    <row r="38" spans="88:105">
      <c r="CJ38" s="278"/>
      <c r="CK38" s="278"/>
      <c r="CL38" s="278"/>
      <c r="CM38" s="278"/>
      <c r="CN38" s="278"/>
      <c r="CO38" s="278"/>
      <c r="CP38" s="268"/>
      <c r="CQ38" s="268"/>
      <c r="CR38" s="267"/>
      <c r="CS38" s="267"/>
      <c r="CT38" s="267"/>
      <c r="CU38" s="267"/>
      <c r="CV38" s="267"/>
      <c r="CW38" s="267"/>
      <c r="CX38" s="267"/>
      <c r="CY38" s="267"/>
      <c r="CZ38" s="267"/>
      <c r="DA38" s="267"/>
    </row>
    <row r="39" spans="88:105">
      <c r="CJ39" s="278"/>
      <c r="CK39" s="278"/>
      <c r="CL39" s="278"/>
      <c r="CM39" s="278"/>
      <c r="CN39" s="278"/>
      <c r="CO39" s="278"/>
      <c r="CP39" s="268"/>
      <c r="CQ39" s="268"/>
      <c r="CR39" s="267"/>
      <c r="CS39" s="267"/>
      <c r="CT39" s="267"/>
      <c r="CU39" s="267"/>
      <c r="CV39" s="267"/>
      <c r="CW39" s="267"/>
      <c r="CX39" s="267"/>
      <c r="CY39" s="267"/>
      <c r="CZ39" s="267"/>
      <c r="DA39" s="267"/>
    </row>
    <row r="40" spans="88:105">
      <c r="CJ40" s="278"/>
      <c r="CK40" s="278"/>
      <c r="CL40" s="278"/>
      <c r="CM40" s="278"/>
      <c r="CN40" s="278"/>
      <c r="CO40" s="278"/>
      <c r="CP40" s="268"/>
      <c r="CQ40" s="268"/>
      <c r="CR40" s="267"/>
      <c r="CS40" s="267"/>
      <c r="CT40" s="267"/>
      <c r="CU40" s="267"/>
      <c r="CV40" s="267"/>
      <c r="CW40" s="267"/>
      <c r="CX40" s="267"/>
      <c r="CY40" s="267"/>
      <c r="CZ40" s="267"/>
      <c r="DA40" s="267"/>
    </row>
    <row r="41" spans="88:105">
      <c r="CJ41" s="278"/>
      <c r="CK41" s="278"/>
      <c r="CL41" s="278"/>
      <c r="CM41" s="278"/>
      <c r="CN41" s="278"/>
      <c r="CO41" s="278"/>
      <c r="CP41" s="268"/>
      <c r="CQ41" s="268"/>
      <c r="CR41" s="267"/>
      <c r="CS41" s="267"/>
      <c r="CT41" s="267"/>
      <c r="CU41" s="267"/>
      <c r="CV41" s="267"/>
      <c r="CW41" s="267"/>
      <c r="CX41" s="267"/>
      <c r="CY41" s="267"/>
      <c r="CZ41" s="267"/>
      <c r="DA41" s="267"/>
    </row>
    <row r="42" spans="88:105">
      <c r="CJ42" s="278"/>
      <c r="CK42" s="278"/>
      <c r="CL42" s="278"/>
      <c r="CM42" s="278"/>
      <c r="CN42" s="278"/>
      <c r="CO42" s="278"/>
      <c r="CP42" s="268"/>
      <c r="CQ42" s="268"/>
      <c r="CR42" s="267"/>
      <c r="CS42" s="267"/>
      <c r="CT42" s="267"/>
      <c r="CU42" s="267"/>
      <c r="CV42" s="267"/>
      <c r="CW42" s="267"/>
      <c r="CX42" s="267"/>
      <c r="CY42" s="267"/>
      <c r="CZ42" s="267"/>
      <c r="DA42" s="267"/>
    </row>
    <row r="43" spans="88:105">
      <c r="CJ43" s="278"/>
      <c r="CK43" s="278"/>
      <c r="CL43" s="278"/>
      <c r="CM43" s="278"/>
      <c r="CN43" s="278"/>
      <c r="CO43" s="278"/>
      <c r="CP43" s="268"/>
      <c r="CQ43" s="268"/>
      <c r="CR43" s="267"/>
      <c r="CS43" s="267"/>
      <c r="CT43" s="267"/>
      <c r="CU43" s="267"/>
      <c r="CV43" s="267"/>
      <c r="CW43" s="267"/>
      <c r="CX43" s="267"/>
      <c r="CY43" s="267"/>
      <c r="CZ43" s="267"/>
      <c r="DA43" s="267"/>
    </row>
    <row r="44" spans="88:105">
      <c r="CJ44" s="278"/>
      <c r="CK44" s="278"/>
      <c r="CL44" s="278"/>
      <c r="CM44" s="278"/>
      <c r="CN44" s="278"/>
      <c r="CO44" s="278"/>
      <c r="CP44" s="268"/>
      <c r="CQ44" s="268"/>
      <c r="CR44" s="341"/>
      <c r="CS44" s="341"/>
      <c r="CT44" s="341"/>
      <c r="CU44" s="341"/>
      <c r="CV44" s="341"/>
      <c r="CW44" s="341"/>
      <c r="CX44" s="341"/>
      <c r="CY44" s="341"/>
      <c r="CZ44" s="341"/>
      <c r="DA44" s="341"/>
    </row>
    <row r="45" spans="88:105">
      <c r="CJ45" s="278"/>
      <c r="CK45" s="278"/>
      <c r="CL45" s="278"/>
      <c r="CM45" s="278"/>
      <c r="CN45" s="278"/>
      <c r="CO45" s="278"/>
      <c r="CP45" s="268"/>
      <c r="CQ45" s="268"/>
      <c r="CR45" s="267"/>
      <c r="CS45" s="267"/>
      <c r="CT45" s="267"/>
      <c r="CU45" s="267"/>
      <c r="CV45" s="267"/>
      <c r="CW45" s="267"/>
      <c r="CX45" s="267"/>
      <c r="CY45" s="267"/>
      <c r="CZ45" s="267"/>
      <c r="DA45" s="267"/>
    </row>
    <row r="46" spans="88:105">
      <c r="CJ46" s="278"/>
      <c r="CK46" s="278"/>
      <c r="CL46" s="278"/>
      <c r="CM46" s="278"/>
      <c r="CN46" s="278"/>
      <c r="CO46" s="278"/>
      <c r="CP46" s="268"/>
      <c r="CQ46" s="268"/>
      <c r="CR46" s="267"/>
      <c r="CS46" s="267"/>
      <c r="CT46" s="267"/>
      <c r="CU46" s="267"/>
      <c r="CV46" s="267"/>
      <c r="CW46" s="267"/>
      <c r="CX46" s="267"/>
      <c r="CY46" s="267"/>
      <c r="CZ46" s="267"/>
      <c r="DA46" s="267"/>
    </row>
    <row r="47" spans="88:105">
      <c r="CJ47" s="278"/>
      <c r="CK47" s="278"/>
      <c r="CL47" s="278"/>
      <c r="CM47" s="278"/>
      <c r="CN47" s="278"/>
      <c r="CO47" s="278"/>
      <c r="CP47" s="268"/>
      <c r="CQ47" s="268"/>
      <c r="CR47" s="267"/>
      <c r="CS47" s="267"/>
      <c r="CT47" s="267"/>
      <c r="CU47" s="267"/>
      <c r="CV47" s="267"/>
      <c r="CW47" s="267"/>
      <c r="CX47" s="267"/>
      <c r="CY47" s="267"/>
      <c r="CZ47" s="267"/>
      <c r="DA47" s="267"/>
    </row>
    <row r="48" spans="88:105">
      <c r="CJ48" s="278"/>
      <c r="CK48" s="278"/>
      <c r="CL48" s="278"/>
      <c r="CM48" s="278"/>
      <c r="CN48" s="278"/>
      <c r="CO48" s="278"/>
      <c r="CP48" s="268"/>
      <c r="CQ48" s="268"/>
      <c r="CR48" s="267"/>
      <c r="CS48" s="267"/>
      <c r="CT48" s="267"/>
      <c r="CU48" s="267"/>
      <c r="CV48" s="267"/>
      <c r="CW48" s="267"/>
      <c r="CX48" s="267"/>
      <c r="CY48" s="267"/>
      <c r="CZ48" s="267"/>
      <c r="DA48" s="267"/>
    </row>
    <row r="49" spans="88:105">
      <c r="CJ49" s="278"/>
      <c r="CK49" s="278"/>
      <c r="CL49" s="278"/>
      <c r="CM49" s="278"/>
      <c r="CN49" s="278"/>
      <c r="CO49" s="278"/>
      <c r="CP49" s="268"/>
      <c r="CQ49" s="268"/>
      <c r="CR49" s="267"/>
      <c r="CS49" s="267"/>
      <c r="CT49" s="267"/>
      <c r="CU49" s="267"/>
      <c r="CV49" s="267"/>
      <c r="CW49" s="267"/>
      <c r="CX49" s="267"/>
      <c r="CY49" s="267"/>
      <c r="CZ49" s="267"/>
      <c r="DA49" s="267"/>
    </row>
    <row r="50" spans="88:105">
      <c r="CJ50" s="278"/>
      <c r="CK50" s="278"/>
      <c r="CL50" s="278"/>
      <c r="CM50" s="278"/>
      <c r="CN50" s="278"/>
      <c r="CO50" s="278"/>
      <c r="CP50" s="268"/>
      <c r="CQ50" s="268"/>
      <c r="CR50" s="267"/>
      <c r="CS50" s="267"/>
      <c r="CT50" s="267"/>
      <c r="CU50" s="267"/>
      <c r="CV50" s="267"/>
      <c r="CW50" s="267"/>
      <c r="CX50" s="267"/>
      <c r="CY50" s="267"/>
      <c r="CZ50" s="267"/>
      <c r="DA50" s="267"/>
    </row>
    <row r="51" spans="88:105">
      <c r="CJ51" s="278"/>
      <c r="CK51" s="278"/>
      <c r="CL51" s="278"/>
      <c r="CM51" s="278"/>
      <c r="CN51" s="278"/>
      <c r="CO51" s="278"/>
      <c r="CP51" s="268"/>
      <c r="CQ51" s="268"/>
      <c r="CR51" s="267"/>
      <c r="CS51" s="267"/>
      <c r="CT51" s="267"/>
      <c r="CU51" s="267"/>
      <c r="CV51" s="267"/>
      <c r="CW51" s="267"/>
      <c r="CX51" s="267"/>
      <c r="CY51" s="267"/>
      <c r="CZ51" s="267"/>
      <c r="DA51" s="267"/>
    </row>
    <row r="52" spans="88:105">
      <c r="CJ52" s="278"/>
      <c r="CK52" s="278"/>
      <c r="CL52" s="278"/>
      <c r="CM52" s="278"/>
      <c r="CN52" s="278"/>
      <c r="CO52" s="278"/>
      <c r="CP52" s="268"/>
      <c r="CQ52" s="268"/>
      <c r="CR52" s="267"/>
      <c r="CS52" s="267"/>
      <c r="CT52" s="267"/>
      <c r="CU52" s="267"/>
      <c r="CV52" s="267"/>
      <c r="CW52" s="267"/>
      <c r="CX52" s="267"/>
      <c r="CY52" s="267"/>
      <c r="CZ52" s="267"/>
      <c r="DA52" s="267"/>
    </row>
    <row r="53" spans="88:105">
      <c r="CJ53" s="278"/>
      <c r="CK53" s="278"/>
      <c r="CL53" s="278"/>
      <c r="CM53" s="278"/>
      <c r="CN53" s="278"/>
      <c r="CO53" s="278"/>
      <c r="CP53" s="268"/>
      <c r="CQ53" s="268"/>
      <c r="CR53" s="267"/>
      <c r="CS53" s="267"/>
      <c r="CT53" s="267"/>
      <c r="CU53" s="267"/>
      <c r="CV53" s="267"/>
      <c r="CW53" s="267"/>
      <c r="CX53" s="267"/>
      <c r="CY53" s="267"/>
      <c r="CZ53" s="267"/>
      <c r="DA53" s="267"/>
    </row>
    <row r="54" spans="88:105">
      <c r="CJ54" s="278"/>
      <c r="CK54" s="278"/>
      <c r="CL54" s="278"/>
      <c r="CM54" s="278"/>
      <c r="CN54" s="278"/>
      <c r="CO54" s="278"/>
      <c r="CP54" s="268"/>
      <c r="CQ54" s="268"/>
      <c r="CR54" s="267"/>
      <c r="CS54" s="267"/>
      <c r="CT54" s="267"/>
      <c r="CU54" s="267"/>
      <c r="CV54" s="267"/>
      <c r="CW54" s="267"/>
      <c r="CX54" s="267"/>
      <c r="CY54" s="267"/>
      <c r="CZ54" s="267"/>
      <c r="DA54" s="267"/>
    </row>
    <row r="55" spans="88:105">
      <c r="CJ55" s="278"/>
      <c r="CK55" s="278"/>
      <c r="CL55" s="278"/>
      <c r="CM55" s="278"/>
      <c r="CN55" s="278"/>
      <c r="CO55" s="278"/>
      <c r="CP55" s="268"/>
      <c r="CQ55" s="268"/>
      <c r="CR55" s="267"/>
      <c r="CS55" s="267"/>
      <c r="CT55" s="267"/>
      <c r="CU55" s="267"/>
      <c r="CV55" s="267"/>
      <c r="CW55" s="267"/>
      <c r="CX55" s="267"/>
      <c r="CY55" s="267"/>
      <c r="CZ55" s="267"/>
      <c r="DA55" s="267"/>
    </row>
    <row r="56" spans="88:105">
      <c r="CJ56" s="278"/>
      <c r="CK56" s="278"/>
      <c r="CL56" s="278"/>
      <c r="CM56" s="278"/>
      <c r="CN56" s="278"/>
      <c r="CO56" s="278"/>
      <c r="CP56" s="268"/>
      <c r="CQ56" s="268"/>
      <c r="CR56" s="267"/>
      <c r="CS56" s="267"/>
      <c r="CT56" s="267"/>
      <c r="CU56" s="267"/>
      <c r="CV56" s="267"/>
      <c r="CW56" s="267"/>
      <c r="CX56" s="267"/>
      <c r="CY56" s="267"/>
      <c r="CZ56" s="267"/>
      <c r="DA56" s="267"/>
    </row>
    <row r="57" spans="88:105">
      <c r="CJ57" s="278"/>
      <c r="CK57" s="278"/>
      <c r="CL57" s="278"/>
      <c r="CM57" s="278"/>
      <c r="CN57" s="278"/>
      <c r="CO57" s="278"/>
      <c r="CP57" s="268"/>
      <c r="CQ57" s="268"/>
      <c r="CR57" s="267"/>
      <c r="CS57" s="267"/>
      <c r="CT57" s="267"/>
      <c r="CU57" s="267"/>
      <c r="CV57" s="267"/>
      <c r="CW57" s="267"/>
      <c r="CX57" s="267"/>
      <c r="CY57" s="267"/>
      <c r="CZ57" s="267"/>
      <c r="DA57" s="267"/>
    </row>
    <row r="58" spans="88:105">
      <c r="CJ58" s="278"/>
      <c r="CK58" s="278"/>
      <c r="CL58" s="278"/>
      <c r="CM58" s="278"/>
      <c r="CN58" s="278"/>
      <c r="CO58" s="278"/>
      <c r="CP58" s="268"/>
      <c r="CQ58" s="268"/>
      <c r="CR58" s="267"/>
      <c r="CS58" s="267"/>
      <c r="CT58" s="267"/>
      <c r="CU58" s="267"/>
      <c r="CV58" s="267"/>
      <c r="CW58" s="267"/>
      <c r="CX58" s="267"/>
      <c r="CY58" s="267"/>
      <c r="CZ58" s="267"/>
      <c r="DA58" s="267"/>
    </row>
    <row r="59" spans="88:105">
      <c r="CJ59" s="278"/>
      <c r="CK59" s="278"/>
      <c r="CL59" s="278"/>
      <c r="CM59" s="278"/>
      <c r="CN59" s="278"/>
      <c r="CO59" s="278"/>
      <c r="CP59" s="268"/>
      <c r="CQ59" s="268"/>
      <c r="CR59" s="267"/>
      <c r="CS59" s="267"/>
      <c r="CT59" s="267"/>
      <c r="CU59" s="267"/>
      <c r="CV59" s="267"/>
      <c r="CW59" s="267"/>
      <c r="CX59" s="267"/>
      <c r="CY59" s="267"/>
      <c r="CZ59" s="267"/>
      <c r="DA59" s="267"/>
    </row>
    <row r="60" spans="88:105">
      <c r="CJ60" s="278"/>
      <c r="CK60" s="278"/>
      <c r="CL60" s="278"/>
      <c r="CM60" s="278"/>
      <c r="CN60" s="278"/>
      <c r="CO60" s="278"/>
      <c r="CP60" s="268"/>
      <c r="CQ60" s="268"/>
      <c r="CR60" s="267"/>
      <c r="CS60" s="267"/>
      <c r="CT60" s="267"/>
      <c r="CU60" s="267"/>
      <c r="CV60" s="267"/>
      <c r="CW60" s="267"/>
      <c r="CX60" s="267"/>
      <c r="CY60" s="267"/>
      <c r="CZ60" s="267"/>
      <c r="DA60" s="267"/>
    </row>
    <row r="61" spans="88:105">
      <c r="CJ61" s="278"/>
      <c r="CK61" s="278"/>
      <c r="CL61" s="278"/>
      <c r="CM61" s="278"/>
      <c r="CN61" s="278"/>
      <c r="CO61" s="278"/>
      <c r="CP61" s="268"/>
      <c r="CQ61" s="268"/>
      <c r="CR61" s="267"/>
      <c r="CS61" s="267"/>
      <c r="CT61" s="267"/>
      <c r="CU61" s="267"/>
      <c r="CV61" s="267"/>
      <c r="CW61" s="267"/>
      <c r="CX61" s="267"/>
      <c r="CY61" s="267"/>
      <c r="CZ61" s="267"/>
      <c r="DA61" s="267"/>
    </row>
    <row r="62" spans="88:105">
      <c r="CJ62" s="278"/>
      <c r="CK62" s="278"/>
      <c r="CL62" s="278"/>
      <c r="CM62" s="278"/>
      <c r="CN62" s="278"/>
      <c r="CO62" s="278"/>
      <c r="CP62" s="268"/>
      <c r="CQ62" s="268"/>
      <c r="CR62" s="267"/>
      <c r="CS62" s="267"/>
      <c r="CT62" s="267"/>
      <c r="CU62" s="267"/>
      <c r="CV62" s="267"/>
      <c r="CW62" s="267"/>
      <c r="CX62" s="267"/>
      <c r="CY62" s="267"/>
      <c r="CZ62" s="267"/>
      <c r="DA62" s="267"/>
    </row>
    <row r="63" spans="88:105">
      <c r="CJ63" s="278"/>
      <c r="CK63" s="278"/>
      <c r="CL63" s="278"/>
      <c r="CM63" s="278"/>
      <c r="CN63" s="278"/>
      <c r="CO63" s="278"/>
      <c r="CP63" s="268"/>
      <c r="CQ63" s="268"/>
      <c r="CR63" s="267"/>
      <c r="CS63" s="267"/>
      <c r="CT63" s="267"/>
      <c r="CU63" s="267"/>
      <c r="CV63" s="267"/>
      <c r="CW63" s="267"/>
      <c r="CX63" s="267"/>
      <c r="CY63" s="267"/>
      <c r="CZ63" s="267"/>
      <c r="DA63" s="267"/>
    </row>
    <row r="64" spans="88:105">
      <c r="CJ64" s="278"/>
      <c r="CK64" s="278"/>
      <c r="CL64" s="278"/>
      <c r="CM64" s="278"/>
      <c r="CN64" s="278"/>
      <c r="CO64" s="278"/>
      <c r="CP64" s="268"/>
      <c r="CQ64" s="268"/>
      <c r="CR64" s="267"/>
      <c r="CS64" s="267"/>
      <c r="CT64" s="267"/>
      <c r="CU64" s="267"/>
      <c r="CV64" s="267"/>
      <c r="CW64" s="267"/>
      <c r="CX64" s="267"/>
      <c r="CY64" s="267"/>
      <c r="CZ64" s="267"/>
      <c r="DA64" s="267"/>
    </row>
    <row r="65" spans="88:105">
      <c r="CJ65" s="278"/>
      <c r="CK65" s="278"/>
      <c r="CL65" s="278"/>
      <c r="CM65" s="278"/>
      <c r="CN65" s="278"/>
      <c r="CO65" s="278"/>
      <c r="CP65" s="268"/>
      <c r="CQ65" s="268"/>
      <c r="CR65" s="267"/>
      <c r="CS65" s="267"/>
      <c r="CT65" s="267"/>
      <c r="CU65" s="267"/>
      <c r="CV65" s="267"/>
      <c r="CW65" s="267"/>
      <c r="CX65" s="267"/>
      <c r="CY65" s="267"/>
      <c r="CZ65" s="267"/>
      <c r="DA65" s="267"/>
    </row>
    <row r="66" spans="88:105">
      <c r="CJ66" s="278"/>
      <c r="CK66" s="278"/>
      <c r="CL66" s="278"/>
      <c r="CM66" s="278"/>
      <c r="CN66" s="278"/>
      <c r="CO66" s="278"/>
      <c r="CP66" s="268"/>
      <c r="CQ66" s="268"/>
      <c r="CR66" s="267"/>
      <c r="CS66" s="267"/>
      <c r="CT66" s="267"/>
      <c r="CU66" s="267"/>
      <c r="CV66" s="267"/>
      <c r="CW66" s="267"/>
      <c r="CX66" s="267"/>
      <c r="CY66" s="267"/>
      <c r="CZ66" s="267"/>
      <c r="DA66" s="267"/>
    </row>
    <row r="67" spans="88:105">
      <c r="CJ67" s="278"/>
      <c r="CK67" s="278"/>
      <c r="CL67" s="278"/>
      <c r="CM67" s="278"/>
      <c r="CN67" s="278"/>
      <c r="CO67" s="278"/>
      <c r="CP67" s="268"/>
      <c r="CQ67" s="268"/>
      <c r="CR67" s="267"/>
      <c r="CS67" s="267"/>
      <c r="CT67" s="267"/>
      <c r="CU67" s="267"/>
      <c r="CV67" s="267"/>
      <c r="CW67" s="267"/>
      <c r="CX67" s="267"/>
      <c r="CY67" s="267"/>
      <c r="CZ67" s="267"/>
      <c r="DA67" s="267"/>
    </row>
    <row r="68" spans="88:105">
      <c r="CJ68" s="278"/>
      <c r="CK68" s="278"/>
      <c r="CL68" s="278"/>
      <c r="CM68" s="278"/>
      <c r="CN68" s="278"/>
      <c r="CO68" s="278"/>
      <c r="CP68" s="268"/>
      <c r="CQ68" s="268"/>
      <c r="CR68" s="267"/>
      <c r="CS68" s="267"/>
      <c r="CT68" s="267"/>
      <c r="CU68" s="267"/>
      <c r="CV68" s="267"/>
      <c r="CW68" s="267"/>
      <c r="CX68" s="267"/>
      <c r="CY68" s="267"/>
      <c r="CZ68" s="267"/>
      <c r="DA68" s="267"/>
    </row>
  </sheetData>
  <mergeCells count="1">
    <mergeCell ref="CJ14:DA14"/>
  </mergeCells>
  <conditionalFormatting sqref="AI17:AI22 AT17:AT22">
    <cfRule type="cellIs" dxfId="13" priority="2" operator="greaterThan">
      <formula>0.2599</formula>
    </cfRule>
  </conditionalFormatting>
  <hyperlinks>
    <hyperlink ref="M19" r:id="rId1" xr:uid="{00000000-0004-0000-0500-000000000000}"/>
    <hyperlink ref="M20" r:id="rId2" xr:uid="{00000000-0004-0000-0500-000001000000}"/>
    <hyperlink ref="M21" r:id="rId3" xr:uid="{00000000-0004-0000-0500-000002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A73"/>
  <sheetViews>
    <sheetView tabSelected="1" zoomScale="40" zoomScaleNormal="40" workbookViewId="0">
      <pane xSplit="6" topLeftCell="BD49" activePane="topRight" state="frozen"/>
      <selection pane="topRight" activeCell="BT51" sqref="BT51"/>
      <selection activeCell="A17" sqref="A17"/>
    </sheetView>
  </sheetViews>
  <sheetFormatPr defaultColWidth="11.5703125" defaultRowHeight="27.6"/>
  <cols>
    <col min="1" max="1" width="42.7109375" bestFit="1" customWidth="1"/>
    <col min="2" max="2" width="35.28515625" bestFit="1" customWidth="1"/>
    <col min="3" max="3" width="21.140625" bestFit="1" customWidth="1"/>
    <col min="4" max="4" width="39.42578125" bestFit="1" customWidth="1"/>
    <col min="5" max="5" width="41.5703125" bestFit="1" customWidth="1"/>
    <col min="6" max="6" width="43.42578125" bestFit="1" customWidth="1"/>
    <col min="7" max="7" width="23.7109375" bestFit="1" customWidth="1"/>
    <col min="8" max="8" width="29.42578125" bestFit="1" customWidth="1"/>
    <col min="9" max="9" width="22.140625" bestFit="1" customWidth="1"/>
    <col min="10" max="10" width="37.85546875" bestFit="1" customWidth="1"/>
    <col min="11" max="11" width="14.28515625" bestFit="1" customWidth="1"/>
    <col min="12" max="12" width="58.85546875" bestFit="1" customWidth="1"/>
    <col min="13" max="13" width="22.140625" bestFit="1" customWidth="1"/>
    <col min="14" max="14" width="43.42578125" bestFit="1" customWidth="1"/>
    <col min="15" max="15" width="38.5703125" bestFit="1" customWidth="1"/>
    <col min="16" max="16" width="50" customWidth="1"/>
    <col min="17" max="17" width="41.5703125" bestFit="1" customWidth="1"/>
    <col min="18" max="18" width="40.7109375" bestFit="1" customWidth="1"/>
    <col min="19" max="19" width="56.7109375" bestFit="1" customWidth="1"/>
    <col min="20" max="20" width="41.42578125" bestFit="1" customWidth="1"/>
    <col min="21" max="21" width="22.140625" bestFit="1" customWidth="1"/>
    <col min="22" max="22" width="39.7109375" bestFit="1" customWidth="1"/>
    <col min="23" max="23" width="39" bestFit="1" customWidth="1"/>
    <col min="24" max="24" width="26.28515625" bestFit="1" customWidth="1"/>
    <col min="25" max="25" width="41.5703125" bestFit="1" customWidth="1"/>
    <col min="26" max="26" width="26.28515625" bestFit="1" customWidth="1"/>
    <col min="27" max="27" width="40.7109375" bestFit="1" customWidth="1"/>
    <col min="28" max="28" width="41.85546875" bestFit="1" customWidth="1"/>
    <col min="29" max="29" width="31.5703125" bestFit="1" customWidth="1"/>
    <col min="30" max="30" width="59.85546875" bestFit="1" customWidth="1"/>
    <col min="31" max="31" width="40.85546875" bestFit="1" customWidth="1"/>
    <col min="32" max="32" width="39.85546875" bestFit="1" customWidth="1"/>
    <col min="33" max="33" width="37.85546875" bestFit="1" customWidth="1"/>
    <col min="34" max="34" width="36.85546875" bestFit="1" customWidth="1"/>
    <col min="35" max="35" width="37.85546875" bestFit="1" customWidth="1"/>
    <col min="36" max="36" width="30" bestFit="1" customWidth="1"/>
    <col min="37" max="37" width="31.140625" bestFit="1" customWidth="1"/>
    <col min="38" max="38" width="39.85546875" bestFit="1" customWidth="1"/>
    <col min="39" max="39" width="15.85546875" bestFit="1" customWidth="1"/>
    <col min="40" max="40" width="18.5703125" bestFit="1" customWidth="1"/>
    <col min="41" max="41" width="46.42578125" customWidth="1"/>
    <col min="42" max="42" width="35.28515625" customWidth="1"/>
    <col min="43" max="43" width="43.5703125" customWidth="1"/>
    <col min="44" max="44" width="40.42578125" bestFit="1" customWidth="1"/>
    <col min="45" max="45" width="37.85546875" bestFit="1" customWidth="1"/>
    <col min="46" max="46" width="36.85546875" bestFit="1" customWidth="1"/>
    <col min="47" max="47" width="37.85546875" bestFit="1" customWidth="1"/>
    <col min="48" max="48" width="31.140625" bestFit="1" customWidth="1"/>
    <col min="49" max="52" width="7.85546875" customWidth="1"/>
    <col min="53" max="53" width="17.42578125" bestFit="1" customWidth="1"/>
    <col min="54" max="54" width="39" bestFit="1" customWidth="1"/>
    <col min="55" max="55" width="34.140625" bestFit="1" customWidth="1"/>
    <col min="56" max="56" width="42.5703125" bestFit="1" customWidth="1"/>
    <col min="57" max="57" width="36.85546875" bestFit="1" customWidth="1"/>
    <col min="58" max="58" width="21.140625" bestFit="1" customWidth="1"/>
    <col min="59" max="60" width="23.28515625" customWidth="1"/>
    <col min="61" max="61" width="38.42578125" bestFit="1" customWidth="1"/>
    <col min="62" max="62" width="12.140625" bestFit="1" customWidth="1"/>
    <col min="63" max="63" width="16.85546875" bestFit="1" customWidth="1"/>
    <col min="64" max="64" width="28.42578125" bestFit="1" customWidth="1"/>
    <col min="65" max="69" width="6.42578125" style="168" customWidth="1"/>
    <col min="70" max="72" width="36.85546875" customWidth="1"/>
    <col min="88" max="93" width="35.42578125" style="279" customWidth="1"/>
    <col min="94" max="105" width="35.42578125" style="266" customWidth="1"/>
  </cols>
  <sheetData>
    <row r="1" spans="1:105" s="168" customFormat="1" ht="32.450000000000003">
      <c r="A1" s="8"/>
      <c r="B1" s="9" t="s">
        <v>13</v>
      </c>
      <c r="C1" s="169" t="s">
        <v>248</v>
      </c>
      <c r="D1" s="178"/>
      <c r="E1" s="177"/>
      <c r="F1" s="177"/>
      <c r="G1" s="179"/>
      <c r="H1" s="177"/>
      <c r="I1" s="177"/>
      <c r="J1" s="177"/>
      <c r="K1" s="177"/>
      <c r="L1" s="177"/>
      <c r="M1" s="179"/>
      <c r="N1" s="179"/>
      <c r="O1" s="179"/>
      <c r="P1" s="179"/>
      <c r="Q1" s="179"/>
      <c r="R1" s="181"/>
      <c r="S1" s="179"/>
      <c r="T1" s="179"/>
      <c r="U1" s="179"/>
      <c r="V1" s="179"/>
      <c r="W1" s="179"/>
      <c r="X1" s="179"/>
      <c r="Y1" s="179"/>
      <c r="Z1" s="179"/>
      <c r="AA1" s="181"/>
      <c r="AB1" s="179"/>
      <c r="AC1" s="179"/>
      <c r="AD1" s="179"/>
      <c r="AE1" s="167"/>
      <c r="AF1" s="179"/>
      <c r="AG1" s="179"/>
      <c r="AH1" s="179"/>
      <c r="AI1" s="179"/>
      <c r="AJ1" s="179"/>
      <c r="AK1" s="177"/>
      <c r="AL1" s="179"/>
      <c r="AM1" s="177"/>
      <c r="AN1" s="177"/>
      <c r="AO1" s="179"/>
      <c r="AP1" s="179"/>
      <c r="AR1" s="181"/>
      <c r="AS1" s="181"/>
      <c r="AT1" s="181"/>
      <c r="AU1" s="181"/>
      <c r="AV1" s="181"/>
      <c r="BA1" s="165"/>
      <c r="BB1" s="165"/>
      <c r="BC1" s="165"/>
      <c r="BD1" s="165"/>
      <c r="BE1" s="165"/>
      <c r="BF1" s="165"/>
      <c r="BG1" s="165"/>
      <c r="BH1" s="165"/>
      <c r="BI1" s="165"/>
      <c r="BJ1" s="165"/>
      <c r="BK1" s="165"/>
      <c r="BL1" s="165"/>
      <c r="BM1" s="165"/>
      <c r="BN1" s="165"/>
      <c r="BO1" s="165"/>
      <c r="BP1" s="165"/>
      <c r="BQ1" s="165"/>
      <c r="CJ1" s="165"/>
      <c r="CK1" s="165"/>
      <c r="CL1" s="165"/>
      <c r="CM1" s="165"/>
      <c r="CN1" s="165"/>
      <c r="CO1" s="165"/>
      <c r="CP1" s="165"/>
      <c r="CQ1" s="165"/>
      <c r="CR1" s="165"/>
      <c r="CS1" s="165"/>
      <c r="CT1" s="165"/>
      <c r="CU1" s="165"/>
      <c r="CV1" s="165"/>
      <c r="CW1" s="165"/>
      <c r="CX1" s="165"/>
      <c r="CY1" s="165"/>
      <c r="CZ1" s="165"/>
      <c r="DA1" s="165"/>
    </row>
    <row r="2" spans="1:105" s="168" customFormat="1" ht="32.450000000000003">
      <c r="A2" s="398" t="s">
        <v>679</v>
      </c>
      <c r="B2" s="398"/>
      <c r="C2" s="14"/>
      <c r="D2" s="178"/>
      <c r="E2" s="177"/>
      <c r="F2" s="177"/>
      <c r="G2" s="179"/>
      <c r="H2" s="177"/>
      <c r="I2" s="177"/>
      <c r="J2" s="177"/>
      <c r="K2" s="177"/>
      <c r="L2" s="177"/>
      <c r="M2" s="179"/>
      <c r="N2" s="179"/>
      <c r="O2" s="179"/>
      <c r="P2" s="179"/>
      <c r="Q2" s="179"/>
      <c r="R2" s="181"/>
      <c r="S2" s="179"/>
      <c r="T2" s="179"/>
      <c r="U2" s="179"/>
      <c r="V2" s="179"/>
      <c r="W2" s="179"/>
      <c r="X2" s="179"/>
      <c r="Y2" s="179"/>
      <c r="Z2" s="179"/>
      <c r="AA2" s="181"/>
      <c r="AB2" s="179"/>
      <c r="AC2" s="179"/>
      <c r="AD2" s="179"/>
      <c r="AE2" s="167"/>
      <c r="AF2" s="179"/>
      <c r="AG2" s="179"/>
      <c r="AH2" s="179"/>
      <c r="AI2" s="179"/>
      <c r="AJ2" s="179"/>
      <c r="AK2" s="177"/>
      <c r="AL2" s="179"/>
      <c r="AM2" s="177"/>
      <c r="AN2" s="177"/>
      <c r="AO2" s="179"/>
      <c r="AP2" s="179"/>
      <c r="AR2" s="181"/>
      <c r="AS2" s="181"/>
      <c r="AT2" s="181"/>
      <c r="AU2" s="181"/>
      <c r="AV2" s="181"/>
      <c r="BA2" s="165"/>
      <c r="BB2" s="165"/>
      <c r="BC2" s="165"/>
      <c r="BD2" s="165"/>
      <c r="BE2" s="165"/>
      <c r="BF2" s="165"/>
      <c r="BG2" s="165"/>
      <c r="BH2" s="165"/>
      <c r="BI2" s="165"/>
      <c r="BJ2" s="165"/>
      <c r="BK2" s="165"/>
      <c r="BL2" s="165"/>
      <c r="BM2" s="165"/>
      <c r="BN2" s="165"/>
      <c r="BO2" s="165"/>
      <c r="BP2" s="165"/>
      <c r="BQ2" s="165"/>
      <c r="CJ2" s="165"/>
      <c r="CK2" s="165"/>
      <c r="CL2" s="165"/>
      <c r="CM2" s="165"/>
      <c r="CN2" s="165"/>
      <c r="CO2" s="165"/>
      <c r="CP2" s="165"/>
      <c r="CQ2" s="165"/>
      <c r="CR2" s="165"/>
      <c r="CS2" s="165"/>
      <c r="CT2" s="165"/>
      <c r="CU2" s="165"/>
      <c r="CV2" s="165"/>
      <c r="CW2" s="165"/>
      <c r="CX2" s="165"/>
      <c r="CY2" s="165"/>
      <c r="CZ2" s="165"/>
      <c r="DA2" s="165"/>
    </row>
    <row r="3" spans="1:105" s="168" customFormat="1" ht="32.450000000000003">
      <c r="A3" s="7" t="s">
        <v>254</v>
      </c>
      <c r="B3" s="70">
        <v>46101</v>
      </c>
      <c r="C3" s="170">
        <v>46112</v>
      </c>
      <c r="D3" s="178"/>
      <c r="E3" s="177"/>
      <c r="F3" s="177"/>
      <c r="G3" s="179"/>
      <c r="H3" s="177"/>
      <c r="I3" s="177"/>
      <c r="J3" s="177"/>
      <c r="K3" s="177"/>
      <c r="L3" s="177"/>
      <c r="M3" s="179"/>
      <c r="N3" s="179"/>
      <c r="O3" s="179"/>
      <c r="P3" s="179"/>
      <c r="Q3" s="179"/>
      <c r="R3" s="181"/>
      <c r="S3" s="179"/>
      <c r="T3" s="179"/>
      <c r="U3" s="179"/>
      <c r="V3" s="179"/>
      <c r="W3" s="179"/>
      <c r="X3" s="179"/>
      <c r="Y3" s="179"/>
      <c r="Z3" s="179"/>
      <c r="AA3" s="181"/>
      <c r="AB3" s="179"/>
      <c r="AC3" s="179"/>
      <c r="AD3" s="179"/>
      <c r="AE3" s="167"/>
      <c r="AF3" s="179"/>
      <c r="AG3" s="179"/>
      <c r="AH3" s="179"/>
      <c r="AI3" s="179"/>
      <c r="AJ3" s="179"/>
      <c r="AK3" s="177"/>
      <c r="AL3" s="179"/>
      <c r="AM3" s="177"/>
      <c r="AN3" s="177"/>
      <c r="AO3" s="179"/>
      <c r="AP3" s="179"/>
      <c r="AR3" s="181"/>
      <c r="AS3" s="181"/>
      <c r="AT3" s="181"/>
      <c r="AU3" s="181"/>
      <c r="AV3" s="181"/>
      <c r="BA3" s="165"/>
      <c r="BB3" s="165"/>
      <c r="BC3" s="165"/>
      <c r="BD3" s="165"/>
      <c r="BE3" s="165"/>
      <c r="BF3" s="165"/>
      <c r="BG3" s="165"/>
      <c r="BH3" s="165"/>
      <c r="BI3" s="165"/>
      <c r="BJ3" s="165"/>
      <c r="BK3" s="165"/>
      <c r="BL3" s="165"/>
      <c r="BM3" s="165"/>
      <c r="BN3" s="165"/>
      <c r="BO3" s="165"/>
      <c r="BP3" s="165"/>
      <c r="BQ3" s="165"/>
      <c r="CJ3" s="165"/>
      <c r="CK3" s="165"/>
      <c r="CL3" s="165"/>
      <c r="CM3" s="165"/>
      <c r="CN3" s="165"/>
      <c r="CO3" s="165"/>
      <c r="CP3" s="165"/>
      <c r="CQ3" s="165"/>
      <c r="CR3" s="165"/>
      <c r="CS3" s="165"/>
      <c r="CT3" s="165"/>
      <c r="CU3" s="165"/>
      <c r="CV3" s="165"/>
      <c r="CW3" s="165"/>
      <c r="CX3" s="165"/>
      <c r="CY3" s="165"/>
      <c r="CZ3" s="165"/>
      <c r="DA3" s="165"/>
    </row>
    <row r="4" spans="1:105" s="168" customFormat="1" ht="32.450000000000003">
      <c r="A4" s="52"/>
      <c r="B4" s="53"/>
      <c r="C4" s="190">
        <v>46118</v>
      </c>
      <c r="D4" s="178"/>
      <c r="E4" s="177"/>
      <c r="F4" s="177"/>
      <c r="G4" s="179"/>
      <c r="H4" s="177"/>
      <c r="I4" s="177"/>
      <c r="J4" s="177"/>
      <c r="K4" s="177"/>
      <c r="L4" s="177"/>
      <c r="M4" s="179"/>
      <c r="N4" s="179"/>
      <c r="O4" s="179"/>
      <c r="P4" s="179"/>
      <c r="Q4" s="179"/>
      <c r="R4" s="181"/>
      <c r="S4" s="179"/>
      <c r="T4" s="179"/>
      <c r="U4" s="179"/>
      <c r="V4" s="179"/>
      <c r="W4" s="179"/>
      <c r="X4" s="179"/>
      <c r="Y4" s="179"/>
      <c r="Z4" s="179"/>
      <c r="AA4" s="181"/>
      <c r="AB4" s="179"/>
      <c r="AC4" s="179"/>
      <c r="AD4" s="179"/>
      <c r="AE4" s="167"/>
      <c r="AF4" s="179"/>
      <c r="AG4" s="179"/>
      <c r="AH4" s="179"/>
      <c r="AI4" s="179"/>
      <c r="AJ4" s="179"/>
      <c r="AK4" s="177"/>
      <c r="AL4" s="179"/>
      <c r="AM4" s="177"/>
      <c r="AN4" s="177"/>
      <c r="AO4" s="179"/>
      <c r="AP4" s="179"/>
      <c r="AR4" s="181"/>
      <c r="AS4" s="181"/>
      <c r="AT4" s="181"/>
      <c r="AU4" s="181"/>
      <c r="AV4" s="181"/>
      <c r="BA4" s="165"/>
      <c r="BB4" s="165"/>
      <c r="BC4" s="165"/>
      <c r="BD4" s="165"/>
      <c r="BE4" s="165"/>
      <c r="BF4" s="165"/>
      <c r="BG4" s="165"/>
      <c r="BH4" s="165"/>
      <c r="BI4" s="165"/>
      <c r="BJ4" s="165"/>
      <c r="BK4" s="165"/>
      <c r="BL4" s="165"/>
      <c r="BM4" s="165"/>
      <c r="BN4" s="165"/>
      <c r="BO4" s="165"/>
      <c r="BP4" s="165"/>
      <c r="BQ4" s="165"/>
      <c r="CJ4" s="165"/>
      <c r="CK4" s="165"/>
      <c r="CL4" s="165"/>
      <c r="CM4" s="165"/>
      <c r="CN4" s="165"/>
      <c r="CO4" s="165"/>
      <c r="CP4" s="165"/>
      <c r="CQ4" s="165"/>
      <c r="CR4" s="165"/>
      <c r="CS4" s="165"/>
      <c r="CT4" s="165"/>
      <c r="CU4" s="165"/>
      <c r="CV4" s="165"/>
      <c r="CW4" s="165"/>
      <c r="CX4" s="165"/>
      <c r="CY4" s="165"/>
      <c r="CZ4" s="165"/>
      <c r="DA4" s="165"/>
    </row>
    <row r="5" spans="1:105" s="168" customFormat="1" ht="32.450000000000003">
      <c r="A5" s="71" t="s">
        <v>719</v>
      </c>
      <c r="B5" s="72">
        <f>B3</f>
        <v>46101</v>
      </c>
      <c r="C5" s="73">
        <v>46135</v>
      </c>
      <c r="D5" s="178"/>
      <c r="E5" s="177"/>
      <c r="F5" s="177"/>
      <c r="G5" s="179"/>
      <c r="H5" s="177"/>
      <c r="I5" s="177"/>
      <c r="J5" s="177"/>
      <c r="K5" s="177"/>
      <c r="L5" s="177"/>
      <c r="M5" s="179"/>
      <c r="N5" s="179"/>
      <c r="O5" s="179"/>
      <c r="P5" s="179"/>
      <c r="Q5" s="179"/>
      <c r="R5" s="181"/>
      <c r="S5" s="179"/>
      <c r="T5" s="179"/>
      <c r="U5" s="179"/>
      <c r="V5" s="179"/>
      <c r="W5" s="179"/>
      <c r="X5" s="179"/>
      <c r="Y5" s="179"/>
      <c r="Z5" s="179"/>
      <c r="AA5" s="181"/>
      <c r="AB5" s="179"/>
      <c r="AC5" s="179"/>
      <c r="AD5" s="179"/>
      <c r="AE5" s="167"/>
      <c r="AF5" s="179"/>
      <c r="AG5" s="179"/>
      <c r="AH5" s="179"/>
      <c r="AI5" s="179"/>
      <c r="AJ5" s="179"/>
      <c r="AK5" s="177"/>
      <c r="AL5" s="179"/>
      <c r="AM5" s="177"/>
      <c r="AN5" s="177"/>
      <c r="AO5" s="179"/>
      <c r="AP5" s="179"/>
      <c r="AR5" s="181"/>
      <c r="AS5" s="181"/>
      <c r="AT5" s="181"/>
      <c r="AU5" s="181"/>
      <c r="AV5" s="181"/>
      <c r="BA5" s="165"/>
      <c r="BB5" s="165"/>
      <c r="BC5" s="165"/>
      <c r="BD5" s="165"/>
      <c r="BE5" s="165"/>
      <c r="BF5" s="165"/>
      <c r="BG5" s="165"/>
      <c r="BH5" s="165"/>
      <c r="BI5" s="165"/>
      <c r="BJ5" s="165"/>
      <c r="BK5" s="165"/>
      <c r="BL5" s="165"/>
      <c r="BM5" s="165"/>
      <c r="BN5" s="165"/>
      <c r="BO5" s="165"/>
      <c r="BP5" s="165"/>
      <c r="BQ5" s="165"/>
      <c r="CJ5" s="165"/>
      <c r="CK5" s="165"/>
      <c r="CL5" s="165"/>
      <c r="CM5" s="165"/>
      <c r="CN5" s="165"/>
      <c r="CO5" s="165"/>
      <c r="CP5" s="165"/>
      <c r="CQ5" s="165"/>
      <c r="CR5" s="165"/>
      <c r="CS5" s="165"/>
      <c r="CT5" s="165"/>
      <c r="CU5" s="165"/>
      <c r="CV5" s="165"/>
      <c r="CW5" s="165"/>
      <c r="CX5" s="165"/>
      <c r="CY5" s="165"/>
      <c r="CZ5" s="165"/>
      <c r="DA5" s="165"/>
    </row>
    <row r="6" spans="1:105" s="168" customFormat="1" ht="32.450000000000003">
      <c r="A6" s="7" t="s">
        <v>256</v>
      </c>
      <c r="B6" s="15">
        <f>+B3+40</f>
        <v>46141</v>
      </c>
      <c r="C6" s="192">
        <f>C5+50</f>
        <v>46185</v>
      </c>
      <c r="D6" s="178"/>
      <c r="E6" s="177"/>
      <c r="F6" s="177"/>
      <c r="G6" s="179"/>
      <c r="H6" s="177"/>
      <c r="I6" s="177"/>
      <c r="J6" s="177"/>
      <c r="K6" s="177"/>
      <c r="L6" s="177"/>
      <c r="M6" s="179"/>
      <c r="N6" s="179"/>
      <c r="O6" s="179"/>
      <c r="P6" s="179"/>
      <c r="Q6" s="179"/>
      <c r="R6" s="181"/>
      <c r="S6" s="179"/>
      <c r="T6" s="179"/>
      <c r="U6" s="179"/>
      <c r="V6" s="179"/>
      <c r="W6" s="179"/>
      <c r="X6" s="179"/>
      <c r="Y6" s="179"/>
      <c r="Z6" s="179"/>
      <c r="AA6" s="181"/>
      <c r="AB6" s="179"/>
      <c r="AC6" s="179"/>
      <c r="AD6" s="179"/>
      <c r="AE6" s="167"/>
      <c r="AF6" s="179"/>
      <c r="AG6" s="179"/>
      <c r="AH6" s="179"/>
      <c r="AI6" s="179"/>
      <c r="AJ6" s="179"/>
      <c r="AK6" s="177"/>
      <c r="AL6" s="179"/>
      <c r="AM6" s="177"/>
      <c r="AN6" s="177"/>
      <c r="AO6" s="179"/>
      <c r="AP6" s="179"/>
      <c r="AR6" s="181"/>
      <c r="AS6" s="181"/>
      <c r="AT6" s="181"/>
      <c r="AU6" s="181"/>
      <c r="AV6" s="181"/>
      <c r="BA6" s="165"/>
      <c r="BB6" s="165"/>
      <c r="BC6" s="165"/>
      <c r="BD6" s="165"/>
      <c r="BE6" s="165"/>
      <c r="BF6" s="165"/>
      <c r="BG6" s="165"/>
      <c r="BH6" s="165"/>
      <c r="BI6" s="165"/>
      <c r="BJ6" s="165"/>
      <c r="BK6" s="165"/>
      <c r="BL6" s="165"/>
      <c r="BM6" s="165"/>
      <c r="BN6" s="165"/>
      <c r="BO6" s="165"/>
      <c r="BP6" s="165"/>
      <c r="BQ6" s="165"/>
      <c r="CJ6" s="165"/>
      <c r="CK6" s="165"/>
      <c r="CL6" s="165"/>
      <c r="CM6" s="165"/>
      <c r="CN6" s="165"/>
      <c r="CO6" s="165"/>
      <c r="CP6" s="165"/>
      <c r="CQ6" s="165"/>
      <c r="CR6" s="165"/>
      <c r="CS6" s="165"/>
      <c r="CT6" s="165"/>
      <c r="CU6" s="165"/>
      <c r="CV6" s="165"/>
      <c r="CW6" s="165"/>
      <c r="CX6" s="165"/>
      <c r="CY6" s="165"/>
      <c r="CZ6" s="165"/>
      <c r="DA6" s="165"/>
    </row>
    <row r="7" spans="1:105" s="168" customFormat="1" ht="32.450000000000003">
      <c r="A7" s="7" t="s">
        <v>255</v>
      </c>
      <c r="B7" s="15">
        <f>+B6+45</f>
        <v>46186</v>
      </c>
      <c r="C7" s="170">
        <f>+C6+45</f>
        <v>46230</v>
      </c>
      <c r="D7" s="178"/>
      <c r="E7" s="177"/>
      <c r="F7" s="177"/>
      <c r="G7" s="179"/>
      <c r="H7" s="177"/>
      <c r="I7" s="177"/>
      <c r="J7" s="177"/>
      <c r="K7" s="177"/>
      <c r="L7" s="177"/>
      <c r="M7" s="179"/>
      <c r="N7" s="179"/>
      <c r="O7" s="179"/>
      <c r="P7" s="179"/>
      <c r="Q7" s="179"/>
      <c r="R7" s="181"/>
      <c r="S7" s="179"/>
      <c r="T7" s="179"/>
      <c r="U7" s="179"/>
      <c r="V7" s="179"/>
      <c r="W7" s="179"/>
      <c r="X7" s="179"/>
      <c r="Y7" s="179"/>
      <c r="Z7" s="179"/>
      <c r="AA7" s="181"/>
      <c r="AB7" s="179"/>
      <c r="AC7" s="179"/>
      <c r="AD7" s="179"/>
      <c r="AE7" s="167"/>
      <c r="AF7" s="179"/>
      <c r="AG7" s="179"/>
      <c r="AH7" s="179"/>
      <c r="AI7" s="179"/>
      <c r="AJ7" s="179"/>
      <c r="AK7" s="177"/>
      <c r="AL7" s="179"/>
      <c r="AM7" s="177"/>
      <c r="AN7" s="177"/>
      <c r="AO7" s="179"/>
      <c r="AP7" s="179"/>
      <c r="AR7" s="181"/>
      <c r="AS7" s="181"/>
      <c r="AT7" s="181"/>
      <c r="AU7" s="181"/>
      <c r="AV7" s="181"/>
      <c r="BA7" s="165"/>
      <c r="BB7" s="165"/>
      <c r="BC7" s="165"/>
      <c r="BD7" s="165"/>
      <c r="BE7" s="165"/>
      <c r="BF7" s="165"/>
      <c r="BG7" s="165"/>
      <c r="BH7" s="165"/>
      <c r="BI7" s="165"/>
      <c r="BJ7" s="165"/>
      <c r="BK7" s="165"/>
      <c r="BL7" s="165"/>
      <c r="BM7" s="165"/>
      <c r="BN7" s="165"/>
      <c r="BO7" s="165"/>
      <c r="BP7" s="165"/>
      <c r="BQ7" s="165"/>
      <c r="CJ7" s="165"/>
      <c r="CK7" s="165"/>
      <c r="CL7" s="165"/>
      <c r="CM7" s="165"/>
      <c r="CN7" s="165"/>
      <c r="CO7" s="165"/>
      <c r="CP7" s="165"/>
      <c r="CQ7" s="165"/>
      <c r="CR7" s="165"/>
      <c r="CS7" s="165"/>
      <c r="CT7" s="165"/>
      <c r="CU7" s="165"/>
      <c r="CV7" s="165"/>
      <c r="CW7" s="165"/>
      <c r="CX7" s="165"/>
      <c r="CY7" s="165"/>
      <c r="CZ7" s="165"/>
      <c r="DA7" s="165"/>
    </row>
    <row r="8" spans="1:105" s="168" customFormat="1" ht="32.450000000000003">
      <c r="A8" s="7" t="s">
        <v>257</v>
      </c>
      <c r="B8" s="15">
        <f>+B6+65</f>
        <v>46206</v>
      </c>
      <c r="C8" s="170">
        <f>+C6+65</f>
        <v>46250</v>
      </c>
      <c r="D8" s="178"/>
      <c r="E8" s="177"/>
      <c r="F8" s="177"/>
      <c r="G8" s="179"/>
      <c r="H8" s="177"/>
      <c r="I8" s="177"/>
      <c r="J8" s="177"/>
      <c r="K8" s="177"/>
      <c r="L8" s="177"/>
      <c r="M8" s="179"/>
      <c r="N8" s="179"/>
      <c r="O8" s="179"/>
      <c r="P8" s="179"/>
      <c r="Q8" s="179"/>
      <c r="R8" s="181"/>
      <c r="S8" s="179"/>
      <c r="T8" s="179"/>
      <c r="U8" s="179"/>
      <c r="V8" s="179"/>
      <c r="W8" s="179"/>
      <c r="X8" s="179"/>
      <c r="Y8" s="179"/>
      <c r="Z8" s="179"/>
      <c r="AA8" s="181"/>
      <c r="AB8" s="179"/>
      <c r="AC8" s="179"/>
      <c r="AD8" s="179"/>
      <c r="AE8" s="167"/>
      <c r="AF8" s="179"/>
      <c r="AG8" s="179"/>
      <c r="AH8" s="179"/>
      <c r="AI8" s="179"/>
      <c r="AJ8" s="179"/>
      <c r="AK8" s="177"/>
      <c r="AL8" s="179"/>
      <c r="AM8" s="177"/>
      <c r="AN8" s="177"/>
      <c r="AO8" s="179"/>
      <c r="AP8" s="179"/>
      <c r="AR8" s="181"/>
      <c r="AS8" s="181"/>
      <c r="AT8" s="181"/>
      <c r="AU8" s="181"/>
      <c r="AV8" s="181"/>
      <c r="BA8" s="165"/>
      <c r="BB8" s="165"/>
      <c r="BC8" s="165"/>
      <c r="BD8" s="165"/>
      <c r="BE8" s="165"/>
      <c r="BF8" s="165"/>
      <c r="BG8" s="165"/>
      <c r="BH8" s="165"/>
      <c r="BI8" s="165"/>
      <c r="BJ8" s="165"/>
      <c r="BK8" s="165"/>
      <c r="BL8" s="165"/>
      <c r="BM8" s="165"/>
      <c r="BN8" s="165"/>
      <c r="BO8" s="165"/>
      <c r="BP8" s="165"/>
      <c r="BQ8" s="165"/>
      <c r="CJ8" s="165"/>
      <c r="CK8" s="165"/>
      <c r="CL8" s="165"/>
      <c r="CM8" s="165"/>
      <c r="CN8" s="165"/>
      <c r="CO8" s="165"/>
      <c r="CP8" s="165"/>
      <c r="CQ8" s="165"/>
      <c r="CR8" s="165"/>
      <c r="CS8" s="165"/>
      <c r="CT8" s="165"/>
      <c r="CU8" s="165"/>
      <c r="CV8" s="165"/>
      <c r="CW8" s="165"/>
      <c r="CX8" s="165"/>
      <c r="CY8" s="165"/>
      <c r="CZ8" s="165"/>
      <c r="DA8" s="165"/>
    </row>
    <row r="9" spans="1:105" s="168" customFormat="1" ht="32.450000000000003">
      <c r="A9" s="184" t="s">
        <v>258</v>
      </c>
      <c r="B9" s="185">
        <f>+B8+7</f>
        <v>46213</v>
      </c>
      <c r="C9" s="193">
        <f>+C8+7</f>
        <v>46257</v>
      </c>
      <c r="D9" s="178"/>
      <c r="E9" s="177"/>
      <c r="F9" s="177"/>
      <c r="G9" s="179"/>
      <c r="H9" s="177"/>
      <c r="I9" s="177"/>
      <c r="J9" s="177"/>
      <c r="K9" s="177"/>
      <c r="L9" s="177"/>
      <c r="M9" s="179"/>
      <c r="N9" s="179"/>
      <c r="O9" s="179"/>
      <c r="P9" s="179"/>
      <c r="Q9" s="179"/>
      <c r="R9" s="181"/>
      <c r="S9" s="179"/>
      <c r="T9" s="179"/>
      <c r="U9" s="179"/>
      <c r="V9" s="179"/>
      <c r="W9" s="179"/>
      <c r="X9" s="179"/>
      <c r="Y9" s="179"/>
      <c r="Z9" s="179"/>
      <c r="AA9" s="181"/>
      <c r="AB9" s="179"/>
      <c r="AC9" s="179"/>
      <c r="AD9" s="179"/>
      <c r="AE9" s="167"/>
      <c r="AF9" s="179"/>
      <c r="AG9" s="179"/>
      <c r="AH9" s="179"/>
      <c r="AI9" s="179"/>
      <c r="AJ9" s="179"/>
      <c r="AK9" s="177"/>
      <c r="AL9" s="179"/>
      <c r="AM9" s="177"/>
      <c r="AN9" s="177"/>
      <c r="AO9" s="179"/>
      <c r="AP9" s="179"/>
      <c r="AR9" s="181"/>
      <c r="AS9" s="181"/>
      <c r="AT9" s="181"/>
      <c r="AU9" s="181"/>
      <c r="AV9" s="181"/>
      <c r="BA9" s="165"/>
      <c r="BB9" s="165"/>
      <c r="BC9" s="165"/>
      <c r="BD9" s="165"/>
      <c r="BE9" s="165"/>
      <c r="BF9" s="165"/>
      <c r="BG9" s="165"/>
      <c r="BH9" s="165"/>
      <c r="BI9" s="165"/>
      <c r="BJ9" s="165"/>
      <c r="BK9" s="165"/>
      <c r="BL9" s="165"/>
      <c r="BM9" s="165"/>
      <c r="BN9" s="165"/>
      <c r="BO9" s="165"/>
      <c r="BP9" s="165"/>
      <c r="BQ9" s="165"/>
      <c r="CJ9" s="165"/>
      <c r="CK9" s="165"/>
      <c r="CL9" s="165"/>
      <c r="CM9" s="165"/>
      <c r="CN9" s="165"/>
      <c r="CO9" s="165"/>
      <c r="CP9" s="165"/>
      <c r="CQ9" s="165"/>
      <c r="CR9" s="165"/>
      <c r="CS9" s="165"/>
      <c r="CT9" s="165"/>
      <c r="CU9" s="165"/>
      <c r="CV9" s="165"/>
      <c r="CW9" s="165"/>
      <c r="CX9" s="165"/>
      <c r="CY9" s="165"/>
      <c r="CZ9" s="165"/>
      <c r="DA9" s="165"/>
    </row>
    <row r="10" spans="1:105" s="168" customFormat="1" ht="32.450000000000003">
      <c r="A10" s="181"/>
      <c r="B10" s="181"/>
      <c r="C10" s="177"/>
      <c r="D10" s="178"/>
      <c r="E10" s="177"/>
      <c r="F10" s="177"/>
      <c r="G10" s="179"/>
      <c r="H10" s="177"/>
      <c r="I10" s="177"/>
      <c r="J10" s="177"/>
      <c r="K10" s="177"/>
      <c r="L10" s="177"/>
      <c r="M10" s="179"/>
      <c r="N10" s="179"/>
      <c r="O10" s="179"/>
      <c r="P10" s="179"/>
      <c r="Q10" s="179"/>
      <c r="R10" s="181"/>
      <c r="S10" s="179"/>
      <c r="T10" s="179"/>
      <c r="U10" s="179"/>
      <c r="V10" s="179"/>
      <c r="W10" s="179"/>
      <c r="X10" s="179"/>
      <c r="Y10" s="179"/>
      <c r="Z10" s="179"/>
      <c r="AA10" s="181"/>
      <c r="AB10" s="179"/>
      <c r="AC10" s="179"/>
      <c r="AD10" s="179"/>
      <c r="AE10" s="167"/>
      <c r="AF10" s="179"/>
      <c r="AG10" s="179"/>
      <c r="AH10" s="179"/>
      <c r="AI10" s="179"/>
      <c r="AJ10" s="179"/>
      <c r="AK10" s="177"/>
      <c r="AL10" s="179"/>
      <c r="AM10" s="177"/>
      <c r="AN10" s="177"/>
      <c r="AO10" s="179"/>
      <c r="AP10" s="179"/>
      <c r="AR10" s="181"/>
      <c r="AS10" s="181"/>
      <c r="AT10" s="181"/>
      <c r="AU10" s="181"/>
      <c r="AV10" s="181"/>
      <c r="BA10" s="165"/>
      <c r="BB10" s="165"/>
      <c r="BC10" s="165"/>
      <c r="BD10" s="165"/>
      <c r="BE10" s="165"/>
      <c r="BF10" s="165"/>
      <c r="BG10" s="165"/>
      <c r="BH10" s="165"/>
      <c r="BI10" s="165"/>
      <c r="BJ10" s="165"/>
      <c r="BK10" s="165"/>
      <c r="BL10" s="165"/>
      <c r="BM10" s="165"/>
      <c r="BN10" s="165"/>
      <c r="BO10" s="165"/>
      <c r="BP10" s="165"/>
      <c r="BQ10" s="165"/>
      <c r="CJ10" s="165"/>
      <c r="CK10" s="165"/>
      <c r="CL10" s="165"/>
      <c r="CM10" s="165"/>
      <c r="CN10" s="165"/>
      <c r="CO10" s="165"/>
      <c r="CP10" s="165"/>
      <c r="CQ10" s="165"/>
      <c r="CR10" s="165"/>
      <c r="CS10" s="165"/>
      <c r="CT10" s="165"/>
      <c r="CU10" s="165"/>
      <c r="CV10" s="165"/>
      <c r="CW10" s="165"/>
      <c r="CX10" s="165"/>
      <c r="CY10" s="165"/>
      <c r="CZ10" s="165"/>
      <c r="DA10" s="165"/>
    </row>
    <row r="11" spans="1:105" s="168" customFormat="1" ht="32.450000000000003">
      <c r="A11" s="181"/>
      <c r="B11" s="181"/>
      <c r="C11" s="177"/>
      <c r="D11" s="178"/>
      <c r="E11" s="177"/>
      <c r="F11" s="177"/>
      <c r="G11" s="179"/>
      <c r="H11" s="177"/>
      <c r="I11" s="177"/>
      <c r="J11" s="177"/>
      <c r="K11" s="177"/>
      <c r="L11" s="177"/>
      <c r="M11" s="179"/>
      <c r="N11" s="179"/>
      <c r="O11" s="179"/>
      <c r="P11" s="179"/>
      <c r="Q11" s="179"/>
      <c r="R11" s="181"/>
      <c r="S11" s="179"/>
      <c r="T11" s="179"/>
      <c r="U11" s="179"/>
      <c r="V11" s="179"/>
      <c r="W11" s="179"/>
      <c r="X11" s="179"/>
      <c r="Y11" s="179"/>
      <c r="Z11" s="179"/>
      <c r="AA11" s="181"/>
      <c r="AB11" s="179"/>
      <c r="AC11" s="179"/>
      <c r="AD11" s="179"/>
      <c r="AE11" s="167"/>
      <c r="AF11" s="179"/>
      <c r="AG11" s="179"/>
      <c r="AH11" s="179"/>
      <c r="AI11" s="179"/>
      <c r="AJ11" s="179"/>
      <c r="AK11" s="177"/>
      <c r="AL11" s="179"/>
      <c r="AM11" s="177"/>
      <c r="AN11" s="177"/>
      <c r="AO11" s="179"/>
      <c r="AP11" s="179"/>
      <c r="AR11" s="181"/>
      <c r="AS11" s="181"/>
      <c r="AT11" s="181"/>
      <c r="AU11" s="181"/>
      <c r="AV11" s="181"/>
      <c r="BA11" s="165"/>
      <c r="BB11" s="165"/>
      <c r="BC11" s="165"/>
      <c r="BD11" s="165"/>
      <c r="BE11" s="165"/>
      <c r="BF11" s="165"/>
      <c r="BG11" s="165"/>
      <c r="BH11" s="165"/>
      <c r="BI11" s="165"/>
      <c r="BJ11" s="165"/>
      <c r="BK11" s="165"/>
      <c r="BL11" s="165"/>
      <c r="BM11" s="165"/>
      <c r="BN11" s="165"/>
      <c r="BO11" s="165"/>
      <c r="BP11" s="165"/>
      <c r="BQ11" s="165"/>
      <c r="CJ11" s="165"/>
      <c r="CK11" s="165"/>
      <c r="CL11" s="165"/>
      <c r="CM11" s="165"/>
      <c r="CN11" s="165"/>
      <c r="CO11" s="165"/>
      <c r="CP11" s="165"/>
      <c r="CQ11" s="165"/>
      <c r="CR11" s="165"/>
      <c r="CS11" s="165"/>
      <c r="CT11" s="165"/>
      <c r="CU11" s="165"/>
      <c r="CV11" s="165"/>
      <c r="CW11" s="165"/>
      <c r="CX11" s="165"/>
      <c r="CY11" s="165"/>
      <c r="CZ11" s="165"/>
      <c r="DA11" s="165"/>
    </row>
    <row r="12" spans="1:105" s="168" customFormat="1" ht="32.450000000000003">
      <c r="A12" s="181"/>
      <c r="B12" s="181"/>
      <c r="C12" s="177"/>
      <c r="D12" s="178"/>
      <c r="E12" s="177"/>
      <c r="F12" s="177"/>
      <c r="G12" s="179"/>
      <c r="H12" s="177"/>
      <c r="I12" s="177"/>
      <c r="J12" s="177"/>
      <c r="K12" s="177"/>
      <c r="L12" s="177"/>
      <c r="M12" s="179"/>
      <c r="N12" s="179"/>
      <c r="O12" s="179"/>
      <c r="P12" s="179"/>
      <c r="Q12" s="179"/>
      <c r="R12" s="181"/>
      <c r="S12" s="179"/>
      <c r="T12" s="179"/>
      <c r="U12" s="179"/>
      <c r="V12" s="179"/>
      <c r="W12" s="179"/>
      <c r="X12" s="179"/>
      <c r="Y12" s="179"/>
      <c r="Z12" s="179"/>
      <c r="AA12" s="181"/>
      <c r="AB12" s="179"/>
      <c r="AC12" s="179"/>
      <c r="AD12" s="179"/>
      <c r="AE12" s="167"/>
      <c r="AF12" s="179"/>
      <c r="AG12" s="179"/>
      <c r="AH12" s="179"/>
      <c r="AI12" s="179"/>
      <c r="AJ12" s="179"/>
      <c r="AK12" s="177"/>
      <c r="AL12" s="179"/>
      <c r="AM12" s="177"/>
      <c r="AN12" s="177"/>
      <c r="AO12" s="179"/>
      <c r="AP12" s="179"/>
      <c r="AR12" s="181"/>
      <c r="AS12" s="181"/>
      <c r="AT12" s="181"/>
      <c r="AU12" s="181"/>
      <c r="AV12" s="181"/>
      <c r="BA12" s="165"/>
      <c r="BB12" s="165"/>
      <c r="BC12" s="165"/>
      <c r="BD12" s="165"/>
      <c r="BE12" s="165"/>
      <c r="BF12" s="165"/>
      <c r="BG12" s="165"/>
      <c r="BH12" s="165"/>
      <c r="BI12" s="165"/>
      <c r="BJ12" s="165"/>
      <c r="BK12" s="165"/>
      <c r="BL12" s="165"/>
      <c r="BM12" s="165"/>
      <c r="BN12" s="165"/>
      <c r="BO12" s="165"/>
      <c r="BP12" s="165"/>
      <c r="BQ12" s="165"/>
      <c r="CJ12" s="165"/>
      <c r="CK12" s="165"/>
      <c r="CL12" s="165"/>
      <c r="CM12" s="165"/>
      <c r="CN12" s="165"/>
      <c r="CO12" s="165"/>
      <c r="CP12" s="165"/>
      <c r="CQ12" s="165"/>
      <c r="CR12" s="165"/>
      <c r="CS12" s="165"/>
      <c r="CT12" s="165"/>
      <c r="CU12" s="165"/>
      <c r="CV12" s="165"/>
      <c r="CW12" s="165"/>
      <c r="CX12" s="165"/>
      <c r="CY12" s="165"/>
      <c r="CZ12" s="165"/>
      <c r="DA12" s="165"/>
    </row>
    <row r="13" spans="1:105" s="168" customFormat="1" ht="32.450000000000003">
      <c r="A13" s="181"/>
      <c r="B13" s="181"/>
      <c r="C13" s="177"/>
      <c r="D13" s="178"/>
      <c r="E13" s="177"/>
      <c r="F13" s="177"/>
      <c r="G13" s="179"/>
      <c r="H13" s="177"/>
      <c r="I13" s="177"/>
      <c r="J13" s="177"/>
      <c r="K13" s="177"/>
      <c r="L13" s="177"/>
      <c r="M13" s="179"/>
      <c r="N13" s="179"/>
      <c r="O13" s="179"/>
      <c r="P13" s="179"/>
      <c r="Q13" s="179"/>
      <c r="R13" s="181"/>
      <c r="S13" s="179"/>
      <c r="T13" s="179"/>
      <c r="U13" s="179"/>
      <c r="V13" s="179"/>
      <c r="W13" s="179"/>
      <c r="X13" s="179"/>
      <c r="Y13" s="179"/>
      <c r="Z13" s="179"/>
      <c r="AA13" s="181"/>
      <c r="AB13" s="179"/>
      <c r="AC13" s="179"/>
      <c r="AD13" s="179"/>
      <c r="AE13" s="167"/>
      <c r="AF13" s="179"/>
      <c r="AG13" s="179"/>
      <c r="AH13" s="179"/>
      <c r="AI13" s="179"/>
      <c r="AJ13" s="179"/>
      <c r="AK13" s="177"/>
      <c r="AL13" s="179"/>
      <c r="AM13" s="177"/>
      <c r="AN13" s="177"/>
      <c r="AO13" s="179"/>
      <c r="AP13" s="179"/>
      <c r="AR13" s="181"/>
      <c r="AS13" s="181"/>
      <c r="AT13" s="181"/>
      <c r="AU13" s="181"/>
      <c r="AV13" s="181"/>
      <c r="BA13" s="165"/>
      <c r="BB13" s="165"/>
      <c r="BC13" s="165"/>
      <c r="BD13" s="165"/>
      <c r="BE13" s="165"/>
      <c r="BF13" s="165"/>
      <c r="BG13" s="165"/>
      <c r="BH13" s="165"/>
      <c r="BI13" s="165"/>
      <c r="BJ13" s="165"/>
      <c r="BK13" s="165"/>
      <c r="BL13" s="165"/>
      <c r="BM13" s="165"/>
      <c r="BN13" s="165"/>
      <c r="BO13" s="165"/>
      <c r="BP13" s="165"/>
      <c r="BQ13" s="165"/>
    </row>
    <row r="14" spans="1:105" s="168" customFormat="1" ht="35.1" customHeight="1">
      <c r="A14" s="181"/>
      <c r="B14" s="181"/>
      <c r="C14" s="177"/>
      <c r="D14" s="178"/>
      <c r="E14" s="177"/>
      <c r="F14" s="177"/>
      <c r="G14" s="179"/>
      <c r="H14" s="177"/>
      <c r="I14" s="177"/>
      <c r="J14" s="177"/>
      <c r="K14" s="177"/>
      <c r="L14" s="177"/>
      <c r="M14" s="179"/>
      <c r="N14" s="179"/>
      <c r="O14" s="179"/>
      <c r="P14" s="179"/>
      <c r="Q14" s="179"/>
      <c r="R14" s="181"/>
      <c r="S14" s="179"/>
      <c r="T14" s="179"/>
      <c r="U14" s="179"/>
      <c r="V14" s="179"/>
      <c r="W14" s="179"/>
      <c r="X14" s="179"/>
      <c r="Y14" s="179"/>
      <c r="Z14" s="179"/>
      <c r="AA14" s="181"/>
      <c r="AB14" s="179"/>
      <c r="AC14" s="179"/>
      <c r="AD14" s="179"/>
      <c r="AE14" s="167"/>
      <c r="AF14" s="179"/>
      <c r="AG14" s="179"/>
      <c r="AH14" s="179"/>
      <c r="AI14" s="179"/>
      <c r="AJ14" s="179"/>
      <c r="AK14" s="177"/>
      <c r="AL14" s="179"/>
      <c r="AM14" s="177"/>
      <c r="AN14" s="177"/>
      <c r="AO14" s="179"/>
      <c r="AP14" s="179"/>
      <c r="AR14" s="181"/>
      <c r="AS14" s="181"/>
      <c r="AT14" s="181"/>
      <c r="AU14" s="181"/>
      <c r="AV14" s="181"/>
      <c r="BA14" s="165"/>
      <c r="BB14" s="165"/>
      <c r="BC14" s="165"/>
      <c r="BD14" s="165"/>
      <c r="BE14" s="165"/>
      <c r="BF14" s="165"/>
      <c r="BG14" s="165"/>
      <c r="BH14" s="165"/>
      <c r="BI14" s="165"/>
      <c r="BJ14" s="165"/>
      <c r="BK14" s="165"/>
      <c r="BL14" s="165"/>
      <c r="BM14" s="165"/>
      <c r="BN14" s="165"/>
      <c r="BO14" s="165"/>
      <c r="BP14" s="165"/>
      <c r="BQ14" s="165"/>
      <c r="CJ14" s="394" t="s">
        <v>0</v>
      </c>
      <c r="CK14" s="395"/>
      <c r="CL14" s="395"/>
      <c r="CM14" s="395"/>
      <c r="CN14" s="395"/>
      <c r="CO14" s="395"/>
      <c r="CP14" s="395"/>
      <c r="CQ14" s="395"/>
      <c r="CR14" s="395"/>
      <c r="CS14" s="395"/>
      <c r="CT14" s="395"/>
      <c r="CU14" s="395"/>
      <c r="CV14" s="395"/>
      <c r="CW14" s="395"/>
      <c r="CX14" s="395"/>
      <c r="CY14" s="395"/>
      <c r="CZ14" s="395"/>
      <c r="DA14" s="395"/>
    </row>
    <row r="15" spans="1:105" s="168" customFormat="1" ht="56.1">
      <c r="A15" s="181"/>
      <c r="B15" s="181"/>
      <c r="C15" s="177"/>
      <c r="D15" s="178"/>
      <c r="E15" s="177"/>
      <c r="F15" s="177"/>
      <c r="G15" s="179"/>
      <c r="H15" s="177"/>
      <c r="I15" s="177"/>
      <c r="J15" s="177"/>
      <c r="K15" s="177"/>
      <c r="L15" s="177"/>
      <c r="M15" s="179"/>
      <c r="N15" s="179"/>
      <c r="O15" s="179"/>
      <c r="P15" s="179"/>
      <c r="Q15" s="179"/>
      <c r="R15" s="181"/>
      <c r="S15" s="179"/>
      <c r="T15" s="179"/>
      <c r="U15" s="179"/>
      <c r="V15" s="179"/>
      <c r="W15" s="179"/>
      <c r="X15" s="179"/>
      <c r="Y15" s="179"/>
      <c r="Z15" s="179"/>
      <c r="AA15" s="181"/>
      <c r="AB15" s="179"/>
      <c r="AC15" s="179"/>
      <c r="AD15" s="179"/>
      <c r="AE15" s="167"/>
      <c r="AF15" s="179"/>
      <c r="AG15" s="179"/>
      <c r="AH15" s="179"/>
      <c r="AI15" s="179"/>
      <c r="AJ15" s="179"/>
      <c r="AK15" s="177"/>
      <c r="AL15" s="179"/>
      <c r="AM15" s="177"/>
      <c r="AN15" s="177"/>
      <c r="AO15" s="179"/>
      <c r="AP15" s="179"/>
      <c r="AR15" s="181"/>
      <c r="AS15" s="181"/>
      <c r="AT15" s="181"/>
      <c r="AU15" s="181"/>
      <c r="AV15" s="181"/>
      <c r="BA15" s="165"/>
      <c r="BB15" s="165"/>
      <c r="BC15" s="165"/>
      <c r="BD15" s="165"/>
      <c r="BE15" s="165"/>
      <c r="BF15" s="165"/>
      <c r="BG15" s="165"/>
      <c r="BH15" s="165"/>
      <c r="BI15" s="165"/>
      <c r="BJ15" s="165"/>
      <c r="BK15" s="165"/>
      <c r="BL15" s="165"/>
      <c r="BM15" s="165"/>
      <c r="BN15" s="165"/>
      <c r="BO15" s="165"/>
      <c r="BP15" s="165"/>
      <c r="BQ15" s="165"/>
      <c r="CJ15" s="356" t="s">
        <v>1</v>
      </c>
      <c r="CK15" s="356"/>
      <c r="CL15" s="356" t="s">
        <v>2</v>
      </c>
      <c r="CM15" s="356"/>
      <c r="CN15" s="356" t="s">
        <v>3</v>
      </c>
      <c r="CO15" s="356"/>
      <c r="CP15" s="356" t="s">
        <v>4</v>
      </c>
      <c r="CQ15" s="356"/>
      <c r="CR15" s="356" t="s">
        <v>5</v>
      </c>
      <c r="CS15" s="356"/>
      <c r="CT15" s="356" t="s">
        <v>6</v>
      </c>
      <c r="CU15" s="356"/>
      <c r="CV15" s="356" t="s">
        <v>7</v>
      </c>
      <c r="CW15" s="356"/>
      <c r="CX15" s="356" t="s">
        <v>8</v>
      </c>
      <c r="CY15" s="356"/>
      <c r="CZ15" s="356" t="s">
        <v>9</v>
      </c>
      <c r="DA15" s="356"/>
    </row>
    <row r="16" spans="1:105" ht="129.94999999999999">
      <c r="A16" s="176" t="s">
        <v>11</v>
      </c>
      <c r="B16" s="176" t="s">
        <v>12</v>
      </c>
      <c r="C16" s="171" t="s">
        <v>13</v>
      </c>
      <c r="D16" s="172" t="s">
        <v>14</v>
      </c>
      <c r="E16" s="171" t="s">
        <v>15</v>
      </c>
      <c r="F16" s="171" t="s">
        <v>16</v>
      </c>
      <c r="G16" s="173" t="s">
        <v>17</v>
      </c>
      <c r="H16" s="171" t="s">
        <v>18</v>
      </c>
      <c r="I16" s="171" t="s">
        <v>19</v>
      </c>
      <c r="J16" s="171" t="s">
        <v>20</v>
      </c>
      <c r="K16" s="171" t="s">
        <v>21</v>
      </c>
      <c r="L16" s="171" t="s">
        <v>265</v>
      </c>
      <c r="M16" s="173" t="s">
        <v>23</v>
      </c>
      <c r="N16" s="173" t="s">
        <v>24</v>
      </c>
      <c r="O16" s="173" t="s">
        <v>25</v>
      </c>
      <c r="P16" s="173" t="s">
        <v>26</v>
      </c>
      <c r="Q16" s="173" t="s">
        <v>27</v>
      </c>
      <c r="R16" s="176" t="s">
        <v>28</v>
      </c>
      <c r="S16" s="173" t="s">
        <v>668</v>
      </c>
      <c r="T16" s="173" t="s">
        <v>41</v>
      </c>
      <c r="U16" s="173" t="s">
        <v>23</v>
      </c>
      <c r="V16" s="173" t="s">
        <v>24</v>
      </c>
      <c r="W16" s="173" t="s">
        <v>669</v>
      </c>
      <c r="X16" s="173" t="s">
        <v>26</v>
      </c>
      <c r="Y16" s="173" t="s">
        <v>27</v>
      </c>
      <c r="Z16" s="173" t="s">
        <v>618</v>
      </c>
      <c r="AA16" s="176" t="s">
        <v>28</v>
      </c>
      <c r="AB16" s="173" t="s">
        <v>670</v>
      </c>
      <c r="AC16" s="173" t="s">
        <v>29</v>
      </c>
      <c r="AD16" s="173" t="s">
        <v>671</v>
      </c>
      <c r="AE16" s="164" t="s">
        <v>30</v>
      </c>
      <c r="AF16" s="173" t="s">
        <v>672</v>
      </c>
      <c r="AG16" s="173" t="s">
        <v>31</v>
      </c>
      <c r="AH16" s="173" t="s">
        <v>32</v>
      </c>
      <c r="AI16" s="173" t="s">
        <v>33</v>
      </c>
      <c r="AJ16" s="173" t="s">
        <v>34</v>
      </c>
      <c r="AK16" s="171" t="s">
        <v>264</v>
      </c>
      <c r="AL16" s="173" t="s">
        <v>36</v>
      </c>
      <c r="AM16" s="171" t="s">
        <v>673</v>
      </c>
      <c r="AN16" s="171" t="s">
        <v>271</v>
      </c>
      <c r="AO16" s="173" t="s">
        <v>38</v>
      </c>
      <c r="AP16" s="345" t="s">
        <v>39</v>
      </c>
      <c r="AR16" s="176" t="s">
        <v>30</v>
      </c>
      <c r="AS16" s="176" t="s">
        <v>31</v>
      </c>
      <c r="AT16" s="176" t="s">
        <v>32</v>
      </c>
      <c r="AU16" s="176" t="s">
        <v>33</v>
      </c>
      <c r="AV16" s="176" t="s">
        <v>272</v>
      </c>
      <c r="BA16" s="162" t="s">
        <v>40</v>
      </c>
      <c r="BB16" s="162" t="s">
        <v>41</v>
      </c>
      <c r="BC16" s="162" t="s">
        <v>42</v>
      </c>
      <c r="BD16" s="162" t="s">
        <v>43</v>
      </c>
      <c r="BE16" s="162" t="s">
        <v>44</v>
      </c>
      <c r="BF16" s="162" t="s">
        <v>45</v>
      </c>
      <c r="BG16" s="162" t="s">
        <v>46</v>
      </c>
      <c r="BH16" s="1" t="s">
        <v>47</v>
      </c>
      <c r="BI16" s="162" t="s">
        <v>48</v>
      </c>
      <c r="BJ16" s="162" t="s">
        <v>49</v>
      </c>
      <c r="BK16" s="162" t="s">
        <v>13</v>
      </c>
      <c r="BL16" s="291" t="s">
        <v>50</v>
      </c>
      <c r="BM16" s="165"/>
      <c r="BN16" s="165"/>
      <c r="BO16" s="165"/>
      <c r="BP16" s="165"/>
      <c r="BQ16" s="165"/>
      <c r="BR16" s="293" t="s">
        <v>38</v>
      </c>
      <c r="BS16" s="1" t="s">
        <v>39</v>
      </c>
      <c r="BT16" s="1" t="s">
        <v>53</v>
      </c>
      <c r="CJ16" s="357" t="s">
        <v>54</v>
      </c>
      <c r="CK16" s="357" t="s">
        <v>55</v>
      </c>
      <c r="CL16" s="357" t="s">
        <v>54</v>
      </c>
      <c r="CM16" s="357" t="s">
        <v>55</v>
      </c>
      <c r="CN16" s="357" t="s">
        <v>54</v>
      </c>
      <c r="CO16" s="357" t="s">
        <v>55</v>
      </c>
      <c r="CP16" s="357" t="s">
        <v>54</v>
      </c>
      <c r="CQ16" s="357" t="s">
        <v>55</v>
      </c>
      <c r="CR16" s="357" t="s">
        <v>54</v>
      </c>
      <c r="CS16" s="357" t="s">
        <v>55</v>
      </c>
      <c r="CT16" s="357" t="s">
        <v>54</v>
      </c>
      <c r="CU16" s="357" t="s">
        <v>55</v>
      </c>
      <c r="CV16" s="357" t="s">
        <v>54</v>
      </c>
      <c r="CW16" s="357" t="s">
        <v>55</v>
      </c>
      <c r="CX16" s="357" t="s">
        <v>54</v>
      </c>
      <c r="CY16" s="357" t="s">
        <v>55</v>
      </c>
      <c r="CZ16" s="357" t="s">
        <v>54</v>
      </c>
      <c r="DA16" s="357" t="s">
        <v>55</v>
      </c>
    </row>
    <row r="17" spans="1:105" ht="153.75">
      <c r="A17" s="74">
        <v>46234</v>
      </c>
      <c r="B17" s="75" t="s">
        <v>277</v>
      </c>
      <c r="C17" s="5" t="s">
        <v>77</v>
      </c>
      <c r="D17" s="76">
        <v>7503057496206</v>
      </c>
      <c r="E17" s="77" t="s">
        <v>720</v>
      </c>
      <c r="F17" s="78" t="s">
        <v>721</v>
      </c>
      <c r="G17" s="79" t="s">
        <v>60</v>
      </c>
      <c r="H17" s="80" t="s">
        <v>508</v>
      </c>
      <c r="I17" s="80" t="s">
        <v>679</v>
      </c>
      <c r="J17" s="78" t="s">
        <v>281</v>
      </c>
      <c r="K17" s="81">
        <v>1</v>
      </c>
      <c r="L17" s="78" t="s">
        <v>69</v>
      </c>
      <c r="M17" s="80"/>
      <c r="N17" s="82" t="s">
        <v>722</v>
      </c>
      <c r="O17" s="80"/>
      <c r="P17" s="78" t="s">
        <v>69</v>
      </c>
      <c r="Q17" s="78" t="s">
        <v>69</v>
      </c>
      <c r="R17" s="80" t="s">
        <v>69</v>
      </c>
      <c r="S17" s="83" t="s">
        <v>69</v>
      </c>
      <c r="T17" s="84">
        <v>8.3333333333333301E-2</v>
      </c>
      <c r="U17" s="85" t="s">
        <v>64</v>
      </c>
      <c r="V17" s="85">
        <v>30000</v>
      </c>
      <c r="W17" s="86" t="e">
        <f>T17*$Y$17</f>
        <v>#VALUE!</v>
      </c>
      <c r="X17" s="86" t="e">
        <f t="shared" ref="X17:X33" si="0">+W17*0.25</f>
        <v>#VALUE!</v>
      </c>
      <c r="Y17" s="86" t="e">
        <v>#VALUE!</v>
      </c>
      <c r="Z17" s="86" t="e">
        <f t="shared" ref="Z17:Z48" si="1">+AG17*$AB$18</f>
        <v>#VALUE!</v>
      </c>
      <c r="AA17" s="86">
        <v>0.15</v>
      </c>
      <c r="AB17" s="87" t="s">
        <v>717</v>
      </c>
      <c r="AC17" s="86">
        <v>39</v>
      </c>
      <c r="AD17" s="87" t="s">
        <v>723</v>
      </c>
      <c r="AE17" s="88">
        <v>19.899999999999999</v>
      </c>
      <c r="AF17" s="86">
        <f t="shared" ref="AF17:AF48" si="2">AE17/1.16</f>
        <v>17.155172413793103</v>
      </c>
      <c r="AG17" s="86">
        <f t="shared" ref="AG17:AG48" si="3">(AF17)*0.6</f>
        <v>10.293103448275861</v>
      </c>
      <c r="AH17" s="89">
        <f t="shared" ref="AH17:AH48" si="4">AA17/AG17</f>
        <v>1.457286432160804E-2</v>
      </c>
      <c r="AI17" s="89">
        <f t="shared" ref="AI17:AI48" si="5">1-(AA17/AG17)</f>
        <v>0.98542713567839191</v>
      </c>
      <c r="AJ17" s="90">
        <f t="shared" ref="AJ17:AJ48" si="6">1-(AG17/(AE17/1.16))</f>
        <v>0.4</v>
      </c>
      <c r="AK17" s="75" t="s">
        <v>488</v>
      </c>
      <c r="AL17" s="80" t="s">
        <v>67</v>
      </c>
      <c r="AM17" s="91">
        <v>12</v>
      </c>
      <c r="AN17" s="29">
        <v>48</v>
      </c>
      <c r="AO17" s="344" t="s">
        <v>724</v>
      </c>
      <c r="AP17" s="355">
        <v>46293</v>
      </c>
      <c r="AR17" s="67">
        <v>9</v>
      </c>
      <c r="AS17" s="63">
        <f t="shared" ref="AS17:AS48" si="7">(AR17/1.16)</f>
        <v>7.7586206896551726</v>
      </c>
      <c r="AT17" s="64">
        <f t="shared" ref="AT17:AT48" si="8">+AA17/AS17</f>
        <v>1.9333333333333331E-2</v>
      </c>
      <c r="AU17" s="65">
        <f t="shared" ref="AU17:AU48" si="9">1-(AA17/AS17)</f>
        <v>0.98066666666666669</v>
      </c>
      <c r="AV17" s="33">
        <f t="shared" ref="AV17:AV48" si="10">1-(AS17/(AR17/1.16))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48" si="11">SUM(BA17:BG17)</f>
        <v>7</v>
      </c>
      <c r="BL17" s="292">
        <f t="shared" ref="BL17:BL48" si="12">+BK17/BJ17</f>
        <v>0.77777777777777779</v>
      </c>
      <c r="BM17" s="295"/>
      <c r="BN17" s="295"/>
      <c r="BO17" s="295"/>
      <c r="BP17" s="295"/>
      <c r="BQ17" s="295"/>
      <c r="BR17" s="294" t="str">
        <f>+AO17</f>
        <v>En produccion</v>
      </c>
      <c r="BS17" s="284">
        <f>+AP17</f>
        <v>46293</v>
      </c>
      <c r="BT17" s="278" t="s">
        <v>679</v>
      </c>
      <c r="CJ17" s="358">
        <v>45809</v>
      </c>
      <c r="CK17" s="358">
        <v>45809</v>
      </c>
      <c r="CL17" s="278"/>
      <c r="CM17" s="278"/>
      <c r="CN17" s="278"/>
      <c r="CO17" s="278"/>
      <c r="CP17" s="268"/>
      <c r="CQ17" s="268"/>
      <c r="CR17" s="267"/>
      <c r="CS17" s="267"/>
      <c r="CT17" s="267"/>
      <c r="CU17" s="267"/>
      <c r="CV17" s="267"/>
      <c r="CW17" s="267"/>
      <c r="CX17" s="267"/>
      <c r="CY17" s="267"/>
      <c r="CZ17" s="267"/>
      <c r="DA17" s="267"/>
    </row>
    <row r="18" spans="1:105" ht="345.75">
      <c r="A18" s="74">
        <v>46234</v>
      </c>
      <c r="B18" s="75" t="s">
        <v>277</v>
      </c>
      <c r="C18" s="5" t="s">
        <v>77</v>
      </c>
      <c r="D18" s="76">
        <v>7503057496213</v>
      </c>
      <c r="E18" s="77" t="s">
        <v>725</v>
      </c>
      <c r="F18" s="78" t="s">
        <v>726</v>
      </c>
      <c r="G18" s="79" t="s">
        <v>60</v>
      </c>
      <c r="H18" s="80" t="s">
        <v>508</v>
      </c>
      <c r="I18" s="80" t="s">
        <v>679</v>
      </c>
      <c r="J18" s="78" t="s">
        <v>281</v>
      </c>
      <c r="K18" s="81">
        <v>1</v>
      </c>
      <c r="L18" s="78" t="s">
        <v>69</v>
      </c>
      <c r="M18" s="80"/>
      <c r="N18" s="82" t="s">
        <v>727</v>
      </c>
      <c r="O18" s="80"/>
      <c r="P18" s="78" t="s">
        <v>69</v>
      </c>
      <c r="Q18" s="78" t="s">
        <v>69</v>
      </c>
      <c r="R18" s="80" t="s">
        <v>69</v>
      </c>
      <c r="S18" s="80" t="s">
        <v>69</v>
      </c>
      <c r="T18" s="84">
        <v>8.3000000000000004E-2</v>
      </c>
      <c r="U18" s="85" t="s">
        <v>64</v>
      </c>
      <c r="V18" s="85">
        <v>30000</v>
      </c>
      <c r="W18" s="86" t="e">
        <f t="shared" ref="W18:W49" si="13">+T18*$Y$17</f>
        <v>#VALUE!</v>
      </c>
      <c r="X18" s="86" t="e">
        <f t="shared" si="0"/>
        <v>#VALUE!</v>
      </c>
      <c r="Y18" s="86" t="e">
        <v>#VALUE!</v>
      </c>
      <c r="Z18" s="86" t="e">
        <f t="shared" si="1"/>
        <v>#VALUE!</v>
      </c>
      <c r="AA18" s="86">
        <v>0.15</v>
      </c>
      <c r="AB18" s="87" t="s">
        <v>717</v>
      </c>
      <c r="AC18" s="86">
        <v>39</v>
      </c>
      <c r="AD18" s="87" t="s">
        <v>728</v>
      </c>
      <c r="AE18" s="88">
        <v>19.899999999999999</v>
      </c>
      <c r="AF18" s="86">
        <f t="shared" si="2"/>
        <v>17.155172413793103</v>
      </c>
      <c r="AG18" s="86">
        <f t="shared" si="3"/>
        <v>10.293103448275861</v>
      </c>
      <c r="AH18" s="89">
        <f t="shared" si="4"/>
        <v>1.457286432160804E-2</v>
      </c>
      <c r="AI18" s="89">
        <f t="shared" si="5"/>
        <v>0.98542713567839191</v>
      </c>
      <c r="AJ18" s="90">
        <f t="shared" si="6"/>
        <v>0.4</v>
      </c>
      <c r="AK18" s="75" t="s">
        <v>488</v>
      </c>
      <c r="AL18" s="80" t="s">
        <v>67</v>
      </c>
      <c r="AM18" s="91">
        <v>12</v>
      </c>
      <c r="AN18" s="29">
        <v>48</v>
      </c>
      <c r="AO18" s="344" t="s">
        <v>724</v>
      </c>
      <c r="AP18" s="355">
        <v>46280</v>
      </c>
      <c r="AR18" s="67">
        <v>9</v>
      </c>
      <c r="AS18" s="63">
        <f t="shared" si="7"/>
        <v>7.7586206896551726</v>
      </c>
      <c r="AT18" s="64">
        <f t="shared" si="8"/>
        <v>1.9333333333333331E-2</v>
      </c>
      <c r="AU18" s="65">
        <f t="shared" si="9"/>
        <v>0.98066666666666669</v>
      </c>
      <c r="AV18" s="33">
        <f t="shared" si="10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1"/>
        <v>7</v>
      </c>
      <c r="BL18" s="292">
        <f t="shared" si="12"/>
        <v>0.77777777777777779</v>
      </c>
      <c r="BM18" s="295"/>
      <c r="BN18" s="295"/>
      <c r="BO18" s="295"/>
      <c r="BP18" s="295"/>
      <c r="BQ18" s="295"/>
      <c r="BR18" s="294" t="str">
        <f t="shared" ref="BR18:BR72" si="14">+AO18</f>
        <v>En produccion</v>
      </c>
      <c r="BS18" s="284">
        <f t="shared" ref="BS18:BS73" si="15">+AP18</f>
        <v>46280</v>
      </c>
      <c r="BT18" s="278" t="s">
        <v>679</v>
      </c>
      <c r="CJ18" s="278"/>
      <c r="CK18" s="278"/>
      <c r="CL18" s="278"/>
      <c r="CM18" s="278"/>
      <c r="CN18" s="278"/>
      <c r="CO18" s="278"/>
      <c r="CP18" s="268"/>
      <c r="CQ18" s="268"/>
      <c r="CR18" s="267"/>
      <c r="CS18" s="267"/>
      <c r="CT18" s="267"/>
      <c r="CU18" s="267"/>
      <c r="CV18" s="267"/>
      <c r="CW18" s="267"/>
      <c r="CX18" s="267"/>
      <c r="CY18" s="267"/>
      <c r="CZ18" s="267"/>
      <c r="DA18" s="267"/>
    </row>
    <row r="19" spans="1:105" ht="324.95" customHeight="1">
      <c r="A19" s="74">
        <v>46234</v>
      </c>
      <c r="B19" s="75" t="s">
        <v>277</v>
      </c>
      <c r="C19" s="5" t="s">
        <v>77</v>
      </c>
      <c r="D19" s="76">
        <v>7503057496220</v>
      </c>
      <c r="E19" s="77" t="s">
        <v>729</v>
      </c>
      <c r="F19" s="78" t="s">
        <v>730</v>
      </c>
      <c r="G19" s="79" t="s">
        <v>60</v>
      </c>
      <c r="H19" s="80" t="s">
        <v>508</v>
      </c>
      <c r="I19" s="80" t="s">
        <v>679</v>
      </c>
      <c r="J19" s="78" t="s">
        <v>281</v>
      </c>
      <c r="K19" s="81">
        <v>1</v>
      </c>
      <c r="L19" s="78" t="s">
        <v>69</v>
      </c>
      <c r="M19" s="80"/>
      <c r="N19" s="82" t="s">
        <v>731</v>
      </c>
      <c r="O19" s="80"/>
      <c r="P19" s="78" t="s">
        <v>69</v>
      </c>
      <c r="Q19" s="78" t="s">
        <v>69</v>
      </c>
      <c r="R19" s="80" t="s">
        <v>69</v>
      </c>
      <c r="S19" s="80" t="s">
        <v>69</v>
      </c>
      <c r="T19" s="84">
        <v>8.3000000000000004E-2</v>
      </c>
      <c r="U19" s="85" t="s">
        <v>64</v>
      </c>
      <c r="V19" s="85">
        <v>30000</v>
      </c>
      <c r="W19" s="86" t="e">
        <f t="shared" si="13"/>
        <v>#VALUE!</v>
      </c>
      <c r="X19" s="86" t="e">
        <f t="shared" si="0"/>
        <v>#VALUE!</v>
      </c>
      <c r="Y19" s="86" t="e">
        <v>#VALUE!</v>
      </c>
      <c r="Z19" s="86" t="e">
        <f t="shared" si="1"/>
        <v>#VALUE!</v>
      </c>
      <c r="AA19" s="86">
        <v>0.15</v>
      </c>
      <c r="AB19" s="87" t="s">
        <v>717</v>
      </c>
      <c r="AC19" s="86">
        <v>39</v>
      </c>
      <c r="AD19" s="87" t="s">
        <v>732</v>
      </c>
      <c r="AE19" s="88">
        <v>19.899999999999999</v>
      </c>
      <c r="AF19" s="86">
        <f t="shared" si="2"/>
        <v>17.155172413793103</v>
      </c>
      <c r="AG19" s="86">
        <f t="shared" si="3"/>
        <v>10.293103448275861</v>
      </c>
      <c r="AH19" s="89">
        <f t="shared" si="4"/>
        <v>1.457286432160804E-2</v>
      </c>
      <c r="AI19" s="89">
        <f t="shared" si="5"/>
        <v>0.98542713567839191</v>
      </c>
      <c r="AJ19" s="90">
        <f t="shared" si="6"/>
        <v>0.4</v>
      </c>
      <c r="AK19" s="75" t="s">
        <v>488</v>
      </c>
      <c r="AL19" s="80" t="s">
        <v>67</v>
      </c>
      <c r="AM19" s="91">
        <v>12</v>
      </c>
      <c r="AN19" s="29">
        <v>48</v>
      </c>
      <c r="AO19" s="344" t="s">
        <v>724</v>
      </c>
      <c r="AP19" s="355">
        <v>46293</v>
      </c>
      <c r="AR19" s="67">
        <v>9</v>
      </c>
      <c r="AS19" s="63">
        <f t="shared" si="7"/>
        <v>7.7586206896551726</v>
      </c>
      <c r="AT19" s="64">
        <f t="shared" si="8"/>
        <v>1.9333333333333331E-2</v>
      </c>
      <c r="AU19" s="65">
        <f t="shared" si="9"/>
        <v>0.98066666666666669</v>
      </c>
      <c r="AV19" s="33">
        <f t="shared" si="10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1"/>
        <v>7</v>
      </c>
      <c r="BL19" s="292">
        <f t="shared" si="12"/>
        <v>0.77777777777777779</v>
      </c>
      <c r="BM19" s="295"/>
      <c r="BN19" s="295"/>
      <c r="BO19" s="295"/>
      <c r="BP19" s="295"/>
      <c r="BQ19" s="295"/>
      <c r="BR19" s="294" t="str">
        <f t="shared" si="14"/>
        <v>En produccion</v>
      </c>
      <c r="BS19" s="284">
        <f t="shared" si="15"/>
        <v>46293</v>
      </c>
      <c r="BT19" s="278" t="s">
        <v>679</v>
      </c>
      <c r="CJ19" s="278"/>
      <c r="CK19" s="278"/>
      <c r="CL19" s="278"/>
      <c r="CM19" s="278"/>
      <c r="CN19" s="278"/>
      <c r="CO19" s="278"/>
      <c r="CP19" s="268"/>
      <c r="CQ19" s="268"/>
      <c r="CR19" s="267"/>
      <c r="CS19" s="267"/>
      <c r="CT19" s="267"/>
      <c r="CU19" s="267"/>
      <c r="CV19" s="267"/>
      <c r="CW19" s="267"/>
      <c r="CX19" s="267"/>
      <c r="CY19" s="267"/>
      <c r="CZ19" s="267"/>
      <c r="DA19" s="267"/>
    </row>
    <row r="20" spans="1:105" ht="230.25">
      <c r="A20" s="74">
        <v>46234</v>
      </c>
      <c r="B20" s="75" t="s">
        <v>277</v>
      </c>
      <c r="C20" s="5" t="s">
        <v>77</v>
      </c>
      <c r="D20" s="76">
        <v>7503057496237</v>
      </c>
      <c r="E20" s="77" t="s">
        <v>733</v>
      </c>
      <c r="F20" s="78" t="s">
        <v>734</v>
      </c>
      <c r="G20" s="79" t="s">
        <v>60</v>
      </c>
      <c r="H20" s="80" t="s">
        <v>508</v>
      </c>
      <c r="I20" s="80" t="s">
        <v>679</v>
      </c>
      <c r="J20" s="78" t="s">
        <v>281</v>
      </c>
      <c r="K20" s="81">
        <v>1</v>
      </c>
      <c r="L20" s="78" t="s">
        <v>69</v>
      </c>
      <c r="M20" s="80"/>
      <c r="N20" s="82" t="s">
        <v>735</v>
      </c>
      <c r="O20" s="80"/>
      <c r="P20" s="78" t="s">
        <v>69</v>
      </c>
      <c r="Q20" s="78" t="s">
        <v>69</v>
      </c>
      <c r="R20" s="80" t="s">
        <v>69</v>
      </c>
      <c r="S20" s="80" t="s">
        <v>69</v>
      </c>
      <c r="T20" s="84">
        <v>8.3000000000000004E-2</v>
      </c>
      <c r="U20" s="85" t="s">
        <v>64</v>
      </c>
      <c r="V20" s="85">
        <v>30000</v>
      </c>
      <c r="W20" s="86" t="e">
        <f t="shared" si="13"/>
        <v>#VALUE!</v>
      </c>
      <c r="X20" s="86" t="e">
        <f t="shared" si="0"/>
        <v>#VALUE!</v>
      </c>
      <c r="Y20" s="86" t="e">
        <v>#VALUE!</v>
      </c>
      <c r="Z20" s="86" t="e">
        <f t="shared" si="1"/>
        <v>#VALUE!</v>
      </c>
      <c r="AA20" s="86">
        <v>0.15</v>
      </c>
      <c r="AB20" s="87" t="s">
        <v>717</v>
      </c>
      <c r="AC20" s="86">
        <v>39</v>
      </c>
      <c r="AD20" s="87" t="s">
        <v>736</v>
      </c>
      <c r="AE20" s="88">
        <v>19.899999999999999</v>
      </c>
      <c r="AF20" s="86">
        <f t="shared" si="2"/>
        <v>17.155172413793103</v>
      </c>
      <c r="AG20" s="86">
        <f t="shared" si="3"/>
        <v>10.293103448275861</v>
      </c>
      <c r="AH20" s="89">
        <f t="shared" si="4"/>
        <v>1.457286432160804E-2</v>
      </c>
      <c r="AI20" s="89">
        <f t="shared" si="5"/>
        <v>0.98542713567839191</v>
      </c>
      <c r="AJ20" s="90">
        <f t="shared" si="6"/>
        <v>0.4</v>
      </c>
      <c r="AK20" s="75" t="s">
        <v>488</v>
      </c>
      <c r="AL20" s="80" t="s">
        <v>67</v>
      </c>
      <c r="AM20" s="91">
        <v>12</v>
      </c>
      <c r="AN20" s="29">
        <v>48</v>
      </c>
      <c r="AO20" s="344" t="s">
        <v>724</v>
      </c>
      <c r="AP20" s="355">
        <v>46284</v>
      </c>
      <c r="AR20" s="67">
        <v>9</v>
      </c>
      <c r="AS20" s="63">
        <f t="shared" si="7"/>
        <v>7.7586206896551726</v>
      </c>
      <c r="AT20" s="64">
        <f t="shared" si="8"/>
        <v>1.9333333333333331E-2</v>
      </c>
      <c r="AU20" s="65">
        <f t="shared" si="9"/>
        <v>0.98066666666666669</v>
      </c>
      <c r="AV20" s="33">
        <f t="shared" si="10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>
        <v>1</v>
      </c>
      <c r="BH20" s="3"/>
      <c r="BI20" s="3"/>
      <c r="BJ20" s="3">
        <v>9</v>
      </c>
      <c r="BK20" s="3">
        <f t="shared" si="11"/>
        <v>7</v>
      </c>
      <c r="BL20" s="292">
        <f t="shared" si="12"/>
        <v>0.77777777777777779</v>
      </c>
      <c r="BM20" s="295"/>
      <c r="BN20" s="295"/>
      <c r="BO20" s="295"/>
      <c r="BP20" s="295"/>
      <c r="BQ20" s="295"/>
      <c r="BR20" s="294" t="str">
        <f t="shared" si="14"/>
        <v>En produccion</v>
      </c>
      <c r="BS20" s="284">
        <f t="shared" si="15"/>
        <v>46284</v>
      </c>
      <c r="BT20" s="278" t="s">
        <v>679</v>
      </c>
      <c r="CJ20" s="278"/>
      <c r="CK20" s="278"/>
      <c r="CL20" s="278"/>
      <c r="CM20" s="278"/>
      <c r="CN20" s="278"/>
      <c r="CO20" s="278"/>
      <c r="CP20" s="268"/>
      <c r="CQ20" s="268"/>
      <c r="CR20" s="267"/>
      <c r="CS20" s="267"/>
      <c r="CT20" s="267"/>
      <c r="CU20" s="267"/>
      <c r="CV20" s="267"/>
      <c r="CW20" s="267"/>
      <c r="CX20" s="267"/>
      <c r="CY20" s="267"/>
      <c r="CZ20" s="267"/>
      <c r="DA20" s="267"/>
    </row>
    <row r="21" spans="1:105" ht="306.75">
      <c r="A21" s="74">
        <v>46234</v>
      </c>
      <c r="B21" s="75" t="s">
        <v>277</v>
      </c>
      <c r="C21" s="5" t="s">
        <v>77</v>
      </c>
      <c r="D21" s="76">
        <v>7503057496244</v>
      </c>
      <c r="E21" s="77" t="s">
        <v>737</v>
      </c>
      <c r="F21" s="78" t="s">
        <v>738</v>
      </c>
      <c r="G21" s="79" t="s">
        <v>60</v>
      </c>
      <c r="H21" s="80" t="s">
        <v>508</v>
      </c>
      <c r="I21" s="80" t="s">
        <v>679</v>
      </c>
      <c r="J21" s="78" t="s">
        <v>281</v>
      </c>
      <c r="K21" s="81">
        <v>1</v>
      </c>
      <c r="L21" s="78" t="s">
        <v>69</v>
      </c>
      <c r="M21" s="80"/>
      <c r="N21" s="82" t="s">
        <v>739</v>
      </c>
      <c r="O21" s="80"/>
      <c r="P21" s="78" t="s">
        <v>69</v>
      </c>
      <c r="Q21" s="78" t="s">
        <v>69</v>
      </c>
      <c r="R21" s="80" t="s">
        <v>69</v>
      </c>
      <c r="S21" s="80" t="s">
        <v>69</v>
      </c>
      <c r="T21" s="84">
        <v>8.3000000000000004E-2</v>
      </c>
      <c r="U21" s="85" t="s">
        <v>64</v>
      </c>
      <c r="V21" s="85">
        <v>30000</v>
      </c>
      <c r="W21" s="86" t="e">
        <f t="shared" si="13"/>
        <v>#VALUE!</v>
      </c>
      <c r="X21" s="86" t="e">
        <f t="shared" si="0"/>
        <v>#VALUE!</v>
      </c>
      <c r="Y21" s="86" t="e">
        <v>#VALUE!</v>
      </c>
      <c r="Z21" s="86" t="e">
        <f t="shared" si="1"/>
        <v>#VALUE!</v>
      </c>
      <c r="AA21" s="86">
        <v>0.15</v>
      </c>
      <c r="AB21" s="86" t="s">
        <v>717</v>
      </c>
      <c r="AC21" s="86">
        <v>39</v>
      </c>
      <c r="AD21" s="87" t="s">
        <v>740</v>
      </c>
      <c r="AE21" s="88">
        <v>19.899999999999999</v>
      </c>
      <c r="AF21" s="86">
        <f t="shared" si="2"/>
        <v>17.155172413793103</v>
      </c>
      <c r="AG21" s="86">
        <f t="shared" si="3"/>
        <v>10.293103448275861</v>
      </c>
      <c r="AH21" s="89">
        <f t="shared" si="4"/>
        <v>1.457286432160804E-2</v>
      </c>
      <c r="AI21" s="89">
        <f t="shared" si="5"/>
        <v>0.98542713567839191</v>
      </c>
      <c r="AJ21" s="90">
        <f t="shared" si="6"/>
        <v>0.4</v>
      </c>
      <c r="AK21" s="75" t="s">
        <v>488</v>
      </c>
      <c r="AL21" s="80" t="s">
        <v>67</v>
      </c>
      <c r="AM21" s="91">
        <v>12</v>
      </c>
      <c r="AN21" s="29">
        <v>48</v>
      </c>
      <c r="AO21" s="344" t="s">
        <v>724</v>
      </c>
      <c r="AP21" s="355">
        <v>46293</v>
      </c>
      <c r="AR21" s="67">
        <v>9</v>
      </c>
      <c r="AS21" s="63">
        <f t="shared" si="7"/>
        <v>7.7586206896551726</v>
      </c>
      <c r="AT21" s="64">
        <f t="shared" si="8"/>
        <v>1.9333333333333331E-2</v>
      </c>
      <c r="AU21" s="65">
        <f t="shared" si="9"/>
        <v>0.98066666666666669</v>
      </c>
      <c r="AV21" s="33">
        <f t="shared" si="10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>
        <v>1</v>
      </c>
      <c r="BH21" s="3"/>
      <c r="BI21" s="3"/>
      <c r="BJ21" s="3">
        <v>9</v>
      </c>
      <c r="BK21" s="3">
        <f t="shared" si="11"/>
        <v>7</v>
      </c>
      <c r="BL21" s="292">
        <f t="shared" si="12"/>
        <v>0.77777777777777779</v>
      </c>
      <c r="BM21" s="295"/>
      <c r="BN21" s="295"/>
      <c r="BO21" s="295"/>
      <c r="BP21" s="295"/>
      <c r="BQ21" s="295"/>
      <c r="BR21" s="294" t="str">
        <f t="shared" si="14"/>
        <v>En produccion</v>
      </c>
      <c r="BS21" s="284">
        <f t="shared" si="15"/>
        <v>46293</v>
      </c>
      <c r="BT21" s="278" t="s">
        <v>679</v>
      </c>
      <c r="CJ21" s="278"/>
      <c r="CK21" s="278"/>
      <c r="CL21" s="278"/>
      <c r="CM21" s="278"/>
      <c r="CN21" s="278"/>
      <c r="CO21" s="278"/>
      <c r="CP21" s="268"/>
      <c r="CQ21" s="268"/>
      <c r="CR21" s="267"/>
      <c r="CS21" s="267"/>
      <c r="CT21" s="267"/>
      <c r="CU21" s="267"/>
      <c r="CV21" s="267"/>
      <c r="CW21" s="267"/>
      <c r="CX21" s="267"/>
      <c r="CY21" s="267"/>
      <c r="CZ21" s="267"/>
      <c r="DA21" s="267"/>
    </row>
    <row r="22" spans="1:105" ht="230.25">
      <c r="A22" s="74">
        <v>46234</v>
      </c>
      <c r="B22" s="75" t="s">
        <v>277</v>
      </c>
      <c r="C22" s="5" t="s">
        <v>77</v>
      </c>
      <c r="D22" s="76">
        <v>7503057496275</v>
      </c>
      <c r="E22" s="77" t="s">
        <v>741</v>
      </c>
      <c r="F22" s="78" t="s">
        <v>742</v>
      </c>
      <c r="G22" s="79" t="s">
        <v>60</v>
      </c>
      <c r="H22" s="80" t="s">
        <v>508</v>
      </c>
      <c r="I22" s="80" t="s">
        <v>679</v>
      </c>
      <c r="J22" s="78" t="s">
        <v>281</v>
      </c>
      <c r="K22" s="81">
        <v>1</v>
      </c>
      <c r="L22" s="78" t="s">
        <v>69</v>
      </c>
      <c r="M22" s="80"/>
      <c r="N22" s="82" t="s">
        <v>743</v>
      </c>
      <c r="O22" s="80"/>
      <c r="P22" s="78" t="s">
        <v>69</v>
      </c>
      <c r="Q22" s="78" t="s">
        <v>69</v>
      </c>
      <c r="R22" s="80" t="s">
        <v>69</v>
      </c>
      <c r="S22" s="80" t="s">
        <v>69</v>
      </c>
      <c r="T22" s="84">
        <v>8.3000000000000004E-2</v>
      </c>
      <c r="U22" s="85" t="s">
        <v>64</v>
      </c>
      <c r="V22" s="85">
        <v>30000</v>
      </c>
      <c r="W22" s="86" t="e">
        <f t="shared" si="13"/>
        <v>#VALUE!</v>
      </c>
      <c r="X22" s="86" t="e">
        <f t="shared" si="0"/>
        <v>#VALUE!</v>
      </c>
      <c r="Y22" s="86" t="e">
        <v>#VALUE!</v>
      </c>
      <c r="Z22" s="86" t="e">
        <f t="shared" si="1"/>
        <v>#VALUE!</v>
      </c>
      <c r="AA22" s="86">
        <v>0.15</v>
      </c>
      <c r="AB22" s="86" t="s">
        <v>387</v>
      </c>
      <c r="AC22" s="86">
        <v>39</v>
      </c>
      <c r="AD22" s="87" t="s">
        <v>744</v>
      </c>
      <c r="AE22" s="88">
        <v>19.899999999999999</v>
      </c>
      <c r="AF22" s="86">
        <f t="shared" si="2"/>
        <v>17.155172413793103</v>
      </c>
      <c r="AG22" s="86">
        <f t="shared" si="3"/>
        <v>10.293103448275861</v>
      </c>
      <c r="AH22" s="89">
        <f t="shared" si="4"/>
        <v>1.457286432160804E-2</v>
      </c>
      <c r="AI22" s="89">
        <f t="shared" si="5"/>
        <v>0.98542713567839191</v>
      </c>
      <c r="AJ22" s="90">
        <f t="shared" si="6"/>
        <v>0.4</v>
      </c>
      <c r="AK22" s="75" t="s">
        <v>488</v>
      </c>
      <c r="AL22" s="80" t="s">
        <v>67</v>
      </c>
      <c r="AM22" s="91">
        <v>12</v>
      </c>
      <c r="AN22" s="29">
        <v>48</v>
      </c>
      <c r="AO22" s="344" t="s">
        <v>724</v>
      </c>
      <c r="AP22" s="355">
        <v>46284</v>
      </c>
      <c r="AR22" s="67">
        <f t="shared" ref="AR22:AR53" si="16">+AE22*0.65</f>
        <v>12.934999999999999</v>
      </c>
      <c r="AS22" s="63">
        <f t="shared" si="7"/>
        <v>11.150862068965518</v>
      </c>
      <c r="AT22" s="64">
        <f t="shared" si="8"/>
        <v>1.3451874758407421E-2</v>
      </c>
      <c r="AU22" s="65">
        <f t="shared" si="9"/>
        <v>0.98654812524159263</v>
      </c>
      <c r="AV22" s="33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/>
      <c r="BI22" s="3"/>
      <c r="BJ22" s="3">
        <v>9</v>
      </c>
      <c r="BK22" s="3">
        <f t="shared" si="11"/>
        <v>7</v>
      </c>
      <c r="BL22" s="292">
        <f t="shared" si="12"/>
        <v>0.77777777777777779</v>
      </c>
      <c r="BM22" s="295"/>
      <c r="BN22" s="295"/>
      <c r="BO22" s="295"/>
      <c r="BP22" s="295"/>
      <c r="BQ22" s="295"/>
      <c r="BR22" s="294" t="str">
        <f t="shared" si="14"/>
        <v>En produccion</v>
      </c>
      <c r="BS22" s="284">
        <f t="shared" si="15"/>
        <v>46284</v>
      </c>
      <c r="BT22" s="278" t="s">
        <v>679</v>
      </c>
      <c r="CJ22" s="278"/>
      <c r="CK22" s="278"/>
      <c r="CL22" s="278"/>
      <c r="CM22" s="278"/>
      <c r="CN22" s="278"/>
      <c r="CO22" s="278"/>
      <c r="CP22" s="268"/>
      <c r="CQ22" s="268"/>
      <c r="CR22" s="267"/>
      <c r="CS22" s="267"/>
      <c r="CT22" s="267"/>
      <c r="CU22" s="267"/>
      <c r="CV22" s="267"/>
      <c r="CW22" s="267"/>
      <c r="CX22" s="267"/>
      <c r="CY22" s="267"/>
      <c r="CZ22" s="267"/>
      <c r="DA22" s="267"/>
    </row>
    <row r="23" spans="1:105" ht="306.75">
      <c r="A23" s="74">
        <v>46234</v>
      </c>
      <c r="B23" s="75" t="s">
        <v>277</v>
      </c>
      <c r="C23" s="5" t="s">
        <v>77</v>
      </c>
      <c r="D23" s="76">
        <v>7503057496282</v>
      </c>
      <c r="E23" s="77" t="s">
        <v>745</v>
      </c>
      <c r="F23" s="78" t="s">
        <v>746</v>
      </c>
      <c r="G23" s="79" t="s">
        <v>60</v>
      </c>
      <c r="H23" s="80" t="s">
        <v>508</v>
      </c>
      <c r="I23" s="80" t="s">
        <v>679</v>
      </c>
      <c r="J23" s="78" t="s">
        <v>281</v>
      </c>
      <c r="K23" s="81">
        <v>1</v>
      </c>
      <c r="L23" s="78" t="s">
        <v>69</v>
      </c>
      <c r="M23" s="80"/>
      <c r="N23" s="82" t="s">
        <v>747</v>
      </c>
      <c r="O23" s="80"/>
      <c r="P23" s="78" t="s">
        <v>69</v>
      </c>
      <c r="Q23" s="78" t="s">
        <v>69</v>
      </c>
      <c r="R23" s="80" t="s">
        <v>69</v>
      </c>
      <c r="S23" s="80" t="s">
        <v>69</v>
      </c>
      <c r="T23" s="84">
        <v>8.3000000000000004E-2</v>
      </c>
      <c r="U23" s="85" t="s">
        <v>64</v>
      </c>
      <c r="V23" s="85">
        <v>30000</v>
      </c>
      <c r="W23" s="86" t="e">
        <f t="shared" si="13"/>
        <v>#VALUE!</v>
      </c>
      <c r="X23" s="86" t="e">
        <f t="shared" si="0"/>
        <v>#VALUE!</v>
      </c>
      <c r="Y23" s="86" t="e">
        <v>#VALUE!</v>
      </c>
      <c r="Z23" s="86" t="e">
        <f t="shared" si="1"/>
        <v>#VALUE!</v>
      </c>
      <c r="AA23" s="86">
        <v>0.15</v>
      </c>
      <c r="AB23" s="86" t="s">
        <v>748</v>
      </c>
      <c r="AC23" s="86">
        <v>39</v>
      </c>
      <c r="AD23" s="87" t="s">
        <v>749</v>
      </c>
      <c r="AE23" s="88">
        <v>19.899999999999999</v>
      </c>
      <c r="AF23" s="86">
        <f t="shared" si="2"/>
        <v>17.155172413793103</v>
      </c>
      <c r="AG23" s="86">
        <f t="shared" si="3"/>
        <v>10.293103448275861</v>
      </c>
      <c r="AH23" s="89">
        <f t="shared" si="4"/>
        <v>1.457286432160804E-2</v>
      </c>
      <c r="AI23" s="89">
        <f t="shared" si="5"/>
        <v>0.98542713567839191</v>
      </c>
      <c r="AJ23" s="90">
        <f t="shared" si="6"/>
        <v>0.4</v>
      </c>
      <c r="AK23" s="75" t="s">
        <v>488</v>
      </c>
      <c r="AL23" s="80" t="s">
        <v>67</v>
      </c>
      <c r="AM23" s="91">
        <v>12</v>
      </c>
      <c r="AN23" s="29">
        <v>48</v>
      </c>
      <c r="AO23" s="344" t="s">
        <v>724</v>
      </c>
      <c r="AP23" s="355">
        <v>46284</v>
      </c>
      <c r="AR23" s="67">
        <f t="shared" si="16"/>
        <v>12.934999999999999</v>
      </c>
      <c r="AS23" s="63">
        <f t="shared" si="7"/>
        <v>11.150862068965518</v>
      </c>
      <c r="AT23" s="64">
        <f t="shared" si="8"/>
        <v>1.3451874758407421E-2</v>
      </c>
      <c r="AU23" s="65">
        <f t="shared" si="9"/>
        <v>0.98654812524159263</v>
      </c>
      <c r="AV23" s="33">
        <f t="shared" si="10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/>
      <c r="BI23" s="3"/>
      <c r="BJ23" s="3">
        <v>9</v>
      </c>
      <c r="BK23" s="3">
        <f t="shared" si="11"/>
        <v>7</v>
      </c>
      <c r="BL23" s="292">
        <f t="shared" si="12"/>
        <v>0.77777777777777779</v>
      </c>
      <c r="BM23" s="295"/>
      <c r="BN23" s="295"/>
      <c r="BO23" s="295"/>
      <c r="BP23" s="295"/>
      <c r="BQ23" s="295"/>
      <c r="BR23" s="294" t="str">
        <f t="shared" si="14"/>
        <v>En produccion</v>
      </c>
      <c r="BS23" s="284">
        <f t="shared" si="15"/>
        <v>46284</v>
      </c>
      <c r="BT23" s="278" t="s">
        <v>679</v>
      </c>
      <c r="CJ23" s="278"/>
      <c r="CK23" s="278"/>
      <c r="CL23" s="278"/>
      <c r="CM23" s="278"/>
      <c r="CN23" s="278"/>
      <c r="CO23" s="278"/>
      <c r="CP23" s="268"/>
      <c r="CQ23" s="268"/>
      <c r="CR23" s="267"/>
      <c r="CS23" s="267"/>
      <c r="CT23" s="267"/>
      <c r="CU23" s="267"/>
      <c r="CV23" s="267"/>
      <c r="CW23" s="267"/>
      <c r="CX23" s="267"/>
      <c r="CY23" s="267"/>
      <c r="CZ23" s="267"/>
      <c r="DA23" s="267"/>
    </row>
    <row r="24" spans="1:105" ht="192">
      <c r="A24" s="74">
        <v>46234</v>
      </c>
      <c r="B24" s="75" t="s">
        <v>277</v>
      </c>
      <c r="C24" s="5" t="s">
        <v>77</v>
      </c>
      <c r="D24" s="92">
        <v>7503057496299</v>
      </c>
      <c r="E24" s="93" t="s">
        <v>750</v>
      </c>
      <c r="F24" s="78" t="s">
        <v>751</v>
      </c>
      <c r="G24" s="79" t="s">
        <v>60</v>
      </c>
      <c r="H24" s="80" t="s">
        <v>508</v>
      </c>
      <c r="I24" s="94" t="s">
        <v>679</v>
      </c>
      <c r="J24" s="78" t="s">
        <v>281</v>
      </c>
      <c r="K24" s="95">
        <v>1</v>
      </c>
      <c r="L24" s="78" t="s">
        <v>69</v>
      </c>
      <c r="M24" s="80"/>
      <c r="N24" s="82" t="s">
        <v>752</v>
      </c>
      <c r="O24" s="80"/>
      <c r="P24" s="78" t="s">
        <v>69</v>
      </c>
      <c r="Q24" s="78" t="s">
        <v>69</v>
      </c>
      <c r="R24" s="80" t="s">
        <v>69</v>
      </c>
      <c r="S24" s="80" t="s">
        <v>69</v>
      </c>
      <c r="T24" s="84">
        <v>8.3000000000000004E-2</v>
      </c>
      <c r="U24" s="85" t="s">
        <v>64</v>
      </c>
      <c r="V24" s="96">
        <v>30000</v>
      </c>
      <c r="W24" s="97" t="e">
        <f t="shared" si="13"/>
        <v>#VALUE!</v>
      </c>
      <c r="X24" s="86" t="e">
        <f t="shared" si="0"/>
        <v>#VALUE!</v>
      </c>
      <c r="Y24" s="86" t="e">
        <v>#VALUE!</v>
      </c>
      <c r="Z24" s="86" t="e">
        <f t="shared" si="1"/>
        <v>#VALUE!</v>
      </c>
      <c r="AA24" s="86">
        <v>0.15</v>
      </c>
      <c r="AB24" s="86"/>
      <c r="AC24" s="86">
        <v>39</v>
      </c>
      <c r="AD24" s="87" t="s">
        <v>753</v>
      </c>
      <c r="AE24" s="88">
        <v>19.899999999999999</v>
      </c>
      <c r="AF24" s="86">
        <f t="shared" si="2"/>
        <v>17.155172413793103</v>
      </c>
      <c r="AG24" s="86">
        <f t="shared" si="3"/>
        <v>10.293103448275861</v>
      </c>
      <c r="AH24" s="89">
        <f t="shared" si="4"/>
        <v>1.457286432160804E-2</v>
      </c>
      <c r="AI24" s="89">
        <f t="shared" si="5"/>
        <v>0.98542713567839191</v>
      </c>
      <c r="AJ24" s="90">
        <f t="shared" si="6"/>
        <v>0.4</v>
      </c>
      <c r="AK24" s="75" t="s">
        <v>488</v>
      </c>
      <c r="AL24" s="80" t="s">
        <v>67</v>
      </c>
      <c r="AM24" s="91">
        <v>12</v>
      </c>
      <c r="AN24" s="29">
        <v>48</v>
      </c>
      <c r="AO24" s="344" t="s">
        <v>724</v>
      </c>
      <c r="AP24" s="355">
        <v>46284</v>
      </c>
      <c r="AR24" s="67">
        <f t="shared" si="16"/>
        <v>12.934999999999999</v>
      </c>
      <c r="AS24" s="63">
        <f t="shared" si="7"/>
        <v>11.150862068965518</v>
      </c>
      <c r="AT24" s="64">
        <f t="shared" si="8"/>
        <v>1.3451874758407421E-2</v>
      </c>
      <c r="AU24" s="65">
        <f t="shared" si="9"/>
        <v>0.98654812524159263</v>
      </c>
      <c r="AV24" s="33">
        <f t="shared" si="10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/>
      <c r="BI24" s="3"/>
      <c r="BJ24" s="3">
        <v>9</v>
      </c>
      <c r="BK24" s="3">
        <f t="shared" si="11"/>
        <v>7</v>
      </c>
      <c r="BL24" s="292">
        <f t="shared" si="12"/>
        <v>0.77777777777777779</v>
      </c>
      <c r="BM24" s="295"/>
      <c r="BN24" s="295"/>
      <c r="BO24" s="295"/>
      <c r="BP24" s="295"/>
      <c r="BQ24" s="295"/>
      <c r="BR24" s="294" t="str">
        <f t="shared" si="14"/>
        <v>En produccion</v>
      </c>
      <c r="BS24" s="284">
        <f t="shared" si="15"/>
        <v>46284</v>
      </c>
      <c r="BT24" s="278" t="s">
        <v>679</v>
      </c>
      <c r="CJ24" s="278"/>
      <c r="CK24" s="278"/>
      <c r="CL24" s="278"/>
      <c r="CM24" s="278"/>
      <c r="CN24" s="278"/>
      <c r="CO24" s="278"/>
      <c r="CP24" s="268"/>
      <c r="CQ24" s="268"/>
      <c r="CR24" s="267"/>
      <c r="CS24" s="267"/>
      <c r="CT24" s="267"/>
      <c r="CU24" s="267"/>
      <c r="CV24" s="267"/>
      <c r="CW24" s="267"/>
      <c r="CX24" s="267"/>
      <c r="CY24" s="267"/>
      <c r="CZ24" s="267"/>
      <c r="DA24" s="267"/>
    </row>
    <row r="25" spans="1:105" ht="260.10000000000002" customHeight="1">
      <c r="A25" s="74">
        <v>46234</v>
      </c>
      <c r="B25" s="75" t="s">
        <v>277</v>
      </c>
      <c r="C25" s="5" t="s">
        <v>77</v>
      </c>
      <c r="D25" s="76">
        <v>7503057496305</v>
      </c>
      <c r="E25" s="77" t="s">
        <v>754</v>
      </c>
      <c r="F25" s="78" t="s">
        <v>755</v>
      </c>
      <c r="G25" s="79" t="s">
        <v>60</v>
      </c>
      <c r="H25" s="80" t="s">
        <v>756</v>
      </c>
      <c r="I25" s="80" t="s">
        <v>679</v>
      </c>
      <c r="J25" s="78" t="s">
        <v>281</v>
      </c>
      <c r="K25" s="81">
        <v>1</v>
      </c>
      <c r="L25" s="391" t="s">
        <v>757</v>
      </c>
      <c r="M25" s="80"/>
      <c r="N25" s="82" t="s">
        <v>758</v>
      </c>
      <c r="O25" s="80"/>
      <c r="P25" s="78" t="s">
        <v>69</v>
      </c>
      <c r="Q25" s="78" t="s">
        <v>69</v>
      </c>
      <c r="R25" s="80" t="s">
        <v>69</v>
      </c>
      <c r="S25" s="80" t="s">
        <v>69</v>
      </c>
      <c r="T25" s="84">
        <v>0.111666666666667</v>
      </c>
      <c r="U25" s="85" t="s">
        <v>64</v>
      </c>
      <c r="V25" s="85">
        <v>30000</v>
      </c>
      <c r="W25" s="86" t="e">
        <f t="shared" si="13"/>
        <v>#VALUE!</v>
      </c>
      <c r="X25" s="86" t="e">
        <f t="shared" si="0"/>
        <v>#VALUE!</v>
      </c>
      <c r="Y25" s="86" t="e">
        <v>#VALUE!</v>
      </c>
      <c r="Z25" s="86" t="e">
        <f t="shared" si="1"/>
        <v>#VALUE!</v>
      </c>
      <c r="AA25" s="86">
        <v>0.2</v>
      </c>
      <c r="AB25" s="86"/>
      <c r="AC25" s="86">
        <v>39</v>
      </c>
      <c r="AD25" s="87" t="s">
        <v>759</v>
      </c>
      <c r="AE25" s="88">
        <v>49</v>
      </c>
      <c r="AF25" s="86">
        <f t="shared" si="2"/>
        <v>42.241379310344833</v>
      </c>
      <c r="AG25" s="86">
        <f t="shared" si="3"/>
        <v>25.3448275862069</v>
      </c>
      <c r="AH25" s="89">
        <f t="shared" si="4"/>
        <v>7.8911564625850326E-3</v>
      </c>
      <c r="AI25" s="89">
        <f t="shared" si="5"/>
        <v>0.99210884353741502</v>
      </c>
      <c r="AJ25" s="90">
        <f t="shared" si="6"/>
        <v>0.4</v>
      </c>
      <c r="AK25" s="75" t="s">
        <v>488</v>
      </c>
      <c r="AL25" s="80" t="s">
        <v>67</v>
      </c>
      <c r="AM25" s="91">
        <v>12</v>
      </c>
      <c r="AN25" s="29">
        <v>48</v>
      </c>
      <c r="AO25" s="344" t="s">
        <v>724</v>
      </c>
      <c r="AP25" s="355">
        <v>46284</v>
      </c>
      <c r="AR25" s="67">
        <f t="shared" si="16"/>
        <v>31.85</v>
      </c>
      <c r="AS25" s="63">
        <f t="shared" si="7"/>
        <v>27.456896551724142</v>
      </c>
      <c r="AT25" s="64">
        <f t="shared" si="8"/>
        <v>7.2841444270015689E-3</v>
      </c>
      <c r="AU25" s="65">
        <f t="shared" si="9"/>
        <v>0.99271585557299846</v>
      </c>
      <c r="AV25" s="33">
        <f t="shared" si="10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/>
      <c r="BI25" s="3"/>
      <c r="BJ25" s="3">
        <v>9</v>
      </c>
      <c r="BK25" s="3">
        <f t="shared" si="11"/>
        <v>7</v>
      </c>
      <c r="BL25" s="292">
        <f t="shared" si="12"/>
        <v>0.77777777777777779</v>
      </c>
      <c r="BM25" s="295"/>
      <c r="BN25" s="295"/>
      <c r="BO25" s="295"/>
      <c r="BP25" s="295"/>
      <c r="BQ25" s="295"/>
      <c r="BR25" s="294" t="str">
        <f t="shared" si="14"/>
        <v>En produccion</v>
      </c>
      <c r="BS25" s="284">
        <f t="shared" si="15"/>
        <v>46284</v>
      </c>
      <c r="BT25" s="278" t="s">
        <v>679</v>
      </c>
      <c r="CJ25" s="278"/>
      <c r="CK25" s="278"/>
      <c r="CL25" s="278"/>
      <c r="CM25" s="278"/>
      <c r="CN25" s="278"/>
      <c r="CO25" s="278"/>
      <c r="CP25" s="268"/>
      <c r="CQ25" s="268"/>
      <c r="CR25" s="267"/>
      <c r="CS25" s="267"/>
      <c r="CT25" s="267"/>
      <c r="CU25" s="267"/>
      <c r="CV25" s="267"/>
      <c r="CW25" s="267"/>
      <c r="CX25" s="267"/>
      <c r="CY25" s="267"/>
      <c r="CZ25" s="267"/>
      <c r="DA25" s="267"/>
    </row>
    <row r="26" spans="1:105" ht="409.6">
      <c r="A26" s="74">
        <v>46234</v>
      </c>
      <c r="B26" s="75" t="s">
        <v>277</v>
      </c>
      <c r="C26" s="5" t="s">
        <v>77</v>
      </c>
      <c r="D26" s="76">
        <v>7503057496312</v>
      </c>
      <c r="E26" s="77" t="s">
        <v>760</v>
      </c>
      <c r="F26" s="78" t="s">
        <v>761</v>
      </c>
      <c r="G26" s="79" t="s">
        <v>60</v>
      </c>
      <c r="H26" s="80" t="s">
        <v>756</v>
      </c>
      <c r="I26" s="80" t="s">
        <v>679</v>
      </c>
      <c r="J26" s="78" t="s">
        <v>281</v>
      </c>
      <c r="K26" s="81">
        <v>1</v>
      </c>
      <c r="L26" s="391" t="s">
        <v>762</v>
      </c>
      <c r="M26" s="80"/>
      <c r="N26" s="82" t="s">
        <v>763</v>
      </c>
      <c r="O26" s="80"/>
      <c r="P26" s="78" t="s">
        <v>69</v>
      </c>
      <c r="Q26" s="78" t="s">
        <v>69</v>
      </c>
      <c r="R26" s="80" t="s">
        <v>69</v>
      </c>
      <c r="S26" s="80" t="s">
        <v>69</v>
      </c>
      <c r="T26" s="84">
        <v>0.32500000000000001</v>
      </c>
      <c r="U26" s="85" t="s">
        <v>64</v>
      </c>
      <c r="V26" s="85">
        <v>30000</v>
      </c>
      <c r="W26" s="86" t="e">
        <f t="shared" si="13"/>
        <v>#VALUE!</v>
      </c>
      <c r="X26" s="86" t="e">
        <f t="shared" si="0"/>
        <v>#VALUE!</v>
      </c>
      <c r="Y26" s="86" t="e">
        <v>#VALUE!</v>
      </c>
      <c r="Z26" s="86" t="e">
        <f t="shared" si="1"/>
        <v>#VALUE!</v>
      </c>
      <c r="AA26" s="86">
        <v>0.57999999999999996</v>
      </c>
      <c r="AB26" s="86"/>
      <c r="AC26" s="86">
        <v>39</v>
      </c>
      <c r="AD26" s="87" t="s">
        <v>764</v>
      </c>
      <c r="AE26" s="88">
        <v>69</v>
      </c>
      <c r="AF26" s="86">
        <f t="shared" si="2"/>
        <v>59.482758620689658</v>
      </c>
      <c r="AG26" s="86">
        <f t="shared" si="3"/>
        <v>35.689655172413794</v>
      </c>
      <c r="AH26" s="89">
        <f t="shared" si="4"/>
        <v>1.6251207729468597E-2</v>
      </c>
      <c r="AI26" s="89">
        <f t="shared" si="5"/>
        <v>0.98374879227053136</v>
      </c>
      <c r="AJ26" s="90">
        <f t="shared" si="6"/>
        <v>0.4</v>
      </c>
      <c r="AK26" s="75" t="s">
        <v>488</v>
      </c>
      <c r="AL26" s="80" t="s">
        <v>67</v>
      </c>
      <c r="AM26" s="91">
        <v>12</v>
      </c>
      <c r="AN26" s="29">
        <v>48</v>
      </c>
      <c r="AO26" s="344" t="s">
        <v>724</v>
      </c>
      <c r="AP26" s="355">
        <v>46284</v>
      </c>
      <c r="AR26" s="67">
        <f t="shared" si="16"/>
        <v>44.85</v>
      </c>
      <c r="AS26" s="63">
        <f t="shared" si="7"/>
        <v>38.663793103448278</v>
      </c>
      <c r="AT26" s="64">
        <f t="shared" si="8"/>
        <v>1.5001114827201782E-2</v>
      </c>
      <c r="AU26" s="65">
        <f t="shared" si="9"/>
        <v>0.98499888517279821</v>
      </c>
      <c r="AV26" s="33">
        <f t="shared" si="10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>
        <v>1</v>
      </c>
      <c r="BH26" s="3"/>
      <c r="BI26" s="3"/>
      <c r="BJ26" s="3">
        <v>9</v>
      </c>
      <c r="BK26" s="3">
        <f t="shared" si="11"/>
        <v>7</v>
      </c>
      <c r="BL26" s="292">
        <f t="shared" si="12"/>
        <v>0.77777777777777779</v>
      </c>
      <c r="BM26" s="295"/>
      <c r="BN26" s="295"/>
      <c r="BO26" s="295"/>
      <c r="BP26" s="295"/>
      <c r="BQ26" s="295"/>
      <c r="BR26" s="294" t="str">
        <f t="shared" si="14"/>
        <v>En produccion</v>
      </c>
      <c r="BS26" s="284">
        <f t="shared" si="15"/>
        <v>46284</v>
      </c>
      <c r="BT26" s="278" t="s">
        <v>679</v>
      </c>
      <c r="CJ26" s="278"/>
      <c r="CK26" s="278"/>
      <c r="CL26" s="278"/>
      <c r="CM26" s="278"/>
      <c r="CN26" s="278"/>
      <c r="CO26" s="278"/>
      <c r="CP26" s="268"/>
      <c r="CQ26" s="268"/>
      <c r="CR26" s="267"/>
      <c r="CS26" s="267"/>
      <c r="CT26" s="267"/>
      <c r="CU26" s="267"/>
      <c r="CV26" s="267"/>
      <c r="CW26" s="267"/>
      <c r="CX26" s="267"/>
      <c r="CY26" s="267"/>
      <c r="CZ26" s="267"/>
      <c r="DA26" s="267"/>
    </row>
    <row r="27" spans="1:105" ht="345.75">
      <c r="A27" s="74">
        <v>46234</v>
      </c>
      <c r="B27" s="75" t="s">
        <v>277</v>
      </c>
      <c r="C27" s="5" t="s">
        <v>77</v>
      </c>
      <c r="D27" s="76">
        <v>7503057496329</v>
      </c>
      <c r="E27" s="77" t="s">
        <v>765</v>
      </c>
      <c r="F27" s="78" t="s">
        <v>766</v>
      </c>
      <c r="G27" s="79" t="s">
        <v>60</v>
      </c>
      <c r="H27" s="80" t="s">
        <v>508</v>
      </c>
      <c r="I27" s="80" t="s">
        <v>679</v>
      </c>
      <c r="J27" s="78" t="s">
        <v>281</v>
      </c>
      <c r="K27" s="81">
        <v>1</v>
      </c>
      <c r="L27" s="78" t="s">
        <v>69</v>
      </c>
      <c r="M27" s="80"/>
      <c r="N27" s="78" t="s">
        <v>767</v>
      </c>
      <c r="O27" s="80"/>
      <c r="P27" s="78" t="s">
        <v>69</v>
      </c>
      <c r="Q27" s="78" t="s">
        <v>69</v>
      </c>
      <c r="R27" s="80" t="s">
        <v>69</v>
      </c>
      <c r="S27" s="80" t="s">
        <v>69</v>
      </c>
      <c r="T27" s="84">
        <v>8.3000000000000004E-2</v>
      </c>
      <c r="U27" s="85" t="s">
        <v>64</v>
      </c>
      <c r="V27" s="85">
        <v>30000</v>
      </c>
      <c r="W27" s="86" t="e">
        <f t="shared" si="13"/>
        <v>#VALUE!</v>
      </c>
      <c r="X27" s="86" t="e">
        <f t="shared" si="0"/>
        <v>#VALUE!</v>
      </c>
      <c r="Y27" s="86" t="e">
        <v>#VALUE!</v>
      </c>
      <c r="Z27" s="86" t="e">
        <f t="shared" si="1"/>
        <v>#VALUE!</v>
      </c>
      <c r="AA27" s="86">
        <v>0.15</v>
      </c>
      <c r="AB27" s="86"/>
      <c r="AC27" s="86">
        <v>39</v>
      </c>
      <c r="AD27" s="87" t="s">
        <v>768</v>
      </c>
      <c r="AE27" s="88">
        <v>19.899999999999999</v>
      </c>
      <c r="AF27" s="86">
        <f t="shared" si="2"/>
        <v>17.155172413793103</v>
      </c>
      <c r="AG27" s="86">
        <f t="shared" si="3"/>
        <v>10.293103448275861</v>
      </c>
      <c r="AH27" s="89">
        <f t="shared" si="4"/>
        <v>1.457286432160804E-2</v>
      </c>
      <c r="AI27" s="89">
        <f t="shared" si="5"/>
        <v>0.98542713567839191</v>
      </c>
      <c r="AJ27" s="90">
        <f t="shared" si="6"/>
        <v>0.4</v>
      </c>
      <c r="AK27" s="75" t="s">
        <v>488</v>
      </c>
      <c r="AL27" s="80" t="s">
        <v>67</v>
      </c>
      <c r="AM27" s="91">
        <v>12</v>
      </c>
      <c r="AN27" s="29">
        <v>48</v>
      </c>
      <c r="AO27" s="344" t="s">
        <v>724</v>
      </c>
      <c r="AP27" s="355">
        <v>46293</v>
      </c>
      <c r="AR27" s="67">
        <f t="shared" si="16"/>
        <v>12.934999999999999</v>
      </c>
      <c r="AS27" s="63">
        <f t="shared" si="7"/>
        <v>11.150862068965518</v>
      </c>
      <c r="AT27" s="64">
        <f t="shared" si="8"/>
        <v>1.3451874758407421E-2</v>
      </c>
      <c r="AU27" s="65">
        <f t="shared" si="9"/>
        <v>0.98654812524159263</v>
      </c>
      <c r="AV27" s="33">
        <f t="shared" si="10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>
        <v>1</v>
      </c>
      <c r="BH27" s="3"/>
      <c r="BI27" s="3"/>
      <c r="BJ27" s="3">
        <v>9</v>
      </c>
      <c r="BK27" s="3">
        <f t="shared" si="11"/>
        <v>7</v>
      </c>
      <c r="BL27" s="292">
        <f t="shared" si="12"/>
        <v>0.77777777777777779</v>
      </c>
      <c r="BM27" s="295"/>
      <c r="BN27" s="295"/>
      <c r="BO27" s="295"/>
      <c r="BP27" s="295"/>
      <c r="BQ27" s="295"/>
      <c r="BR27" s="294" t="str">
        <f t="shared" si="14"/>
        <v>En produccion</v>
      </c>
      <c r="BS27" s="284">
        <f t="shared" si="15"/>
        <v>46293</v>
      </c>
      <c r="BT27" s="278" t="s">
        <v>679</v>
      </c>
      <c r="CJ27" s="278"/>
      <c r="CK27" s="278"/>
      <c r="CL27" s="278"/>
      <c r="CM27" s="278"/>
      <c r="CN27" s="278"/>
      <c r="CO27" s="278"/>
      <c r="CP27" s="268"/>
      <c r="CQ27" s="268"/>
      <c r="CR27" s="267"/>
      <c r="CS27" s="267"/>
      <c r="CT27" s="267"/>
      <c r="CU27" s="267"/>
      <c r="CV27" s="267"/>
      <c r="CW27" s="267"/>
      <c r="CX27" s="267"/>
      <c r="CY27" s="267"/>
      <c r="CZ27" s="267"/>
      <c r="DA27" s="267"/>
    </row>
    <row r="28" spans="1:105" ht="345.75">
      <c r="A28" s="74">
        <v>46234</v>
      </c>
      <c r="B28" s="75" t="s">
        <v>277</v>
      </c>
      <c r="C28" s="5" t="s">
        <v>77</v>
      </c>
      <c r="D28" s="76">
        <v>7503057496336</v>
      </c>
      <c r="E28" s="77" t="s">
        <v>769</v>
      </c>
      <c r="F28" s="78" t="s">
        <v>770</v>
      </c>
      <c r="G28" s="79" t="s">
        <v>60</v>
      </c>
      <c r="H28" s="80" t="s">
        <v>508</v>
      </c>
      <c r="I28" s="80" t="s">
        <v>679</v>
      </c>
      <c r="J28" s="78" t="s">
        <v>281</v>
      </c>
      <c r="K28" s="81">
        <v>1</v>
      </c>
      <c r="L28" s="78" t="s">
        <v>69</v>
      </c>
      <c r="M28" s="80"/>
      <c r="N28" s="78" t="s">
        <v>771</v>
      </c>
      <c r="O28" s="80"/>
      <c r="P28" s="78" t="s">
        <v>69</v>
      </c>
      <c r="Q28" s="78" t="s">
        <v>69</v>
      </c>
      <c r="R28" s="80" t="s">
        <v>69</v>
      </c>
      <c r="S28" s="80" t="s">
        <v>69</v>
      </c>
      <c r="T28" s="84">
        <v>8.3000000000000004E-2</v>
      </c>
      <c r="U28" s="85" t="s">
        <v>64</v>
      </c>
      <c r="V28" s="85">
        <v>30000</v>
      </c>
      <c r="W28" s="86" t="e">
        <f t="shared" si="13"/>
        <v>#VALUE!</v>
      </c>
      <c r="X28" s="86" t="e">
        <f t="shared" si="0"/>
        <v>#VALUE!</v>
      </c>
      <c r="Y28" s="86" t="e">
        <v>#VALUE!</v>
      </c>
      <c r="Z28" s="86" t="e">
        <f t="shared" si="1"/>
        <v>#VALUE!</v>
      </c>
      <c r="AA28" s="86">
        <v>0.15</v>
      </c>
      <c r="AB28" s="86"/>
      <c r="AC28" s="86">
        <v>39</v>
      </c>
      <c r="AD28" s="87" t="s">
        <v>772</v>
      </c>
      <c r="AE28" s="88">
        <v>19.899999999999999</v>
      </c>
      <c r="AF28" s="86">
        <f t="shared" si="2"/>
        <v>17.155172413793103</v>
      </c>
      <c r="AG28" s="86">
        <f t="shared" si="3"/>
        <v>10.293103448275861</v>
      </c>
      <c r="AH28" s="89">
        <f t="shared" si="4"/>
        <v>1.457286432160804E-2</v>
      </c>
      <c r="AI28" s="89">
        <f t="shared" si="5"/>
        <v>0.98542713567839191</v>
      </c>
      <c r="AJ28" s="90">
        <f t="shared" si="6"/>
        <v>0.4</v>
      </c>
      <c r="AK28" s="75" t="s">
        <v>488</v>
      </c>
      <c r="AL28" s="80" t="s">
        <v>67</v>
      </c>
      <c r="AM28" s="91">
        <v>12</v>
      </c>
      <c r="AN28" s="29">
        <v>48</v>
      </c>
      <c r="AO28" s="344" t="s">
        <v>773</v>
      </c>
      <c r="AP28" s="355">
        <v>46312</v>
      </c>
      <c r="AR28" s="67">
        <f t="shared" si="16"/>
        <v>12.934999999999999</v>
      </c>
      <c r="AS28" s="63">
        <f t="shared" si="7"/>
        <v>11.150862068965518</v>
      </c>
      <c r="AT28" s="64">
        <f t="shared" si="8"/>
        <v>1.3451874758407421E-2</v>
      </c>
      <c r="AU28" s="65">
        <f t="shared" si="9"/>
        <v>0.98654812524159263</v>
      </c>
      <c r="AV28" s="33">
        <f t="shared" si="10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>
        <v>1</v>
      </c>
      <c r="BH28" s="3"/>
      <c r="BI28" s="3"/>
      <c r="BJ28" s="3">
        <v>9</v>
      </c>
      <c r="BK28" s="3">
        <f t="shared" si="11"/>
        <v>7</v>
      </c>
      <c r="BL28" s="292">
        <f t="shared" si="12"/>
        <v>0.77777777777777779</v>
      </c>
      <c r="BM28" s="295"/>
      <c r="BN28" s="295"/>
      <c r="BO28" s="295"/>
      <c r="BP28" s="295"/>
      <c r="BQ28" s="295"/>
      <c r="BR28" s="294" t="str">
        <f t="shared" si="14"/>
        <v>Pendiente de PP de sachets</v>
      </c>
      <c r="BS28" s="284">
        <f t="shared" si="15"/>
        <v>46312</v>
      </c>
      <c r="BT28" s="278" t="s">
        <v>679</v>
      </c>
      <c r="CJ28" s="278"/>
      <c r="CK28" s="278"/>
      <c r="CL28" s="278"/>
      <c r="CM28" s="278"/>
      <c r="CN28" s="278"/>
      <c r="CO28" s="278"/>
      <c r="CP28" s="268"/>
      <c r="CQ28" s="268"/>
      <c r="CR28" s="267"/>
      <c r="CS28" s="267"/>
      <c r="CT28" s="267"/>
      <c r="CU28" s="267"/>
      <c r="CV28" s="267"/>
      <c r="CW28" s="267"/>
      <c r="CX28" s="267"/>
      <c r="CY28" s="267"/>
      <c r="CZ28" s="267"/>
      <c r="DA28" s="267"/>
    </row>
    <row r="29" spans="1:105" ht="153.75">
      <c r="A29" s="74">
        <v>46234</v>
      </c>
      <c r="B29" s="75" t="s">
        <v>277</v>
      </c>
      <c r="C29" s="5" t="s">
        <v>77</v>
      </c>
      <c r="D29" s="76">
        <v>7503057496343</v>
      </c>
      <c r="E29" s="77" t="s">
        <v>774</v>
      </c>
      <c r="F29" s="78" t="s">
        <v>775</v>
      </c>
      <c r="G29" s="79" t="s">
        <v>60</v>
      </c>
      <c r="H29" s="80" t="s">
        <v>508</v>
      </c>
      <c r="I29" s="80" t="s">
        <v>679</v>
      </c>
      <c r="J29" s="78" t="s">
        <v>281</v>
      </c>
      <c r="K29" s="81">
        <v>1</v>
      </c>
      <c r="L29" s="78" t="s">
        <v>69</v>
      </c>
      <c r="M29" s="80"/>
      <c r="N29" s="78" t="s">
        <v>776</v>
      </c>
      <c r="O29" s="80"/>
      <c r="P29" s="78" t="s">
        <v>69</v>
      </c>
      <c r="Q29" s="78" t="s">
        <v>69</v>
      </c>
      <c r="R29" s="80" t="s">
        <v>69</v>
      </c>
      <c r="S29" s="80" t="s">
        <v>69</v>
      </c>
      <c r="T29" s="84">
        <v>8.3000000000000004E-2</v>
      </c>
      <c r="U29" s="85" t="s">
        <v>64</v>
      </c>
      <c r="V29" s="85">
        <v>30000</v>
      </c>
      <c r="W29" s="86" t="e">
        <f t="shared" si="13"/>
        <v>#VALUE!</v>
      </c>
      <c r="X29" s="86" t="e">
        <f t="shared" si="0"/>
        <v>#VALUE!</v>
      </c>
      <c r="Y29" s="86" t="e">
        <v>#VALUE!</v>
      </c>
      <c r="Z29" s="86" t="e">
        <f t="shared" si="1"/>
        <v>#VALUE!</v>
      </c>
      <c r="AA29" s="86">
        <v>0.15</v>
      </c>
      <c r="AB29" s="86" t="s">
        <v>777</v>
      </c>
      <c r="AC29" s="86">
        <v>39</v>
      </c>
      <c r="AD29" s="87" t="s">
        <v>778</v>
      </c>
      <c r="AE29" s="88">
        <v>19.899999999999999</v>
      </c>
      <c r="AF29" s="86">
        <f t="shared" si="2"/>
        <v>17.155172413793103</v>
      </c>
      <c r="AG29" s="86">
        <f t="shared" si="3"/>
        <v>10.293103448275861</v>
      </c>
      <c r="AH29" s="89">
        <f t="shared" si="4"/>
        <v>1.457286432160804E-2</v>
      </c>
      <c r="AI29" s="89">
        <f t="shared" si="5"/>
        <v>0.98542713567839191</v>
      </c>
      <c r="AJ29" s="90">
        <f t="shared" si="6"/>
        <v>0.4</v>
      </c>
      <c r="AK29" s="75" t="s">
        <v>488</v>
      </c>
      <c r="AL29" s="80" t="s">
        <v>67</v>
      </c>
      <c r="AM29" s="91">
        <v>12</v>
      </c>
      <c r="AN29" s="29">
        <v>48</v>
      </c>
      <c r="AO29" s="344" t="s">
        <v>773</v>
      </c>
      <c r="AP29" s="355">
        <v>46300</v>
      </c>
      <c r="AR29" s="67">
        <f t="shared" si="16"/>
        <v>12.934999999999999</v>
      </c>
      <c r="AS29" s="63">
        <f t="shared" si="7"/>
        <v>11.150862068965518</v>
      </c>
      <c r="AT29" s="64">
        <f t="shared" si="8"/>
        <v>1.3451874758407421E-2</v>
      </c>
      <c r="AU29" s="65">
        <f t="shared" si="9"/>
        <v>0.98654812524159263</v>
      </c>
      <c r="AV29" s="33">
        <f t="shared" si="10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>
        <v>1</v>
      </c>
      <c r="BH29" s="3"/>
      <c r="BI29" s="3"/>
      <c r="BJ29" s="3">
        <v>9</v>
      </c>
      <c r="BK29" s="3">
        <f t="shared" si="11"/>
        <v>7</v>
      </c>
      <c r="BL29" s="292">
        <f t="shared" si="12"/>
        <v>0.77777777777777779</v>
      </c>
      <c r="BM29" s="295"/>
      <c r="BN29" s="295"/>
      <c r="BO29" s="295"/>
      <c r="BP29" s="295"/>
      <c r="BQ29" s="295"/>
      <c r="BR29" s="294" t="str">
        <f t="shared" si="14"/>
        <v>Pendiente de PP de sachets</v>
      </c>
      <c r="BS29" s="284">
        <f t="shared" si="15"/>
        <v>46300</v>
      </c>
      <c r="BT29" s="278" t="s">
        <v>679</v>
      </c>
      <c r="CJ29" s="278"/>
      <c r="CK29" s="278"/>
      <c r="CL29" s="278"/>
      <c r="CM29" s="278"/>
      <c r="CN29" s="278"/>
      <c r="CO29" s="278"/>
      <c r="CP29" s="268"/>
      <c r="CQ29" s="268"/>
      <c r="CR29" s="267"/>
      <c r="CS29" s="267"/>
      <c r="CT29" s="267"/>
      <c r="CU29" s="267"/>
      <c r="CV29" s="267"/>
      <c r="CW29" s="267"/>
      <c r="CX29" s="267"/>
      <c r="CY29" s="267"/>
      <c r="CZ29" s="267"/>
      <c r="DA29" s="267"/>
    </row>
    <row r="30" spans="1:105" ht="192">
      <c r="A30" s="74">
        <v>46234</v>
      </c>
      <c r="B30" s="75" t="s">
        <v>277</v>
      </c>
      <c r="C30" s="5" t="s">
        <v>77</v>
      </c>
      <c r="D30" s="76">
        <v>7503057496350</v>
      </c>
      <c r="E30" s="77" t="s">
        <v>779</v>
      </c>
      <c r="F30" s="78" t="s">
        <v>780</v>
      </c>
      <c r="G30" s="79" t="s">
        <v>60</v>
      </c>
      <c r="H30" s="80" t="s">
        <v>508</v>
      </c>
      <c r="I30" s="80" t="s">
        <v>679</v>
      </c>
      <c r="J30" s="78" t="s">
        <v>281</v>
      </c>
      <c r="K30" s="81">
        <v>1</v>
      </c>
      <c r="L30" s="78" t="s">
        <v>69</v>
      </c>
      <c r="M30" s="80"/>
      <c r="N30" s="82" t="s">
        <v>781</v>
      </c>
      <c r="O30" s="80"/>
      <c r="P30" s="78" t="s">
        <v>69</v>
      </c>
      <c r="Q30" s="78" t="s">
        <v>69</v>
      </c>
      <c r="R30" s="80" t="s">
        <v>69</v>
      </c>
      <c r="S30" s="80" t="s">
        <v>69</v>
      </c>
      <c r="T30" s="84">
        <v>8.3000000000000004E-2</v>
      </c>
      <c r="U30" s="85" t="s">
        <v>64</v>
      </c>
      <c r="V30" s="85">
        <v>30000</v>
      </c>
      <c r="W30" s="86" t="e">
        <f t="shared" si="13"/>
        <v>#VALUE!</v>
      </c>
      <c r="X30" s="86" t="e">
        <f t="shared" si="0"/>
        <v>#VALUE!</v>
      </c>
      <c r="Y30" s="86" t="e">
        <v>#VALUE!</v>
      </c>
      <c r="Z30" s="86" t="e">
        <f t="shared" si="1"/>
        <v>#VALUE!</v>
      </c>
      <c r="AA30" s="86">
        <v>0.15</v>
      </c>
      <c r="AB30" s="86" t="s">
        <v>717</v>
      </c>
      <c r="AC30" s="86">
        <v>39</v>
      </c>
      <c r="AD30" s="82" t="s">
        <v>782</v>
      </c>
      <c r="AE30" s="88">
        <v>19.899999999999999</v>
      </c>
      <c r="AF30" s="86">
        <f t="shared" si="2"/>
        <v>17.155172413793103</v>
      </c>
      <c r="AG30" s="86">
        <f t="shared" si="3"/>
        <v>10.293103448275861</v>
      </c>
      <c r="AH30" s="89">
        <f t="shared" si="4"/>
        <v>1.457286432160804E-2</v>
      </c>
      <c r="AI30" s="89">
        <f t="shared" si="5"/>
        <v>0.98542713567839191</v>
      </c>
      <c r="AJ30" s="90">
        <f t="shared" si="6"/>
        <v>0.4</v>
      </c>
      <c r="AK30" s="75" t="s">
        <v>488</v>
      </c>
      <c r="AL30" s="80" t="s">
        <v>67</v>
      </c>
      <c r="AM30" s="91">
        <v>12</v>
      </c>
      <c r="AN30" s="29">
        <v>48</v>
      </c>
      <c r="AO30" s="344" t="s">
        <v>724</v>
      </c>
      <c r="AP30" s="355">
        <v>46293</v>
      </c>
      <c r="AR30" s="67">
        <f t="shared" si="16"/>
        <v>12.934999999999999</v>
      </c>
      <c r="AS30" s="63">
        <f t="shared" si="7"/>
        <v>11.150862068965518</v>
      </c>
      <c r="AT30" s="64">
        <f t="shared" si="8"/>
        <v>1.3451874758407421E-2</v>
      </c>
      <c r="AU30" s="65">
        <f t="shared" si="9"/>
        <v>0.98654812524159263</v>
      </c>
      <c r="AV30" s="33">
        <f t="shared" si="10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>
        <v>1</v>
      </c>
      <c r="BH30" s="3"/>
      <c r="BI30" s="3"/>
      <c r="BJ30" s="3">
        <v>9</v>
      </c>
      <c r="BK30" s="3">
        <f t="shared" si="11"/>
        <v>7</v>
      </c>
      <c r="BL30" s="292">
        <f t="shared" si="12"/>
        <v>0.77777777777777779</v>
      </c>
      <c r="BM30" s="295"/>
      <c r="BN30" s="295"/>
      <c r="BO30" s="295"/>
      <c r="BP30" s="295"/>
      <c r="BQ30" s="295"/>
      <c r="BR30" s="294" t="str">
        <f t="shared" si="14"/>
        <v>En produccion</v>
      </c>
      <c r="BS30" s="284">
        <f t="shared" si="15"/>
        <v>46293</v>
      </c>
      <c r="BT30" s="278" t="s">
        <v>679</v>
      </c>
      <c r="CJ30" s="278"/>
      <c r="CK30" s="278"/>
      <c r="CL30" s="278"/>
      <c r="CM30" s="278"/>
      <c r="CN30" s="278"/>
      <c r="CO30" s="278"/>
      <c r="CP30" s="268"/>
      <c r="CQ30" s="268"/>
      <c r="CR30" s="267"/>
      <c r="CS30" s="267"/>
      <c r="CT30" s="267"/>
      <c r="CU30" s="267"/>
      <c r="CV30" s="267"/>
      <c r="CW30" s="267"/>
      <c r="CX30" s="267"/>
      <c r="CY30" s="267"/>
      <c r="CZ30" s="267"/>
      <c r="DA30" s="267"/>
    </row>
    <row r="31" spans="1:105" ht="192">
      <c r="A31" s="74">
        <v>46234</v>
      </c>
      <c r="B31" s="75" t="s">
        <v>277</v>
      </c>
      <c r="C31" s="5" t="s">
        <v>77</v>
      </c>
      <c r="D31" s="76">
        <v>7503057496367</v>
      </c>
      <c r="E31" s="77" t="s">
        <v>783</v>
      </c>
      <c r="F31" s="78" t="s">
        <v>784</v>
      </c>
      <c r="G31" s="79" t="s">
        <v>60</v>
      </c>
      <c r="H31" s="80" t="s">
        <v>508</v>
      </c>
      <c r="I31" s="80" t="s">
        <v>679</v>
      </c>
      <c r="J31" s="78" t="s">
        <v>281</v>
      </c>
      <c r="K31" s="81">
        <v>1</v>
      </c>
      <c r="L31" s="392" t="s">
        <v>69</v>
      </c>
      <c r="M31" s="80"/>
      <c r="N31" s="82" t="s">
        <v>785</v>
      </c>
      <c r="O31" s="80"/>
      <c r="P31" s="78" t="s">
        <v>69</v>
      </c>
      <c r="Q31" s="78" t="s">
        <v>69</v>
      </c>
      <c r="R31" s="80" t="s">
        <v>69</v>
      </c>
      <c r="S31" s="80" t="s">
        <v>69</v>
      </c>
      <c r="T31" s="84">
        <v>8.3000000000000004E-2</v>
      </c>
      <c r="U31" s="85" t="s">
        <v>64</v>
      </c>
      <c r="V31" s="85">
        <v>30000</v>
      </c>
      <c r="W31" s="86" t="e">
        <f t="shared" si="13"/>
        <v>#VALUE!</v>
      </c>
      <c r="X31" s="86" t="e">
        <f t="shared" si="0"/>
        <v>#VALUE!</v>
      </c>
      <c r="Y31" s="86" t="e">
        <v>#VALUE!</v>
      </c>
      <c r="Z31" s="86" t="e">
        <f t="shared" si="1"/>
        <v>#VALUE!</v>
      </c>
      <c r="AA31" s="86">
        <v>0.15</v>
      </c>
      <c r="AB31" s="86" t="s">
        <v>786</v>
      </c>
      <c r="AC31" s="86">
        <v>39</v>
      </c>
      <c r="AD31" s="87" t="s">
        <v>787</v>
      </c>
      <c r="AE31" s="88">
        <v>19.899999999999999</v>
      </c>
      <c r="AF31" s="86">
        <f t="shared" si="2"/>
        <v>17.155172413793103</v>
      </c>
      <c r="AG31" s="86">
        <f t="shared" si="3"/>
        <v>10.293103448275861</v>
      </c>
      <c r="AH31" s="89">
        <f t="shared" si="4"/>
        <v>1.457286432160804E-2</v>
      </c>
      <c r="AI31" s="89">
        <f t="shared" si="5"/>
        <v>0.98542713567839191</v>
      </c>
      <c r="AJ31" s="90">
        <f t="shared" si="6"/>
        <v>0.4</v>
      </c>
      <c r="AK31" s="75" t="s">
        <v>488</v>
      </c>
      <c r="AL31" s="80" t="s">
        <v>67</v>
      </c>
      <c r="AM31" s="91">
        <v>12</v>
      </c>
      <c r="AN31" s="29">
        <v>48</v>
      </c>
      <c r="AO31" s="344" t="s">
        <v>724</v>
      </c>
      <c r="AP31" s="355">
        <v>46293</v>
      </c>
      <c r="AR31" s="67">
        <f t="shared" si="16"/>
        <v>12.934999999999999</v>
      </c>
      <c r="AS31" s="63">
        <f t="shared" si="7"/>
        <v>11.150862068965518</v>
      </c>
      <c r="AT31" s="64">
        <f t="shared" si="8"/>
        <v>1.3451874758407421E-2</v>
      </c>
      <c r="AU31" s="65">
        <f t="shared" si="9"/>
        <v>0.98654812524159263</v>
      </c>
      <c r="AV31" s="33">
        <f t="shared" si="10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>
        <v>1</v>
      </c>
      <c r="BH31" s="3"/>
      <c r="BI31" s="3"/>
      <c r="BJ31" s="3">
        <v>9</v>
      </c>
      <c r="BK31" s="3">
        <f t="shared" si="11"/>
        <v>7</v>
      </c>
      <c r="BL31" s="292">
        <f t="shared" si="12"/>
        <v>0.77777777777777779</v>
      </c>
      <c r="BM31" s="295"/>
      <c r="BN31" s="295"/>
      <c r="BO31" s="295"/>
      <c r="BP31" s="295"/>
      <c r="BQ31" s="295"/>
      <c r="BR31" s="294" t="str">
        <f t="shared" si="14"/>
        <v>En produccion</v>
      </c>
      <c r="BS31" s="284">
        <f t="shared" si="15"/>
        <v>46293</v>
      </c>
      <c r="BT31" s="278" t="s">
        <v>679</v>
      </c>
      <c r="CJ31" s="278"/>
      <c r="CK31" s="278"/>
      <c r="CL31" s="278"/>
      <c r="CM31" s="278"/>
      <c r="CN31" s="278"/>
      <c r="CO31" s="278"/>
      <c r="CP31" s="268"/>
      <c r="CQ31" s="268"/>
      <c r="CR31" s="267"/>
      <c r="CS31" s="267"/>
      <c r="CT31" s="267"/>
      <c r="CU31" s="267"/>
      <c r="CV31" s="267"/>
      <c r="CW31" s="267"/>
      <c r="CX31" s="267"/>
      <c r="CY31" s="267"/>
      <c r="CZ31" s="267"/>
      <c r="DA31" s="267"/>
    </row>
    <row r="32" spans="1:105" ht="409.6">
      <c r="A32" s="74">
        <v>46234</v>
      </c>
      <c r="B32" s="75" t="s">
        <v>277</v>
      </c>
      <c r="C32" s="5" t="s">
        <v>77</v>
      </c>
      <c r="D32" s="76">
        <v>7503057496374</v>
      </c>
      <c r="E32" s="77" t="s">
        <v>788</v>
      </c>
      <c r="F32" s="78" t="s">
        <v>789</v>
      </c>
      <c r="G32" s="79"/>
      <c r="H32" s="80" t="s">
        <v>492</v>
      </c>
      <c r="I32" s="80" t="s">
        <v>679</v>
      </c>
      <c r="J32" s="78" t="s">
        <v>281</v>
      </c>
      <c r="K32" s="81">
        <v>1</v>
      </c>
      <c r="L32" s="392" t="s">
        <v>790</v>
      </c>
      <c r="M32" s="80"/>
      <c r="N32" s="82" t="s">
        <v>791</v>
      </c>
      <c r="O32" s="80"/>
      <c r="P32" s="78" t="s">
        <v>69</v>
      </c>
      <c r="Q32" s="78" t="s">
        <v>69</v>
      </c>
      <c r="R32" s="80" t="s">
        <v>69</v>
      </c>
      <c r="S32" s="80" t="s">
        <v>69</v>
      </c>
      <c r="T32" s="98">
        <v>0.7</v>
      </c>
      <c r="U32" s="85" t="s">
        <v>64</v>
      </c>
      <c r="V32" s="85">
        <v>10000</v>
      </c>
      <c r="W32" s="86" t="e">
        <f t="shared" si="13"/>
        <v>#VALUE!</v>
      </c>
      <c r="X32" s="86" t="e">
        <f t="shared" si="0"/>
        <v>#VALUE!</v>
      </c>
      <c r="Y32" s="86" t="e">
        <v>#VALUE!</v>
      </c>
      <c r="Z32" s="86" t="e">
        <f t="shared" si="1"/>
        <v>#VALUE!</v>
      </c>
      <c r="AA32" s="86">
        <v>1.91</v>
      </c>
      <c r="AB32" s="86" t="s">
        <v>748</v>
      </c>
      <c r="AC32" s="86">
        <v>119</v>
      </c>
      <c r="AD32" s="87" t="s">
        <v>792</v>
      </c>
      <c r="AE32" s="88">
        <v>149</v>
      </c>
      <c r="AF32" s="86">
        <f t="shared" si="2"/>
        <v>128.44827586206898</v>
      </c>
      <c r="AG32" s="86">
        <f t="shared" si="3"/>
        <v>77.068965517241381</v>
      </c>
      <c r="AH32" s="89">
        <f t="shared" si="4"/>
        <v>2.4782997762863534E-2</v>
      </c>
      <c r="AI32" s="89">
        <f t="shared" si="5"/>
        <v>0.97521700223713648</v>
      </c>
      <c r="AJ32" s="90">
        <f t="shared" si="6"/>
        <v>0.4</v>
      </c>
      <c r="AK32" s="75" t="s">
        <v>488</v>
      </c>
      <c r="AL32" s="80" t="s">
        <v>67</v>
      </c>
      <c r="AM32" s="91">
        <v>6</v>
      </c>
      <c r="AN32" s="29">
        <f>+AM32*12</f>
        <v>72</v>
      </c>
      <c r="AO32" s="344" t="s">
        <v>793</v>
      </c>
      <c r="AP32" s="355"/>
      <c r="AR32" s="67">
        <f t="shared" si="16"/>
        <v>96.850000000000009</v>
      </c>
      <c r="AS32" s="63">
        <f t="shared" si="7"/>
        <v>83.49137931034484</v>
      </c>
      <c r="AT32" s="64">
        <f t="shared" si="8"/>
        <v>2.2876613319566336E-2</v>
      </c>
      <c r="AU32" s="65">
        <f t="shared" si="9"/>
        <v>0.97712338668043364</v>
      </c>
      <c r="AV32" s="33">
        <f t="shared" si="10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>
        <v>1</v>
      </c>
      <c r="BH32" s="3"/>
      <c r="BI32" s="3"/>
      <c r="BJ32" s="3">
        <v>9</v>
      </c>
      <c r="BK32" s="3">
        <f t="shared" si="11"/>
        <v>7</v>
      </c>
      <c r="BL32" s="292">
        <f t="shared" si="12"/>
        <v>0.77777777777777779</v>
      </c>
      <c r="BM32" s="295"/>
      <c r="BN32" s="295"/>
      <c r="BO32" s="295"/>
      <c r="BP32" s="295"/>
      <c r="BQ32" s="295"/>
      <c r="BR32" s="294" t="str">
        <f t="shared" si="14"/>
        <v>Pendiente aprobación de SERUMS en el contrato
Se pasaron fotos de PP</v>
      </c>
      <c r="BS32" s="284">
        <f t="shared" si="15"/>
        <v>0</v>
      </c>
      <c r="BT32" s="278" t="s">
        <v>679</v>
      </c>
      <c r="CJ32" s="278"/>
      <c r="CK32" s="278"/>
      <c r="CL32" s="278"/>
      <c r="CM32" s="278"/>
      <c r="CN32" s="278"/>
      <c r="CO32" s="278"/>
      <c r="CP32" s="268"/>
      <c r="CQ32" s="268"/>
      <c r="CR32" s="267"/>
      <c r="CS32" s="267"/>
      <c r="CT32" s="267"/>
      <c r="CU32" s="267"/>
      <c r="CV32" s="267"/>
      <c r="CW32" s="267"/>
      <c r="CX32" s="267"/>
      <c r="CY32" s="267"/>
      <c r="CZ32" s="267"/>
      <c r="DA32" s="267"/>
    </row>
    <row r="33" spans="1:105" ht="345.75">
      <c r="A33" s="74">
        <v>46234</v>
      </c>
      <c r="B33" s="75" t="s">
        <v>277</v>
      </c>
      <c r="C33" s="5" t="s">
        <v>77</v>
      </c>
      <c r="D33" s="76">
        <v>7503057496381</v>
      </c>
      <c r="E33" s="77" t="s">
        <v>794</v>
      </c>
      <c r="F33" s="78" t="s">
        <v>795</v>
      </c>
      <c r="G33" s="99"/>
      <c r="H33" s="80" t="s">
        <v>492</v>
      </c>
      <c r="I33" s="80" t="s">
        <v>679</v>
      </c>
      <c r="J33" s="78" t="s">
        <v>281</v>
      </c>
      <c r="K33" s="81">
        <v>1</v>
      </c>
      <c r="L33" s="392" t="s">
        <v>790</v>
      </c>
      <c r="M33" s="80"/>
      <c r="N33" s="82" t="s">
        <v>796</v>
      </c>
      <c r="O33" s="80"/>
      <c r="P33" s="78" t="s">
        <v>69</v>
      </c>
      <c r="Q33" s="78" t="s">
        <v>69</v>
      </c>
      <c r="R33" s="80" t="s">
        <v>69</v>
      </c>
      <c r="S33" s="80" t="s">
        <v>69</v>
      </c>
      <c r="T33" s="98">
        <v>0.7</v>
      </c>
      <c r="U33" s="85" t="s">
        <v>64</v>
      </c>
      <c r="V33" s="85">
        <v>10000</v>
      </c>
      <c r="W33" s="86" t="e">
        <f t="shared" si="13"/>
        <v>#VALUE!</v>
      </c>
      <c r="X33" s="86" t="e">
        <f t="shared" si="0"/>
        <v>#VALUE!</v>
      </c>
      <c r="Y33" s="86" t="e">
        <v>#VALUE!</v>
      </c>
      <c r="Z33" s="86" t="e">
        <f t="shared" si="1"/>
        <v>#VALUE!</v>
      </c>
      <c r="AA33" s="86">
        <v>1.91</v>
      </c>
      <c r="AB33" s="86" t="s">
        <v>797</v>
      </c>
      <c r="AC33" s="86">
        <v>135</v>
      </c>
      <c r="AD33" s="87" t="s">
        <v>798</v>
      </c>
      <c r="AE33" s="88">
        <v>149</v>
      </c>
      <c r="AF33" s="86">
        <f t="shared" si="2"/>
        <v>128.44827586206898</v>
      </c>
      <c r="AG33" s="86">
        <f t="shared" si="3"/>
        <v>77.068965517241381</v>
      </c>
      <c r="AH33" s="89">
        <f t="shared" si="4"/>
        <v>2.4782997762863534E-2</v>
      </c>
      <c r="AI33" s="89">
        <f t="shared" si="5"/>
        <v>0.97521700223713648</v>
      </c>
      <c r="AJ33" s="90">
        <f t="shared" si="6"/>
        <v>0.4</v>
      </c>
      <c r="AK33" s="75" t="s">
        <v>488</v>
      </c>
      <c r="AL33" s="80" t="s">
        <v>67</v>
      </c>
      <c r="AM33" s="91">
        <v>6</v>
      </c>
      <c r="AN33" s="29">
        <f>+AM33*12</f>
        <v>72</v>
      </c>
      <c r="AO33" s="344" t="s">
        <v>793</v>
      </c>
      <c r="AP33" s="343"/>
      <c r="AR33" s="67">
        <f t="shared" si="16"/>
        <v>96.850000000000009</v>
      </c>
      <c r="AS33" s="63">
        <f t="shared" si="7"/>
        <v>83.49137931034484</v>
      </c>
      <c r="AT33" s="64">
        <f t="shared" si="8"/>
        <v>2.2876613319566336E-2</v>
      </c>
      <c r="AU33" s="65">
        <f t="shared" si="9"/>
        <v>0.97712338668043364</v>
      </c>
      <c r="AV33" s="33">
        <f t="shared" si="10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>
        <v>1</v>
      </c>
      <c r="BH33" s="3"/>
      <c r="BI33" s="3"/>
      <c r="BJ33" s="3">
        <v>9</v>
      </c>
      <c r="BK33" s="3">
        <f t="shared" si="11"/>
        <v>7</v>
      </c>
      <c r="BL33" s="292">
        <f t="shared" si="12"/>
        <v>0.77777777777777779</v>
      </c>
      <c r="BM33" s="295"/>
      <c r="BN33" s="295"/>
      <c r="BO33" s="295"/>
      <c r="BP33" s="295"/>
      <c r="BQ33" s="295"/>
      <c r="BR33" s="294" t="str">
        <f t="shared" si="14"/>
        <v>Pendiente aprobación de SERUMS en el contrato
Se pasaron fotos de PP</v>
      </c>
      <c r="BS33" s="284">
        <f t="shared" si="15"/>
        <v>0</v>
      </c>
      <c r="BT33" s="278" t="s">
        <v>679</v>
      </c>
      <c r="CJ33" s="278"/>
      <c r="CK33" s="278"/>
      <c r="CL33" s="278"/>
      <c r="CM33" s="278"/>
      <c r="CN33" s="278"/>
      <c r="CO33" s="278"/>
      <c r="CP33" s="268"/>
      <c r="CQ33" s="268"/>
      <c r="CR33" s="267"/>
      <c r="CS33" s="267"/>
      <c r="CT33" s="267"/>
      <c r="CU33" s="267"/>
      <c r="CV33" s="267"/>
      <c r="CW33" s="267"/>
      <c r="CX33" s="267"/>
      <c r="CY33" s="267"/>
      <c r="CZ33" s="267"/>
      <c r="DA33" s="267"/>
    </row>
    <row r="34" spans="1:105" ht="409.6" customHeight="1">
      <c r="A34" s="74">
        <v>46234</v>
      </c>
      <c r="B34" s="75" t="s">
        <v>277</v>
      </c>
      <c r="C34" s="5" t="s">
        <v>77</v>
      </c>
      <c r="D34" s="76">
        <v>7503057496398</v>
      </c>
      <c r="E34" s="77" t="s">
        <v>799</v>
      </c>
      <c r="F34" s="78" t="s">
        <v>800</v>
      </c>
      <c r="G34" s="79" t="s">
        <v>60</v>
      </c>
      <c r="H34" s="100" t="s">
        <v>801</v>
      </c>
      <c r="I34" s="85" t="s">
        <v>679</v>
      </c>
      <c r="J34" s="78" t="s">
        <v>281</v>
      </c>
      <c r="K34" s="81">
        <v>1</v>
      </c>
      <c r="L34" s="399" t="s">
        <v>802</v>
      </c>
      <c r="M34" s="80"/>
      <c r="N34" s="78" t="s">
        <v>803</v>
      </c>
      <c r="O34" s="80"/>
      <c r="P34" s="101" t="s">
        <v>804</v>
      </c>
      <c r="Q34" s="78" t="s">
        <v>805</v>
      </c>
      <c r="R34" s="102" t="s">
        <v>60</v>
      </c>
      <c r="S34" s="78" t="s">
        <v>806</v>
      </c>
      <c r="T34" s="84">
        <v>0.55000000000000004</v>
      </c>
      <c r="U34" s="85" t="s">
        <v>64</v>
      </c>
      <c r="V34" s="85">
        <v>10000</v>
      </c>
      <c r="W34" s="86" t="e">
        <f t="shared" si="13"/>
        <v>#VALUE!</v>
      </c>
      <c r="X34" s="86" t="e">
        <f t="shared" ref="X34:X43" si="17">+W34*0.36</f>
        <v>#VALUE!</v>
      </c>
      <c r="Y34" s="86" t="e">
        <v>#VALUE!</v>
      </c>
      <c r="Z34" s="86" t="e">
        <f t="shared" si="1"/>
        <v>#VALUE!</v>
      </c>
      <c r="AA34" s="86">
        <v>0.28000000000000003</v>
      </c>
      <c r="AB34" s="86" t="s">
        <v>786</v>
      </c>
      <c r="AC34" s="86">
        <v>199</v>
      </c>
      <c r="AD34" s="87" t="s">
        <v>807</v>
      </c>
      <c r="AE34" s="88">
        <v>99</v>
      </c>
      <c r="AF34" s="86">
        <f t="shared" si="2"/>
        <v>85.344827586206904</v>
      </c>
      <c r="AG34" s="86">
        <f t="shared" si="3"/>
        <v>51.206896551724142</v>
      </c>
      <c r="AH34" s="89">
        <f t="shared" si="4"/>
        <v>5.4680134680134681E-3</v>
      </c>
      <c r="AI34" s="89">
        <f t="shared" si="5"/>
        <v>0.99453198653198649</v>
      </c>
      <c r="AJ34" s="90">
        <f t="shared" si="6"/>
        <v>0.4</v>
      </c>
      <c r="AK34" s="80" t="s">
        <v>808</v>
      </c>
      <c r="AL34" s="80" t="s">
        <v>67</v>
      </c>
      <c r="AM34" s="91">
        <v>6</v>
      </c>
      <c r="AN34" s="29">
        <f t="shared" ref="AN34:AN43" si="18">+AM34*24</f>
        <v>144</v>
      </c>
      <c r="AO34" s="344" t="s">
        <v>809</v>
      </c>
      <c r="AP34" s="355">
        <v>46296</v>
      </c>
      <c r="AR34" s="67">
        <f t="shared" si="16"/>
        <v>64.350000000000009</v>
      </c>
      <c r="AS34" s="63">
        <f t="shared" si="7"/>
        <v>55.474137931034491</v>
      </c>
      <c r="AT34" s="64">
        <f t="shared" si="8"/>
        <v>5.0473970473970467E-3</v>
      </c>
      <c r="AU34" s="65">
        <f t="shared" si="9"/>
        <v>0.9949526029526029</v>
      </c>
      <c r="AV34" s="33">
        <f t="shared" si="10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>
        <v>1</v>
      </c>
      <c r="BH34" s="3"/>
      <c r="BI34" s="3"/>
      <c r="BJ34" s="3">
        <v>9</v>
      </c>
      <c r="BK34" s="3">
        <f t="shared" si="11"/>
        <v>7</v>
      </c>
      <c r="BL34" s="292">
        <f t="shared" si="12"/>
        <v>0.77777777777777779</v>
      </c>
      <c r="BM34" s="295"/>
      <c r="BN34" s="295"/>
      <c r="BO34" s="295"/>
      <c r="BP34" s="295"/>
      <c r="BQ34" s="295"/>
      <c r="BR34" s="294" t="str">
        <f t="shared" si="14"/>
        <v>Todo ok por licencia. En producción.
Termina aprox 27/jun</v>
      </c>
      <c r="BS34" s="284">
        <f t="shared" si="15"/>
        <v>46296</v>
      </c>
      <c r="BT34" s="278" t="s">
        <v>86</v>
      </c>
      <c r="CJ34" s="278"/>
      <c r="CK34" s="278"/>
      <c r="CL34" s="278"/>
      <c r="CM34" s="278"/>
      <c r="CN34" s="278"/>
      <c r="CO34" s="278"/>
      <c r="CP34" s="268"/>
      <c r="CQ34" s="268"/>
      <c r="CR34" s="267"/>
      <c r="CS34" s="267"/>
      <c r="CT34" s="267"/>
      <c r="CU34" s="267"/>
      <c r="CV34" s="267"/>
      <c r="CW34" s="267"/>
      <c r="CX34" s="267"/>
      <c r="CY34" s="267"/>
      <c r="CZ34" s="267"/>
      <c r="DA34" s="267"/>
    </row>
    <row r="35" spans="1:105" ht="384.75">
      <c r="A35" s="74">
        <v>46234</v>
      </c>
      <c r="B35" s="75" t="s">
        <v>277</v>
      </c>
      <c r="C35" s="5" t="s">
        <v>77</v>
      </c>
      <c r="D35" s="76">
        <v>7503057496404</v>
      </c>
      <c r="E35" s="77" t="s">
        <v>810</v>
      </c>
      <c r="F35" s="78" t="s">
        <v>811</v>
      </c>
      <c r="G35" s="79" t="s">
        <v>60</v>
      </c>
      <c r="H35" s="100" t="s">
        <v>801</v>
      </c>
      <c r="I35" s="85" t="s">
        <v>679</v>
      </c>
      <c r="J35" s="78" t="s">
        <v>281</v>
      </c>
      <c r="K35" s="81">
        <v>1</v>
      </c>
      <c r="L35" s="399"/>
      <c r="M35" s="80"/>
      <c r="N35" s="78" t="s">
        <v>812</v>
      </c>
      <c r="O35" s="80"/>
      <c r="P35" s="392" t="s">
        <v>813</v>
      </c>
      <c r="Q35" s="78" t="s">
        <v>814</v>
      </c>
      <c r="R35" s="78" t="s">
        <v>60</v>
      </c>
      <c r="S35" s="78" t="s">
        <v>806</v>
      </c>
      <c r="T35" s="84">
        <v>0.55000000000000004</v>
      </c>
      <c r="U35" s="85" t="s">
        <v>64</v>
      </c>
      <c r="V35" s="85">
        <v>10000</v>
      </c>
      <c r="W35" s="86" t="e">
        <f t="shared" si="13"/>
        <v>#VALUE!</v>
      </c>
      <c r="X35" s="86" t="e">
        <f t="shared" si="17"/>
        <v>#VALUE!</v>
      </c>
      <c r="Y35" s="86" t="e">
        <v>#VALUE!</v>
      </c>
      <c r="Z35" s="86" t="e">
        <f t="shared" si="1"/>
        <v>#VALUE!</v>
      </c>
      <c r="AA35" s="86">
        <v>0.28000000000000003</v>
      </c>
      <c r="AB35" s="86" t="s">
        <v>786</v>
      </c>
      <c r="AC35" s="86">
        <v>199</v>
      </c>
      <c r="AD35" s="87" t="s">
        <v>807</v>
      </c>
      <c r="AE35" s="88">
        <v>99</v>
      </c>
      <c r="AF35" s="86">
        <f t="shared" si="2"/>
        <v>85.344827586206904</v>
      </c>
      <c r="AG35" s="86">
        <f t="shared" si="3"/>
        <v>51.206896551724142</v>
      </c>
      <c r="AH35" s="89">
        <f t="shared" si="4"/>
        <v>5.4680134680134681E-3</v>
      </c>
      <c r="AI35" s="89">
        <f t="shared" si="5"/>
        <v>0.99453198653198649</v>
      </c>
      <c r="AJ35" s="90">
        <f t="shared" si="6"/>
        <v>0.4</v>
      </c>
      <c r="AK35" s="80" t="s">
        <v>808</v>
      </c>
      <c r="AL35" s="80" t="s">
        <v>67</v>
      </c>
      <c r="AM35" s="91">
        <v>6</v>
      </c>
      <c r="AN35" s="29">
        <f t="shared" si="18"/>
        <v>144</v>
      </c>
      <c r="AO35" s="344" t="s">
        <v>809</v>
      </c>
      <c r="AP35" s="355">
        <v>46296</v>
      </c>
      <c r="AR35" s="67">
        <f t="shared" si="16"/>
        <v>64.350000000000009</v>
      </c>
      <c r="AS35" s="63">
        <f t="shared" si="7"/>
        <v>55.474137931034491</v>
      </c>
      <c r="AT35" s="64">
        <f t="shared" si="8"/>
        <v>5.0473970473970467E-3</v>
      </c>
      <c r="AU35" s="65">
        <f t="shared" si="9"/>
        <v>0.9949526029526029</v>
      </c>
      <c r="AV35" s="33">
        <f t="shared" si="10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>
        <v>1</v>
      </c>
      <c r="BH35" s="3"/>
      <c r="BI35" s="3"/>
      <c r="BJ35" s="3">
        <v>9</v>
      </c>
      <c r="BK35" s="3">
        <f t="shared" si="11"/>
        <v>7</v>
      </c>
      <c r="BL35" s="292">
        <f t="shared" si="12"/>
        <v>0.77777777777777779</v>
      </c>
      <c r="BM35" s="295"/>
      <c r="BN35" s="295"/>
      <c r="BO35" s="295"/>
      <c r="BP35" s="295"/>
      <c r="BQ35" s="295"/>
      <c r="BR35" s="294" t="str">
        <f t="shared" si="14"/>
        <v>Todo ok por licencia. En producción.
Termina aprox 27/jun</v>
      </c>
      <c r="BS35" s="284">
        <f t="shared" si="15"/>
        <v>46296</v>
      </c>
      <c r="BT35" s="278" t="s">
        <v>86</v>
      </c>
      <c r="CJ35" s="278"/>
      <c r="CK35" s="278"/>
      <c r="CL35" s="278"/>
      <c r="CM35" s="278"/>
      <c r="CN35" s="278"/>
      <c r="CO35" s="278"/>
      <c r="CP35" s="268"/>
      <c r="CQ35" s="268"/>
      <c r="CR35" s="267"/>
      <c r="CS35" s="267"/>
      <c r="CT35" s="267"/>
      <c r="CU35" s="267"/>
      <c r="CV35" s="267"/>
      <c r="CW35" s="267"/>
      <c r="CX35" s="267"/>
      <c r="CY35" s="267"/>
      <c r="CZ35" s="267"/>
      <c r="DA35" s="267"/>
    </row>
    <row r="36" spans="1:105" ht="345.75">
      <c r="A36" s="74">
        <v>46234</v>
      </c>
      <c r="B36" s="75" t="s">
        <v>277</v>
      </c>
      <c r="C36" s="5" t="s">
        <v>77</v>
      </c>
      <c r="D36" s="76">
        <v>7503057496411</v>
      </c>
      <c r="E36" s="77" t="s">
        <v>815</v>
      </c>
      <c r="F36" s="78" t="s">
        <v>816</v>
      </c>
      <c r="G36" s="79" t="s">
        <v>60</v>
      </c>
      <c r="H36" s="100" t="s">
        <v>801</v>
      </c>
      <c r="I36" s="85" t="s">
        <v>679</v>
      </c>
      <c r="J36" s="78" t="s">
        <v>281</v>
      </c>
      <c r="K36" s="81">
        <v>1</v>
      </c>
      <c r="L36" s="399"/>
      <c r="M36" s="80"/>
      <c r="N36" s="78" t="s">
        <v>817</v>
      </c>
      <c r="O36" s="80"/>
      <c r="P36" s="392" t="s">
        <v>818</v>
      </c>
      <c r="Q36" s="78" t="s">
        <v>819</v>
      </c>
      <c r="R36" s="78" t="s">
        <v>60</v>
      </c>
      <c r="S36" s="78" t="s">
        <v>806</v>
      </c>
      <c r="T36" s="84">
        <v>0.55000000000000004</v>
      </c>
      <c r="U36" s="85" t="s">
        <v>64</v>
      </c>
      <c r="V36" s="85">
        <v>10000</v>
      </c>
      <c r="W36" s="86" t="e">
        <f t="shared" si="13"/>
        <v>#VALUE!</v>
      </c>
      <c r="X36" s="86" t="e">
        <f t="shared" si="17"/>
        <v>#VALUE!</v>
      </c>
      <c r="Y36" s="86" t="e">
        <v>#VALUE!</v>
      </c>
      <c r="Z36" s="86" t="e">
        <f t="shared" si="1"/>
        <v>#VALUE!</v>
      </c>
      <c r="AA36" s="86">
        <v>0.28000000000000003</v>
      </c>
      <c r="AB36" s="86" t="s">
        <v>786</v>
      </c>
      <c r="AC36" s="86">
        <v>199</v>
      </c>
      <c r="AD36" s="87" t="s">
        <v>807</v>
      </c>
      <c r="AE36" s="88">
        <v>99</v>
      </c>
      <c r="AF36" s="86">
        <f t="shared" si="2"/>
        <v>85.344827586206904</v>
      </c>
      <c r="AG36" s="86">
        <f t="shared" si="3"/>
        <v>51.206896551724142</v>
      </c>
      <c r="AH36" s="89">
        <f t="shared" si="4"/>
        <v>5.4680134680134681E-3</v>
      </c>
      <c r="AI36" s="89">
        <f t="shared" si="5"/>
        <v>0.99453198653198649</v>
      </c>
      <c r="AJ36" s="90">
        <f t="shared" si="6"/>
        <v>0.4</v>
      </c>
      <c r="AK36" s="80" t="s">
        <v>808</v>
      </c>
      <c r="AL36" s="80" t="s">
        <v>67</v>
      </c>
      <c r="AM36" s="91">
        <v>6</v>
      </c>
      <c r="AN36" s="29">
        <f t="shared" si="18"/>
        <v>144</v>
      </c>
      <c r="AO36" s="344" t="s">
        <v>809</v>
      </c>
      <c r="AP36" s="355">
        <v>46296</v>
      </c>
      <c r="AR36" s="67">
        <f t="shared" si="16"/>
        <v>64.350000000000009</v>
      </c>
      <c r="AS36" s="63">
        <f t="shared" si="7"/>
        <v>55.474137931034491</v>
      </c>
      <c r="AT36" s="64">
        <f t="shared" si="8"/>
        <v>5.0473970473970467E-3</v>
      </c>
      <c r="AU36" s="65">
        <f t="shared" si="9"/>
        <v>0.9949526029526029</v>
      </c>
      <c r="AV36" s="33">
        <f t="shared" si="10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>
        <v>1</v>
      </c>
      <c r="BH36" s="3"/>
      <c r="BI36" s="3"/>
      <c r="BJ36" s="3">
        <v>9</v>
      </c>
      <c r="BK36" s="3">
        <f t="shared" si="11"/>
        <v>7</v>
      </c>
      <c r="BL36" s="292">
        <f t="shared" si="12"/>
        <v>0.77777777777777779</v>
      </c>
      <c r="BM36" s="295"/>
      <c r="BN36" s="295"/>
      <c r="BO36" s="295"/>
      <c r="BP36" s="295"/>
      <c r="BQ36" s="295"/>
      <c r="BR36" s="294" t="str">
        <f t="shared" si="14"/>
        <v>Todo ok por licencia. En producción.
Termina aprox 27/jun</v>
      </c>
      <c r="BS36" s="284">
        <f t="shared" si="15"/>
        <v>46296</v>
      </c>
      <c r="BT36" s="278" t="s">
        <v>86</v>
      </c>
      <c r="CJ36" s="278"/>
      <c r="CK36" s="278"/>
      <c r="CL36" s="278"/>
      <c r="CM36" s="278"/>
      <c r="CN36" s="278"/>
      <c r="CO36" s="278"/>
      <c r="CP36" s="268"/>
      <c r="CQ36" s="268"/>
      <c r="CR36" s="267"/>
      <c r="CS36" s="267"/>
      <c r="CT36" s="267"/>
      <c r="CU36" s="267"/>
      <c r="CV36" s="267"/>
      <c r="CW36" s="267"/>
      <c r="CX36" s="267"/>
      <c r="CY36" s="267"/>
      <c r="CZ36" s="267"/>
      <c r="DA36" s="267"/>
    </row>
    <row r="37" spans="1:105" ht="384.75">
      <c r="A37" s="74">
        <v>46234</v>
      </c>
      <c r="B37" s="75" t="s">
        <v>277</v>
      </c>
      <c r="C37" s="5" t="s">
        <v>77</v>
      </c>
      <c r="D37" s="76">
        <v>7503057496428</v>
      </c>
      <c r="E37" s="77" t="s">
        <v>820</v>
      </c>
      <c r="F37" s="78" t="s">
        <v>821</v>
      </c>
      <c r="G37" s="79" t="s">
        <v>60</v>
      </c>
      <c r="H37" s="100" t="s">
        <v>801</v>
      </c>
      <c r="I37" s="85" t="s">
        <v>679</v>
      </c>
      <c r="J37" s="78" t="s">
        <v>281</v>
      </c>
      <c r="K37" s="81">
        <v>1</v>
      </c>
      <c r="L37" s="399"/>
      <c r="M37" s="80"/>
      <c r="N37" s="78" t="s">
        <v>822</v>
      </c>
      <c r="O37" s="80"/>
      <c r="P37" s="392" t="s">
        <v>823</v>
      </c>
      <c r="Q37" s="78" t="s">
        <v>824</v>
      </c>
      <c r="R37" s="78" t="s">
        <v>60</v>
      </c>
      <c r="S37" s="78" t="s">
        <v>806</v>
      </c>
      <c r="T37" s="84">
        <v>0.55000000000000004</v>
      </c>
      <c r="U37" s="85" t="s">
        <v>64</v>
      </c>
      <c r="V37" s="85">
        <v>10000</v>
      </c>
      <c r="W37" s="86" t="e">
        <f t="shared" si="13"/>
        <v>#VALUE!</v>
      </c>
      <c r="X37" s="86" t="e">
        <f t="shared" si="17"/>
        <v>#VALUE!</v>
      </c>
      <c r="Y37" s="86" t="e">
        <v>#VALUE!</v>
      </c>
      <c r="Z37" s="86" t="e">
        <f t="shared" si="1"/>
        <v>#VALUE!</v>
      </c>
      <c r="AA37" s="86">
        <v>0.28000000000000003</v>
      </c>
      <c r="AB37" s="86" t="s">
        <v>786</v>
      </c>
      <c r="AC37" s="86">
        <v>199</v>
      </c>
      <c r="AD37" s="87" t="s">
        <v>807</v>
      </c>
      <c r="AE37" s="88">
        <v>99</v>
      </c>
      <c r="AF37" s="86">
        <f t="shared" si="2"/>
        <v>85.344827586206904</v>
      </c>
      <c r="AG37" s="86">
        <f t="shared" si="3"/>
        <v>51.206896551724142</v>
      </c>
      <c r="AH37" s="89">
        <f t="shared" si="4"/>
        <v>5.4680134680134681E-3</v>
      </c>
      <c r="AI37" s="89">
        <f t="shared" si="5"/>
        <v>0.99453198653198649</v>
      </c>
      <c r="AJ37" s="90">
        <f t="shared" si="6"/>
        <v>0.4</v>
      </c>
      <c r="AK37" s="80" t="s">
        <v>808</v>
      </c>
      <c r="AL37" s="80" t="s">
        <v>67</v>
      </c>
      <c r="AM37" s="91">
        <v>6</v>
      </c>
      <c r="AN37" s="29">
        <f t="shared" si="18"/>
        <v>144</v>
      </c>
      <c r="AO37" s="344" t="s">
        <v>809</v>
      </c>
      <c r="AP37" s="355">
        <v>46296</v>
      </c>
      <c r="AR37" s="67">
        <f t="shared" si="16"/>
        <v>64.350000000000009</v>
      </c>
      <c r="AS37" s="63">
        <f t="shared" si="7"/>
        <v>55.474137931034491</v>
      </c>
      <c r="AT37" s="64">
        <f t="shared" si="8"/>
        <v>5.0473970473970467E-3</v>
      </c>
      <c r="AU37" s="65">
        <f t="shared" si="9"/>
        <v>0.9949526029526029</v>
      </c>
      <c r="AV37" s="33">
        <f t="shared" si="10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>
        <v>1</v>
      </c>
      <c r="BH37" s="3"/>
      <c r="BI37" s="3"/>
      <c r="BJ37" s="3">
        <v>9</v>
      </c>
      <c r="BK37" s="3">
        <f t="shared" si="11"/>
        <v>7</v>
      </c>
      <c r="BL37" s="292">
        <f t="shared" si="12"/>
        <v>0.77777777777777779</v>
      </c>
      <c r="BM37" s="295"/>
      <c r="BN37" s="295"/>
      <c r="BO37" s="295"/>
      <c r="BP37" s="295"/>
      <c r="BQ37" s="295"/>
      <c r="BR37" s="294" t="str">
        <f t="shared" si="14"/>
        <v>Todo ok por licencia. En producción.
Termina aprox 27/jun</v>
      </c>
      <c r="BS37" s="284">
        <f t="shared" si="15"/>
        <v>46296</v>
      </c>
      <c r="BT37" s="278" t="s">
        <v>86</v>
      </c>
      <c r="CJ37" s="278"/>
      <c r="CK37" s="278"/>
      <c r="CL37" s="278"/>
      <c r="CM37" s="278"/>
      <c r="CN37" s="278"/>
      <c r="CO37" s="278"/>
      <c r="CP37" s="268"/>
      <c r="CQ37" s="268"/>
      <c r="CR37" s="267"/>
      <c r="CS37" s="267"/>
      <c r="CT37" s="267"/>
      <c r="CU37" s="267"/>
      <c r="CV37" s="267"/>
      <c r="CW37" s="267"/>
      <c r="CX37" s="267"/>
      <c r="CY37" s="267"/>
      <c r="CZ37" s="267"/>
      <c r="DA37" s="267"/>
    </row>
    <row r="38" spans="1:105" ht="384.75">
      <c r="A38" s="74">
        <v>46234</v>
      </c>
      <c r="B38" s="75" t="s">
        <v>277</v>
      </c>
      <c r="C38" s="5" t="s">
        <v>77</v>
      </c>
      <c r="D38" s="76">
        <v>7503057496435</v>
      </c>
      <c r="E38" s="77" t="s">
        <v>825</v>
      </c>
      <c r="F38" s="78" t="s">
        <v>826</v>
      </c>
      <c r="G38" s="79" t="s">
        <v>60</v>
      </c>
      <c r="H38" s="100" t="s">
        <v>801</v>
      </c>
      <c r="I38" s="85" t="s">
        <v>679</v>
      </c>
      <c r="J38" s="78" t="s">
        <v>281</v>
      </c>
      <c r="K38" s="81">
        <v>1</v>
      </c>
      <c r="L38" s="399"/>
      <c r="M38" s="80"/>
      <c r="N38" s="78" t="s">
        <v>827</v>
      </c>
      <c r="O38" s="80"/>
      <c r="P38" s="392" t="s">
        <v>828</v>
      </c>
      <c r="Q38" s="78" t="s">
        <v>829</v>
      </c>
      <c r="R38" s="78" t="s">
        <v>60</v>
      </c>
      <c r="S38" s="78" t="s">
        <v>806</v>
      </c>
      <c r="T38" s="84">
        <v>0.55000000000000004</v>
      </c>
      <c r="U38" s="85" t="s">
        <v>64</v>
      </c>
      <c r="V38" s="85">
        <v>10000</v>
      </c>
      <c r="W38" s="86" t="e">
        <f t="shared" si="13"/>
        <v>#VALUE!</v>
      </c>
      <c r="X38" s="86" t="e">
        <f t="shared" si="17"/>
        <v>#VALUE!</v>
      </c>
      <c r="Y38" s="86" t="e">
        <v>#VALUE!</v>
      </c>
      <c r="Z38" s="86" t="e">
        <f t="shared" si="1"/>
        <v>#VALUE!</v>
      </c>
      <c r="AA38" s="86">
        <v>0.28000000000000003</v>
      </c>
      <c r="AB38" s="86" t="s">
        <v>786</v>
      </c>
      <c r="AC38" s="86">
        <v>199</v>
      </c>
      <c r="AD38" s="87" t="s">
        <v>807</v>
      </c>
      <c r="AE38" s="88">
        <v>99</v>
      </c>
      <c r="AF38" s="86">
        <f t="shared" si="2"/>
        <v>85.344827586206904</v>
      </c>
      <c r="AG38" s="86">
        <f t="shared" si="3"/>
        <v>51.206896551724142</v>
      </c>
      <c r="AH38" s="89">
        <f t="shared" si="4"/>
        <v>5.4680134680134681E-3</v>
      </c>
      <c r="AI38" s="89">
        <f t="shared" si="5"/>
        <v>0.99453198653198649</v>
      </c>
      <c r="AJ38" s="90">
        <f t="shared" si="6"/>
        <v>0.4</v>
      </c>
      <c r="AK38" s="80" t="s">
        <v>808</v>
      </c>
      <c r="AL38" s="80" t="s">
        <v>67</v>
      </c>
      <c r="AM38" s="91">
        <v>6</v>
      </c>
      <c r="AN38" s="29">
        <f t="shared" si="18"/>
        <v>144</v>
      </c>
      <c r="AO38" s="344" t="s">
        <v>809</v>
      </c>
      <c r="AP38" s="355">
        <v>46296</v>
      </c>
      <c r="AR38" s="67">
        <f t="shared" si="16"/>
        <v>64.350000000000009</v>
      </c>
      <c r="AS38" s="63">
        <f t="shared" si="7"/>
        <v>55.474137931034491</v>
      </c>
      <c r="AT38" s="64">
        <f t="shared" si="8"/>
        <v>5.0473970473970467E-3</v>
      </c>
      <c r="AU38" s="65">
        <f t="shared" si="9"/>
        <v>0.9949526029526029</v>
      </c>
      <c r="AV38" s="33">
        <f t="shared" si="10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>
        <v>1</v>
      </c>
      <c r="BH38" s="3"/>
      <c r="BI38" s="3"/>
      <c r="BJ38" s="3">
        <v>9</v>
      </c>
      <c r="BK38" s="3">
        <f t="shared" si="11"/>
        <v>7</v>
      </c>
      <c r="BL38" s="292">
        <f t="shared" si="12"/>
        <v>0.77777777777777779</v>
      </c>
      <c r="BM38" s="295"/>
      <c r="BN38" s="295"/>
      <c r="BO38" s="295"/>
      <c r="BP38" s="295"/>
      <c r="BQ38" s="295"/>
      <c r="BR38" s="294" t="str">
        <f t="shared" si="14"/>
        <v>Todo ok por licencia. En producción.
Termina aprox 27/jun</v>
      </c>
      <c r="BS38" s="284">
        <f t="shared" si="15"/>
        <v>46296</v>
      </c>
      <c r="BT38" s="278" t="s">
        <v>86</v>
      </c>
      <c r="CJ38" s="278"/>
      <c r="CK38" s="278"/>
      <c r="CL38" s="278"/>
      <c r="CM38" s="278"/>
      <c r="CN38" s="278"/>
      <c r="CO38" s="278"/>
      <c r="CP38" s="268"/>
      <c r="CQ38" s="268"/>
      <c r="CR38" s="267"/>
      <c r="CS38" s="267"/>
      <c r="CT38" s="267"/>
      <c r="CU38" s="267"/>
      <c r="CV38" s="267"/>
      <c r="CW38" s="267"/>
      <c r="CX38" s="267"/>
      <c r="CY38" s="267"/>
      <c r="CZ38" s="267"/>
      <c r="DA38" s="267"/>
    </row>
    <row r="39" spans="1:105" ht="384.75">
      <c r="A39" s="74">
        <v>46234</v>
      </c>
      <c r="B39" s="75" t="s">
        <v>277</v>
      </c>
      <c r="C39" s="5" t="s">
        <v>77</v>
      </c>
      <c r="D39" s="76">
        <v>7503057496442</v>
      </c>
      <c r="E39" s="77" t="s">
        <v>830</v>
      </c>
      <c r="F39" s="78" t="s">
        <v>831</v>
      </c>
      <c r="G39" s="79" t="s">
        <v>60</v>
      </c>
      <c r="H39" s="100" t="s">
        <v>801</v>
      </c>
      <c r="I39" s="85" t="s">
        <v>679</v>
      </c>
      <c r="J39" s="78" t="s">
        <v>281</v>
      </c>
      <c r="K39" s="81">
        <v>1</v>
      </c>
      <c r="L39" s="399"/>
      <c r="M39" s="80"/>
      <c r="N39" s="78" t="s">
        <v>832</v>
      </c>
      <c r="O39" s="80"/>
      <c r="P39" s="392" t="s">
        <v>833</v>
      </c>
      <c r="Q39" s="78" t="s">
        <v>834</v>
      </c>
      <c r="R39" s="78" t="s">
        <v>60</v>
      </c>
      <c r="S39" s="78" t="s">
        <v>806</v>
      </c>
      <c r="T39" s="84">
        <v>0.55000000000000004</v>
      </c>
      <c r="U39" s="85" t="s">
        <v>64</v>
      </c>
      <c r="V39" s="85">
        <v>10000</v>
      </c>
      <c r="W39" s="86" t="e">
        <f t="shared" si="13"/>
        <v>#VALUE!</v>
      </c>
      <c r="X39" s="86" t="e">
        <f t="shared" si="17"/>
        <v>#VALUE!</v>
      </c>
      <c r="Y39" s="86" t="e">
        <v>#VALUE!</v>
      </c>
      <c r="Z39" s="86" t="e">
        <f t="shared" si="1"/>
        <v>#VALUE!</v>
      </c>
      <c r="AA39" s="86">
        <v>0.28000000000000003</v>
      </c>
      <c r="AB39" s="86" t="s">
        <v>786</v>
      </c>
      <c r="AC39" s="86">
        <v>199</v>
      </c>
      <c r="AD39" s="87" t="s">
        <v>807</v>
      </c>
      <c r="AE39" s="88">
        <v>99</v>
      </c>
      <c r="AF39" s="86">
        <f t="shared" si="2"/>
        <v>85.344827586206904</v>
      </c>
      <c r="AG39" s="86">
        <f t="shared" si="3"/>
        <v>51.206896551724142</v>
      </c>
      <c r="AH39" s="89">
        <f t="shared" si="4"/>
        <v>5.4680134680134681E-3</v>
      </c>
      <c r="AI39" s="89">
        <f t="shared" si="5"/>
        <v>0.99453198653198649</v>
      </c>
      <c r="AJ39" s="90">
        <f t="shared" si="6"/>
        <v>0.4</v>
      </c>
      <c r="AK39" s="80" t="s">
        <v>808</v>
      </c>
      <c r="AL39" s="80" t="s">
        <v>67</v>
      </c>
      <c r="AM39" s="91">
        <v>6</v>
      </c>
      <c r="AN39" s="29">
        <f t="shared" si="18"/>
        <v>144</v>
      </c>
      <c r="AO39" s="344" t="s">
        <v>809</v>
      </c>
      <c r="AP39" s="355">
        <v>46296</v>
      </c>
      <c r="AR39" s="67">
        <f t="shared" si="16"/>
        <v>64.350000000000009</v>
      </c>
      <c r="AS39" s="63">
        <f t="shared" si="7"/>
        <v>55.474137931034491</v>
      </c>
      <c r="AT39" s="64">
        <f t="shared" si="8"/>
        <v>5.0473970473970467E-3</v>
      </c>
      <c r="AU39" s="65">
        <f t="shared" si="9"/>
        <v>0.9949526029526029</v>
      </c>
      <c r="AV39" s="33">
        <f t="shared" si="10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>
        <v>1</v>
      </c>
      <c r="BH39" s="3"/>
      <c r="BI39" s="3"/>
      <c r="BJ39" s="3">
        <v>9</v>
      </c>
      <c r="BK39" s="3">
        <f t="shared" si="11"/>
        <v>7</v>
      </c>
      <c r="BL39" s="292">
        <f t="shared" si="12"/>
        <v>0.77777777777777779</v>
      </c>
      <c r="BM39" s="295"/>
      <c r="BN39" s="295"/>
      <c r="BO39" s="295"/>
      <c r="BP39" s="295"/>
      <c r="BQ39" s="295"/>
      <c r="BR39" s="294" t="str">
        <f t="shared" si="14"/>
        <v>Todo ok por licencia. En producción.
Termina aprox 27/jun</v>
      </c>
      <c r="BS39" s="284">
        <f t="shared" si="15"/>
        <v>46296</v>
      </c>
      <c r="BT39" s="278" t="s">
        <v>86</v>
      </c>
      <c r="CJ39" s="278"/>
      <c r="CK39" s="278"/>
      <c r="CL39" s="278"/>
      <c r="CM39" s="278"/>
      <c r="CN39" s="278"/>
      <c r="CO39" s="278"/>
      <c r="CP39" s="268"/>
      <c r="CQ39" s="268"/>
      <c r="CR39" s="267"/>
      <c r="CS39" s="267"/>
      <c r="CT39" s="267"/>
      <c r="CU39" s="267"/>
      <c r="CV39" s="267"/>
      <c r="CW39" s="267"/>
      <c r="CX39" s="267"/>
      <c r="CY39" s="267"/>
      <c r="CZ39" s="267"/>
      <c r="DA39" s="267"/>
    </row>
    <row r="40" spans="1:105" ht="409.6" customHeight="1">
      <c r="A40" s="74">
        <v>46234</v>
      </c>
      <c r="B40" s="75" t="s">
        <v>277</v>
      </c>
      <c r="C40" s="5" t="s">
        <v>77</v>
      </c>
      <c r="D40" s="76">
        <v>7503057496459</v>
      </c>
      <c r="E40" s="77" t="s">
        <v>835</v>
      </c>
      <c r="F40" s="78" t="s">
        <v>836</v>
      </c>
      <c r="G40" s="79" t="s">
        <v>60</v>
      </c>
      <c r="H40" s="100" t="s">
        <v>801</v>
      </c>
      <c r="I40" s="85" t="s">
        <v>679</v>
      </c>
      <c r="J40" s="78" t="s">
        <v>281</v>
      </c>
      <c r="K40" s="81">
        <v>1</v>
      </c>
      <c r="L40" s="399" t="s">
        <v>802</v>
      </c>
      <c r="M40" s="80"/>
      <c r="N40" s="103"/>
      <c r="O40" s="80"/>
      <c r="P40" s="391" t="s">
        <v>837</v>
      </c>
      <c r="Q40" s="78" t="s">
        <v>838</v>
      </c>
      <c r="R40" s="80" t="s">
        <v>60</v>
      </c>
      <c r="S40" s="78" t="s">
        <v>839</v>
      </c>
      <c r="T40" s="84">
        <v>0.55000000000000004</v>
      </c>
      <c r="U40" s="85" t="s">
        <v>64</v>
      </c>
      <c r="V40" s="85">
        <v>10000</v>
      </c>
      <c r="W40" s="86" t="e">
        <f t="shared" si="13"/>
        <v>#VALUE!</v>
      </c>
      <c r="X40" s="86" t="e">
        <f t="shared" si="17"/>
        <v>#VALUE!</v>
      </c>
      <c r="Y40" s="86" t="e">
        <v>#VALUE!</v>
      </c>
      <c r="Z40" s="86" t="e">
        <f t="shared" si="1"/>
        <v>#VALUE!</v>
      </c>
      <c r="AA40" s="86">
        <v>0.28000000000000003</v>
      </c>
      <c r="AB40" s="86" t="s">
        <v>786</v>
      </c>
      <c r="AC40" s="86">
        <v>199</v>
      </c>
      <c r="AD40" s="87" t="s">
        <v>840</v>
      </c>
      <c r="AE40" s="88">
        <v>99</v>
      </c>
      <c r="AF40" s="86">
        <f t="shared" si="2"/>
        <v>85.344827586206904</v>
      </c>
      <c r="AG40" s="86">
        <f t="shared" si="3"/>
        <v>51.206896551724142</v>
      </c>
      <c r="AH40" s="89">
        <f t="shared" si="4"/>
        <v>5.4680134680134681E-3</v>
      </c>
      <c r="AI40" s="89">
        <f t="shared" si="5"/>
        <v>0.99453198653198649</v>
      </c>
      <c r="AJ40" s="90">
        <f t="shared" si="6"/>
        <v>0.4</v>
      </c>
      <c r="AK40" s="80" t="s">
        <v>808</v>
      </c>
      <c r="AL40" s="80" t="s">
        <v>67</v>
      </c>
      <c r="AM40" s="91">
        <v>6</v>
      </c>
      <c r="AN40" s="29">
        <f t="shared" si="18"/>
        <v>144</v>
      </c>
      <c r="AO40" s="344" t="s">
        <v>809</v>
      </c>
      <c r="AP40" s="355">
        <v>46296</v>
      </c>
      <c r="AR40" s="67">
        <f t="shared" si="16"/>
        <v>64.350000000000009</v>
      </c>
      <c r="AS40" s="63">
        <f t="shared" si="7"/>
        <v>55.474137931034491</v>
      </c>
      <c r="AT40" s="64">
        <f t="shared" si="8"/>
        <v>5.0473970473970467E-3</v>
      </c>
      <c r="AU40" s="65">
        <f t="shared" si="9"/>
        <v>0.9949526029526029</v>
      </c>
      <c r="AV40" s="33">
        <f t="shared" si="10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>
        <v>1</v>
      </c>
      <c r="BH40" s="3"/>
      <c r="BI40" s="3"/>
      <c r="BJ40" s="3">
        <v>9</v>
      </c>
      <c r="BK40" s="3">
        <f t="shared" si="11"/>
        <v>7</v>
      </c>
      <c r="BL40" s="292">
        <f t="shared" si="12"/>
        <v>0.77777777777777779</v>
      </c>
      <c r="BM40" s="295"/>
      <c r="BN40" s="295"/>
      <c r="BO40" s="295"/>
      <c r="BP40" s="295"/>
      <c r="BQ40" s="295"/>
      <c r="BR40" s="294" t="str">
        <f t="shared" si="14"/>
        <v>Todo ok por licencia. En producción.
Termina aprox 27/jun</v>
      </c>
      <c r="BS40" s="284">
        <f t="shared" si="15"/>
        <v>46296</v>
      </c>
      <c r="BT40" s="278" t="s">
        <v>86</v>
      </c>
      <c r="CJ40" s="278"/>
      <c r="CK40" s="278"/>
      <c r="CL40" s="278"/>
      <c r="CM40" s="278"/>
      <c r="CN40" s="278"/>
      <c r="CO40" s="278"/>
      <c r="CP40" s="268"/>
      <c r="CQ40" s="268"/>
      <c r="CR40" s="267"/>
      <c r="CS40" s="267"/>
      <c r="CT40" s="267"/>
      <c r="CU40" s="267"/>
      <c r="CV40" s="267"/>
      <c r="CW40" s="267"/>
      <c r="CX40" s="267"/>
      <c r="CY40" s="267"/>
      <c r="CZ40" s="267"/>
      <c r="DA40" s="267"/>
    </row>
    <row r="41" spans="1:105" ht="409.6">
      <c r="A41" s="74">
        <v>46234</v>
      </c>
      <c r="B41" s="75" t="s">
        <v>277</v>
      </c>
      <c r="C41" s="5" t="s">
        <v>77</v>
      </c>
      <c r="D41" s="76">
        <v>7503057496466</v>
      </c>
      <c r="E41" s="77" t="s">
        <v>841</v>
      </c>
      <c r="F41" s="78" t="s">
        <v>842</v>
      </c>
      <c r="G41" s="79" t="s">
        <v>60</v>
      </c>
      <c r="H41" s="100" t="s">
        <v>801</v>
      </c>
      <c r="I41" s="85" t="s">
        <v>679</v>
      </c>
      <c r="J41" s="78" t="s">
        <v>281</v>
      </c>
      <c r="K41" s="81">
        <v>1</v>
      </c>
      <c r="L41" s="399"/>
      <c r="M41" s="80"/>
      <c r="N41" s="78" t="s">
        <v>843</v>
      </c>
      <c r="O41" s="80"/>
      <c r="P41" s="391" t="s">
        <v>844</v>
      </c>
      <c r="Q41" s="78" t="s">
        <v>845</v>
      </c>
      <c r="R41" s="80" t="s">
        <v>60</v>
      </c>
      <c r="S41" s="78" t="s">
        <v>839</v>
      </c>
      <c r="T41" s="84">
        <v>0.55000000000000004</v>
      </c>
      <c r="U41" s="85" t="s">
        <v>64</v>
      </c>
      <c r="V41" s="85">
        <v>10000</v>
      </c>
      <c r="W41" s="86" t="e">
        <f t="shared" si="13"/>
        <v>#VALUE!</v>
      </c>
      <c r="X41" s="86" t="e">
        <f t="shared" si="17"/>
        <v>#VALUE!</v>
      </c>
      <c r="Y41" s="86" t="e">
        <v>#VALUE!</v>
      </c>
      <c r="Z41" s="86" t="e">
        <f t="shared" si="1"/>
        <v>#VALUE!</v>
      </c>
      <c r="AA41" s="86">
        <v>0.28000000000000003</v>
      </c>
      <c r="AB41" s="86" t="s">
        <v>786</v>
      </c>
      <c r="AC41" s="86">
        <v>199</v>
      </c>
      <c r="AD41" s="87" t="s">
        <v>840</v>
      </c>
      <c r="AE41" s="88">
        <v>99</v>
      </c>
      <c r="AF41" s="86">
        <f t="shared" si="2"/>
        <v>85.344827586206904</v>
      </c>
      <c r="AG41" s="86">
        <f t="shared" si="3"/>
        <v>51.206896551724142</v>
      </c>
      <c r="AH41" s="89">
        <f t="shared" si="4"/>
        <v>5.4680134680134681E-3</v>
      </c>
      <c r="AI41" s="89">
        <f t="shared" si="5"/>
        <v>0.99453198653198649</v>
      </c>
      <c r="AJ41" s="90">
        <f t="shared" si="6"/>
        <v>0.4</v>
      </c>
      <c r="AK41" s="80" t="s">
        <v>808</v>
      </c>
      <c r="AL41" s="80" t="s">
        <v>67</v>
      </c>
      <c r="AM41" s="91">
        <v>6</v>
      </c>
      <c r="AN41" s="29">
        <f t="shared" si="18"/>
        <v>144</v>
      </c>
      <c r="AO41" s="344" t="s">
        <v>809</v>
      </c>
      <c r="AP41" s="355">
        <v>46296</v>
      </c>
      <c r="AR41" s="67">
        <f t="shared" si="16"/>
        <v>64.350000000000009</v>
      </c>
      <c r="AS41" s="63">
        <f t="shared" si="7"/>
        <v>55.474137931034491</v>
      </c>
      <c r="AT41" s="64">
        <f t="shared" si="8"/>
        <v>5.0473970473970467E-3</v>
      </c>
      <c r="AU41" s="65">
        <f t="shared" si="9"/>
        <v>0.9949526029526029</v>
      </c>
      <c r="AV41" s="33">
        <f t="shared" si="10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>
        <v>1</v>
      </c>
      <c r="BH41" s="3"/>
      <c r="BI41" s="3"/>
      <c r="BJ41" s="3">
        <v>9</v>
      </c>
      <c r="BK41" s="3">
        <f t="shared" si="11"/>
        <v>7</v>
      </c>
      <c r="BL41" s="292">
        <f t="shared" si="12"/>
        <v>0.77777777777777779</v>
      </c>
      <c r="BM41" s="295"/>
      <c r="BN41" s="295"/>
      <c r="BO41" s="295"/>
      <c r="BP41" s="295"/>
      <c r="BQ41" s="295"/>
      <c r="BR41" s="294" t="str">
        <f t="shared" si="14"/>
        <v>Todo ok por licencia. En producción.
Termina aprox 27/jun</v>
      </c>
      <c r="BS41" s="284">
        <f t="shared" si="15"/>
        <v>46296</v>
      </c>
      <c r="BT41" s="278" t="s">
        <v>86</v>
      </c>
      <c r="CJ41" s="278"/>
      <c r="CK41" s="278"/>
      <c r="CL41" s="278"/>
      <c r="CM41" s="278"/>
      <c r="CN41" s="278"/>
      <c r="CO41" s="278"/>
      <c r="CP41" s="268"/>
      <c r="CQ41" s="268"/>
      <c r="CR41" s="267"/>
      <c r="CS41" s="267"/>
      <c r="CT41" s="267"/>
      <c r="CU41" s="267"/>
      <c r="CV41" s="267"/>
      <c r="CW41" s="267"/>
      <c r="CX41" s="267"/>
      <c r="CY41" s="267"/>
      <c r="CZ41" s="267"/>
      <c r="DA41" s="267"/>
    </row>
    <row r="42" spans="1:105" ht="409.6">
      <c r="A42" s="74">
        <v>46234</v>
      </c>
      <c r="B42" s="75" t="s">
        <v>277</v>
      </c>
      <c r="C42" s="5" t="s">
        <v>77</v>
      </c>
      <c r="D42" s="76">
        <v>7503057496473</v>
      </c>
      <c r="E42" s="77" t="s">
        <v>846</v>
      </c>
      <c r="F42" s="78" t="s">
        <v>847</v>
      </c>
      <c r="G42" s="79" t="s">
        <v>60</v>
      </c>
      <c r="H42" s="100" t="s">
        <v>801</v>
      </c>
      <c r="I42" s="85" t="s">
        <v>679</v>
      </c>
      <c r="J42" s="78" t="s">
        <v>281</v>
      </c>
      <c r="K42" s="81">
        <v>1</v>
      </c>
      <c r="L42" s="399"/>
      <c r="M42" s="80"/>
      <c r="N42" s="78" t="s">
        <v>848</v>
      </c>
      <c r="O42" s="80"/>
      <c r="P42" s="391" t="s">
        <v>849</v>
      </c>
      <c r="Q42" s="78" t="s">
        <v>850</v>
      </c>
      <c r="R42" s="80" t="s">
        <v>60</v>
      </c>
      <c r="S42" s="78" t="s">
        <v>839</v>
      </c>
      <c r="T42" s="84">
        <v>0.55000000000000004</v>
      </c>
      <c r="U42" s="85" t="s">
        <v>64</v>
      </c>
      <c r="V42" s="85">
        <v>10000</v>
      </c>
      <c r="W42" s="86" t="e">
        <f t="shared" si="13"/>
        <v>#VALUE!</v>
      </c>
      <c r="X42" s="86" t="e">
        <f t="shared" si="17"/>
        <v>#VALUE!</v>
      </c>
      <c r="Y42" s="86" t="e">
        <v>#VALUE!</v>
      </c>
      <c r="Z42" s="86" t="e">
        <f t="shared" si="1"/>
        <v>#VALUE!</v>
      </c>
      <c r="AA42" s="86">
        <v>0.28000000000000003</v>
      </c>
      <c r="AB42" s="86" t="s">
        <v>786</v>
      </c>
      <c r="AC42" s="86">
        <v>199</v>
      </c>
      <c r="AD42" s="87" t="s">
        <v>840</v>
      </c>
      <c r="AE42" s="88">
        <v>99</v>
      </c>
      <c r="AF42" s="86">
        <f t="shared" si="2"/>
        <v>85.344827586206904</v>
      </c>
      <c r="AG42" s="86">
        <f t="shared" si="3"/>
        <v>51.206896551724142</v>
      </c>
      <c r="AH42" s="89">
        <f t="shared" si="4"/>
        <v>5.4680134680134681E-3</v>
      </c>
      <c r="AI42" s="89">
        <f t="shared" si="5"/>
        <v>0.99453198653198649</v>
      </c>
      <c r="AJ42" s="90">
        <f t="shared" si="6"/>
        <v>0.4</v>
      </c>
      <c r="AK42" s="80" t="s">
        <v>808</v>
      </c>
      <c r="AL42" s="80" t="s">
        <v>67</v>
      </c>
      <c r="AM42" s="91">
        <v>6</v>
      </c>
      <c r="AN42" s="29">
        <f t="shared" si="18"/>
        <v>144</v>
      </c>
      <c r="AO42" s="344" t="s">
        <v>809</v>
      </c>
      <c r="AP42" s="355">
        <v>46296</v>
      </c>
      <c r="AR42" s="67">
        <f t="shared" si="16"/>
        <v>64.350000000000009</v>
      </c>
      <c r="AS42" s="63">
        <f t="shared" si="7"/>
        <v>55.474137931034491</v>
      </c>
      <c r="AT42" s="64">
        <f t="shared" si="8"/>
        <v>5.0473970473970467E-3</v>
      </c>
      <c r="AU42" s="65">
        <f t="shared" si="9"/>
        <v>0.9949526029526029</v>
      </c>
      <c r="AV42" s="33">
        <f t="shared" si="10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>
        <v>1</v>
      </c>
      <c r="BH42" s="3"/>
      <c r="BI42" s="3"/>
      <c r="BJ42" s="3">
        <v>9</v>
      </c>
      <c r="BK42" s="3">
        <f t="shared" si="11"/>
        <v>7</v>
      </c>
      <c r="BL42" s="292">
        <f t="shared" si="12"/>
        <v>0.77777777777777779</v>
      </c>
      <c r="BM42" s="295"/>
      <c r="BN42" s="295"/>
      <c r="BO42" s="295"/>
      <c r="BP42" s="295"/>
      <c r="BQ42" s="295"/>
      <c r="BR42" s="294" t="str">
        <f t="shared" si="14"/>
        <v>Todo ok por licencia. En producción.
Termina aprox 27/jun</v>
      </c>
      <c r="BS42" s="284">
        <f t="shared" si="15"/>
        <v>46296</v>
      </c>
      <c r="BT42" s="278" t="s">
        <v>86</v>
      </c>
      <c r="CJ42" s="278"/>
      <c r="CK42" s="278"/>
      <c r="CL42" s="278"/>
      <c r="CM42" s="278"/>
      <c r="CN42" s="278"/>
      <c r="CO42" s="278"/>
      <c r="CP42" s="268"/>
      <c r="CQ42" s="268"/>
      <c r="CR42" s="267"/>
      <c r="CS42" s="267"/>
      <c r="CT42" s="267"/>
      <c r="CU42" s="267"/>
      <c r="CV42" s="267"/>
      <c r="CW42" s="267"/>
      <c r="CX42" s="267"/>
      <c r="CY42" s="267"/>
      <c r="CZ42" s="267"/>
      <c r="DA42" s="267"/>
    </row>
    <row r="43" spans="1:105" ht="409.6">
      <c r="A43" s="74">
        <v>46234</v>
      </c>
      <c r="B43" s="75" t="s">
        <v>277</v>
      </c>
      <c r="C43" s="5" t="s">
        <v>77</v>
      </c>
      <c r="D43" s="76">
        <v>7503057496480</v>
      </c>
      <c r="E43" s="77" t="s">
        <v>851</v>
      </c>
      <c r="F43" s="78" t="s">
        <v>852</v>
      </c>
      <c r="G43" s="79" t="s">
        <v>60</v>
      </c>
      <c r="H43" s="100" t="s">
        <v>801</v>
      </c>
      <c r="I43" s="85" t="s">
        <v>679</v>
      </c>
      <c r="J43" s="78" t="s">
        <v>281</v>
      </c>
      <c r="K43" s="81">
        <v>1</v>
      </c>
      <c r="L43" s="399"/>
      <c r="M43" s="80"/>
      <c r="N43" s="78" t="s">
        <v>853</v>
      </c>
      <c r="O43" s="80"/>
      <c r="P43" s="391" t="s">
        <v>854</v>
      </c>
      <c r="Q43" s="78" t="s">
        <v>855</v>
      </c>
      <c r="R43" s="80" t="s">
        <v>60</v>
      </c>
      <c r="S43" s="78" t="s">
        <v>839</v>
      </c>
      <c r="T43" s="84">
        <v>0.55000000000000004</v>
      </c>
      <c r="U43" s="85" t="s">
        <v>64</v>
      </c>
      <c r="V43" s="85">
        <v>10000</v>
      </c>
      <c r="W43" s="86" t="e">
        <f t="shared" si="13"/>
        <v>#VALUE!</v>
      </c>
      <c r="X43" s="86" t="e">
        <f t="shared" si="17"/>
        <v>#VALUE!</v>
      </c>
      <c r="Y43" s="86" t="e">
        <v>#VALUE!</v>
      </c>
      <c r="Z43" s="86" t="e">
        <f t="shared" si="1"/>
        <v>#VALUE!</v>
      </c>
      <c r="AA43" s="86">
        <v>0.28000000000000003</v>
      </c>
      <c r="AB43" s="86" t="s">
        <v>786</v>
      </c>
      <c r="AC43" s="86">
        <v>199</v>
      </c>
      <c r="AD43" s="87" t="s">
        <v>840</v>
      </c>
      <c r="AE43" s="88">
        <v>99</v>
      </c>
      <c r="AF43" s="86">
        <f t="shared" si="2"/>
        <v>85.344827586206904</v>
      </c>
      <c r="AG43" s="86">
        <f t="shared" si="3"/>
        <v>51.206896551724142</v>
      </c>
      <c r="AH43" s="89">
        <f t="shared" si="4"/>
        <v>5.4680134680134681E-3</v>
      </c>
      <c r="AI43" s="89">
        <f t="shared" si="5"/>
        <v>0.99453198653198649</v>
      </c>
      <c r="AJ43" s="90">
        <f t="shared" si="6"/>
        <v>0.4</v>
      </c>
      <c r="AK43" s="80" t="s">
        <v>808</v>
      </c>
      <c r="AL43" s="80" t="s">
        <v>67</v>
      </c>
      <c r="AM43" s="91">
        <v>6</v>
      </c>
      <c r="AN43" s="29">
        <f t="shared" si="18"/>
        <v>144</v>
      </c>
      <c r="AO43" s="344" t="s">
        <v>809</v>
      </c>
      <c r="AP43" s="355">
        <v>46296</v>
      </c>
      <c r="AR43" s="67">
        <f t="shared" si="16"/>
        <v>64.350000000000009</v>
      </c>
      <c r="AS43" s="63">
        <f t="shared" si="7"/>
        <v>55.474137931034491</v>
      </c>
      <c r="AT43" s="64">
        <f t="shared" si="8"/>
        <v>5.0473970473970467E-3</v>
      </c>
      <c r="AU43" s="65">
        <f t="shared" si="9"/>
        <v>0.9949526029526029</v>
      </c>
      <c r="AV43" s="33">
        <f t="shared" si="10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>
        <v>1</v>
      </c>
      <c r="BH43" s="3"/>
      <c r="BI43" s="3"/>
      <c r="BJ43" s="3">
        <v>9</v>
      </c>
      <c r="BK43" s="3">
        <f t="shared" si="11"/>
        <v>7</v>
      </c>
      <c r="BL43" s="292">
        <f t="shared" si="12"/>
        <v>0.77777777777777779</v>
      </c>
      <c r="BM43" s="295"/>
      <c r="BN43" s="295"/>
      <c r="BO43" s="295"/>
      <c r="BP43" s="295"/>
      <c r="BQ43" s="295"/>
      <c r="BR43" s="294" t="str">
        <f t="shared" si="14"/>
        <v>Todo ok por licencia. En producción.
Termina aprox 27/jun</v>
      </c>
      <c r="BS43" s="284">
        <f t="shared" si="15"/>
        <v>46296</v>
      </c>
      <c r="BT43" s="278" t="s">
        <v>86</v>
      </c>
      <c r="CJ43" s="278"/>
      <c r="CK43" s="278"/>
      <c r="CL43" s="278"/>
      <c r="CM43" s="278"/>
      <c r="CN43" s="278"/>
      <c r="CO43" s="278"/>
      <c r="CP43" s="268"/>
      <c r="CQ43" s="268"/>
      <c r="CR43" s="267"/>
      <c r="CS43" s="267"/>
      <c r="CT43" s="267"/>
      <c r="CU43" s="267"/>
      <c r="CV43" s="267"/>
      <c r="CW43" s="267"/>
      <c r="CX43" s="267"/>
      <c r="CY43" s="267"/>
      <c r="CZ43" s="267"/>
      <c r="DA43" s="267"/>
    </row>
    <row r="44" spans="1:105" ht="409.6" customHeight="1">
      <c r="A44" s="74">
        <v>46234</v>
      </c>
      <c r="B44" s="75" t="s">
        <v>174</v>
      </c>
      <c r="C44" s="5" t="s">
        <v>248</v>
      </c>
      <c r="D44" s="76">
        <v>7503057496497</v>
      </c>
      <c r="E44" s="77" t="s">
        <v>856</v>
      </c>
      <c r="F44" s="78" t="s">
        <v>857</v>
      </c>
      <c r="G44" s="79" t="s">
        <v>60</v>
      </c>
      <c r="H44" s="100" t="s">
        <v>858</v>
      </c>
      <c r="I44" s="85" t="s">
        <v>679</v>
      </c>
      <c r="J44" s="78" t="s">
        <v>281</v>
      </c>
      <c r="K44" s="81">
        <v>1</v>
      </c>
      <c r="L44" s="400" t="s">
        <v>859</v>
      </c>
      <c r="M44" s="80"/>
      <c r="N44" s="78" t="s">
        <v>860</v>
      </c>
      <c r="O44" s="80"/>
      <c r="P44" s="87" t="s">
        <v>861</v>
      </c>
      <c r="Q44" s="78" t="s">
        <v>862</v>
      </c>
      <c r="R44" s="78" t="s">
        <v>60</v>
      </c>
      <c r="S44" s="78" t="s">
        <v>863</v>
      </c>
      <c r="T44" s="84">
        <v>0.43</v>
      </c>
      <c r="U44" s="85" t="s">
        <v>64</v>
      </c>
      <c r="V44" s="85">
        <v>10000</v>
      </c>
      <c r="W44" s="86" t="e">
        <f t="shared" si="13"/>
        <v>#VALUE!</v>
      </c>
      <c r="X44" s="86" t="e">
        <f t="shared" ref="X44:X62" si="19">+W44*0.25</f>
        <v>#VALUE!</v>
      </c>
      <c r="Y44" s="86" t="e">
        <v>#VALUE!</v>
      </c>
      <c r="Z44" s="86" t="e">
        <f t="shared" si="1"/>
        <v>#VALUE!</v>
      </c>
      <c r="AA44" s="86">
        <v>0.52</v>
      </c>
      <c r="AB44" s="86" t="s">
        <v>777</v>
      </c>
      <c r="AC44" s="86">
        <v>95</v>
      </c>
      <c r="AD44" s="87" t="s">
        <v>864</v>
      </c>
      <c r="AE44" s="88">
        <v>59</v>
      </c>
      <c r="AF44" s="86">
        <f t="shared" si="2"/>
        <v>50.862068965517246</v>
      </c>
      <c r="AG44" s="86">
        <f t="shared" si="3"/>
        <v>30.517241379310345</v>
      </c>
      <c r="AH44" s="89">
        <f t="shared" si="4"/>
        <v>1.7039548022598869E-2</v>
      </c>
      <c r="AI44" s="89">
        <f t="shared" si="5"/>
        <v>0.98296045197740112</v>
      </c>
      <c r="AJ44" s="90">
        <f t="shared" si="6"/>
        <v>0.4</v>
      </c>
      <c r="AK44" s="80" t="s">
        <v>865</v>
      </c>
      <c r="AL44" s="80" t="s">
        <v>67</v>
      </c>
      <c r="AM44" s="91">
        <v>6</v>
      </c>
      <c r="AN44" s="29">
        <f t="shared" ref="AN44:AN49" si="20">+AM44*12</f>
        <v>72</v>
      </c>
      <c r="AO44" s="344" t="s">
        <v>866</v>
      </c>
      <c r="AP44" s="355">
        <v>46325</v>
      </c>
      <c r="AR44" s="67">
        <f t="shared" si="16"/>
        <v>38.35</v>
      </c>
      <c r="AS44" s="63">
        <f t="shared" si="7"/>
        <v>33.060344827586214</v>
      </c>
      <c r="AT44" s="64">
        <f t="shared" si="8"/>
        <v>1.5728813559322031E-2</v>
      </c>
      <c r="AU44" s="65">
        <f t="shared" si="9"/>
        <v>0.98427118644067801</v>
      </c>
      <c r="AV44" s="33">
        <f t="shared" si="10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>
        <v>1</v>
      </c>
      <c r="BH44" s="3"/>
      <c r="BI44" s="3"/>
      <c r="BJ44" s="3">
        <v>9</v>
      </c>
      <c r="BK44" s="3">
        <f t="shared" si="11"/>
        <v>7</v>
      </c>
      <c r="BL44" s="292">
        <f t="shared" si="12"/>
        <v>0.77777777777777779</v>
      </c>
      <c r="BM44" s="295"/>
      <c r="BN44" s="295"/>
      <c r="BO44" s="295"/>
      <c r="BP44" s="295"/>
      <c r="BQ44" s="295"/>
      <c r="BR44" s="294" t="str">
        <f t="shared" si="14"/>
        <v>Se mandaron fotos de PP a licencia para vobo</v>
      </c>
      <c r="BS44" s="284">
        <f t="shared" si="15"/>
        <v>46325</v>
      </c>
      <c r="BT44" s="278" t="s">
        <v>150</v>
      </c>
      <c r="CJ44" s="278"/>
      <c r="CK44" s="278"/>
      <c r="CL44" s="278"/>
      <c r="CM44" s="278"/>
      <c r="CN44" s="278"/>
      <c r="CO44" s="278"/>
      <c r="CP44" s="268"/>
      <c r="CQ44" s="268"/>
      <c r="CR44" s="341"/>
      <c r="CS44" s="341"/>
      <c r="CT44" s="341"/>
      <c r="CU44" s="341"/>
      <c r="CV44" s="341"/>
      <c r="CW44" s="341"/>
      <c r="CX44" s="341"/>
      <c r="CY44" s="341"/>
      <c r="CZ44" s="341"/>
      <c r="DA44" s="341"/>
    </row>
    <row r="45" spans="1:105" ht="324.95" customHeight="1">
      <c r="A45" s="74">
        <v>46234</v>
      </c>
      <c r="B45" s="75" t="s">
        <v>174</v>
      </c>
      <c r="C45" s="5" t="s">
        <v>248</v>
      </c>
      <c r="D45" s="76">
        <v>7503057496503</v>
      </c>
      <c r="E45" s="77" t="s">
        <v>867</v>
      </c>
      <c r="F45" s="78" t="s">
        <v>868</v>
      </c>
      <c r="G45" s="79" t="s">
        <v>60</v>
      </c>
      <c r="H45" s="100" t="s">
        <v>858</v>
      </c>
      <c r="I45" s="85" t="s">
        <v>679</v>
      </c>
      <c r="J45" s="78" t="s">
        <v>281</v>
      </c>
      <c r="K45" s="81">
        <v>1</v>
      </c>
      <c r="L45" s="400"/>
      <c r="M45" s="80"/>
      <c r="N45" s="78" t="s">
        <v>869</v>
      </c>
      <c r="O45" s="104"/>
      <c r="P45" s="87" t="s">
        <v>870</v>
      </c>
      <c r="Q45" s="78" t="s">
        <v>871</v>
      </c>
      <c r="R45" s="78" t="s">
        <v>60</v>
      </c>
      <c r="S45" s="78" t="s">
        <v>863</v>
      </c>
      <c r="T45" s="84">
        <v>0.43</v>
      </c>
      <c r="U45" s="85" t="s">
        <v>64</v>
      </c>
      <c r="V45" s="85">
        <v>10000</v>
      </c>
      <c r="W45" s="86" t="e">
        <f t="shared" si="13"/>
        <v>#VALUE!</v>
      </c>
      <c r="X45" s="86" t="e">
        <f t="shared" si="19"/>
        <v>#VALUE!</v>
      </c>
      <c r="Y45" s="86" t="e">
        <v>#VALUE!</v>
      </c>
      <c r="Z45" s="86" t="e">
        <f t="shared" si="1"/>
        <v>#VALUE!</v>
      </c>
      <c r="AA45" s="86">
        <v>0.52</v>
      </c>
      <c r="AB45" s="86" t="s">
        <v>777</v>
      </c>
      <c r="AC45" s="86">
        <v>95</v>
      </c>
      <c r="AD45" s="87" t="s">
        <v>864</v>
      </c>
      <c r="AE45" s="88">
        <v>59</v>
      </c>
      <c r="AF45" s="86">
        <f t="shared" si="2"/>
        <v>50.862068965517246</v>
      </c>
      <c r="AG45" s="86">
        <f t="shared" si="3"/>
        <v>30.517241379310345</v>
      </c>
      <c r="AH45" s="89">
        <f t="shared" si="4"/>
        <v>1.7039548022598869E-2</v>
      </c>
      <c r="AI45" s="89">
        <f t="shared" si="5"/>
        <v>0.98296045197740112</v>
      </c>
      <c r="AJ45" s="90">
        <f t="shared" si="6"/>
        <v>0.4</v>
      </c>
      <c r="AK45" s="80" t="s">
        <v>865</v>
      </c>
      <c r="AL45" s="80" t="s">
        <v>67</v>
      </c>
      <c r="AM45" s="91">
        <v>6</v>
      </c>
      <c r="AN45" s="29">
        <f t="shared" si="20"/>
        <v>72</v>
      </c>
      <c r="AO45" s="344" t="s">
        <v>866</v>
      </c>
      <c r="AP45" s="355">
        <v>46325</v>
      </c>
      <c r="AR45" s="67">
        <f t="shared" si="16"/>
        <v>38.35</v>
      </c>
      <c r="AS45" s="63">
        <f t="shared" si="7"/>
        <v>33.060344827586214</v>
      </c>
      <c r="AT45" s="64">
        <f t="shared" si="8"/>
        <v>1.5728813559322031E-2</v>
      </c>
      <c r="AU45" s="65">
        <f t="shared" si="9"/>
        <v>0.98427118644067801</v>
      </c>
      <c r="AV45" s="33">
        <f t="shared" si="10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>
        <v>1</v>
      </c>
      <c r="BH45" s="3"/>
      <c r="BI45" s="3"/>
      <c r="BJ45" s="3">
        <v>9</v>
      </c>
      <c r="BK45" s="3">
        <f t="shared" si="11"/>
        <v>7</v>
      </c>
      <c r="BL45" s="292">
        <f t="shared" si="12"/>
        <v>0.77777777777777779</v>
      </c>
      <c r="BM45" s="295"/>
      <c r="BN45" s="295"/>
      <c r="BO45" s="295"/>
      <c r="BP45" s="295"/>
      <c r="BQ45" s="295"/>
      <c r="BR45" s="294" t="str">
        <f t="shared" si="14"/>
        <v>Se mandaron fotos de PP a licencia para vobo</v>
      </c>
      <c r="BS45" s="284">
        <f t="shared" si="15"/>
        <v>46325</v>
      </c>
      <c r="BT45" s="278" t="s">
        <v>150</v>
      </c>
      <c r="CJ45" s="278"/>
      <c r="CK45" s="278"/>
      <c r="CL45" s="278"/>
      <c r="CM45" s="278"/>
      <c r="CN45" s="278"/>
      <c r="CO45" s="278"/>
      <c r="CP45" s="268"/>
      <c r="CQ45" s="268"/>
      <c r="CR45" s="267"/>
      <c r="CS45" s="267"/>
      <c r="CT45" s="267"/>
      <c r="CU45" s="267"/>
      <c r="CV45" s="267"/>
      <c r="CW45" s="267"/>
      <c r="CX45" s="267"/>
      <c r="CY45" s="267"/>
      <c r="CZ45" s="267"/>
      <c r="DA45" s="267"/>
    </row>
    <row r="46" spans="1:105" ht="324.95" customHeight="1">
      <c r="A46" s="74">
        <v>46234</v>
      </c>
      <c r="B46" s="75" t="s">
        <v>174</v>
      </c>
      <c r="C46" s="5" t="s">
        <v>248</v>
      </c>
      <c r="D46" s="76">
        <v>7503057496510</v>
      </c>
      <c r="E46" s="77" t="s">
        <v>872</v>
      </c>
      <c r="F46" s="78" t="s">
        <v>873</v>
      </c>
      <c r="G46" s="79" t="s">
        <v>60</v>
      </c>
      <c r="H46" s="100" t="s">
        <v>858</v>
      </c>
      <c r="I46" s="85" t="s">
        <v>679</v>
      </c>
      <c r="J46" s="78" t="s">
        <v>281</v>
      </c>
      <c r="K46" s="81">
        <v>1</v>
      </c>
      <c r="L46" s="400"/>
      <c r="M46" s="80"/>
      <c r="N46" s="78" t="s">
        <v>874</v>
      </c>
      <c r="O46" s="104"/>
      <c r="P46" s="87" t="s">
        <v>875</v>
      </c>
      <c r="Q46" s="78" t="s">
        <v>876</v>
      </c>
      <c r="R46" s="105" t="s">
        <v>60</v>
      </c>
      <c r="S46" s="78" t="s">
        <v>863</v>
      </c>
      <c r="T46" s="84">
        <v>0.43</v>
      </c>
      <c r="U46" s="85" t="s">
        <v>64</v>
      </c>
      <c r="V46" s="85">
        <v>10000</v>
      </c>
      <c r="W46" s="86" t="e">
        <f t="shared" si="13"/>
        <v>#VALUE!</v>
      </c>
      <c r="X46" s="86" t="e">
        <f t="shared" si="19"/>
        <v>#VALUE!</v>
      </c>
      <c r="Y46" s="86" t="e">
        <v>#VALUE!</v>
      </c>
      <c r="Z46" s="86" t="e">
        <f t="shared" si="1"/>
        <v>#VALUE!</v>
      </c>
      <c r="AA46" s="86">
        <v>0.52</v>
      </c>
      <c r="AB46" s="86" t="s">
        <v>777</v>
      </c>
      <c r="AC46" s="86">
        <v>95</v>
      </c>
      <c r="AD46" s="87" t="s">
        <v>864</v>
      </c>
      <c r="AE46" s="88">
        <v>59</v>
      </c>
      <c r="AF46" s="86">
        <f t="shared" si="2"/>
        <v>50.862068965517246</v>
      </c>
      <c r="AG46" s="86">
        <f t="shared" si="3"/>
        <v>30.517241379310345</v>
      </c>
      <c r="AH46" s="89">
        <f t="shared" si="4"/>
        <v>1.7039548022598869E-2</v>
      </c>
      <c r="AI46" s="89">
        <f t="shared" si="5"/>
        <v>0.98296045197740112</v>
      </c>
      <c r="AJ46" s="90">
        <f t="shared" si="6"/>
        <v>0.4</v>
      </c>
      <c r="AK46" s="80" t="s">
        <v>865</v>
      </c>
      <c r="AL46" s="80" t="s">
        <v>67</v>
      </c>
      <c r="AM46" s="91">
        <v>6</v>
      </c>
      <c r="AN46" s="29">
        <f t="shared" si="20"/>
        <v>72</v>
      </c>
      <c r="AO46" s="344" t="s">
        <v>866</v>
      </c>
      <c r="AP46" s="355">
        <v>46325</v>
      </c>
      <c r="AR46" s="67">
        <f t="shared" si="16"/>
        <v>38.35</v>
      </c>
      <c r="AS46" s="63">
        <f t="shared" si="7"/>
        <v>33.060344827586214</v>
      </c>
      <c r="AT46" s="64">
        <f t="shared" si="8"/>
        <v>1.5728813559322031E-2</v>
      </c>
      <c r="AU46" s="65">
        <f t="shared" si="9"/>
        <v>0.98427118644067801</v>
      </c>
      <c r="AV46" s="33">
        <f t="shared" si="10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>
        <v>1</v>
      </c>
      <c r="BH46" s="3"/>
      <c r="BI46" s="3"/>
      <c r="BJ46" s="3">
        <v>9</v>
      </c>
      <c r="BK46" s="3">
        <f t="shared" si="11"/>
        <v>7</v>
      </c>
      <c r="BL46" s="292">
        <f t="shared" si="12"/>
        <v>0.77777777777777779</v>
      </c>
      <c r="BM46" s="295"/>
      <c r="BN46" s="295"/>
      <c r="BO46" s="295"/>
      <c r="BP46" s="295"/>
      <c r="BQ46" s="295"/>
      <c r="BR46" s="294" t="str">
        <f t="shared" si="14"/>
        <v>Se mandaron fotos de PP a licencia para vobo</v>
      </c>
      <c r="BS46" s="284">
        <f t="shared" si="15"/>
        <v>46325</v>
      </c>
      <c r="BT46" s="278" t="s">
        <v>150</v>
      </c>
      <c r="CJ46" s="278"/>
      <c r="CK46" s="278"/>
      <c r="CL46" s="278"/>
      <c r="CM46" s="278"/>
      <c r="CN46" s="278"/>
      <c r="CO46" s="278"/>
      <c r="CP46" s="268"/>
      <c r="CQ46" s="268"/>
      <c r="CR46" s="267"/>
      <c r="CS46" s="267"/>
      <c r="CT46" s="267"/>
      <c r="CU46" s="267"/>
      <c r="CV46" s="267"/>
      <c r="CW46" s="267"/>
      <c r="CX46" s="267"/>
      <c r="CY46" s="267"/>
      <c r="CZ46" s="267"/>
      <c r="DA46" s="267"/>
    </row>
    <row r="47" spans="1:105" ht="324.95" customHeight="1">
      <c r="A47" s="74">
        <v>46234</v>
      </c>
      <c r="B47" s="75" t="s">
        <v>174</v>
      </c>
      <c r="C47" s="5" t="s">
        <v>248</v>
      </c>
      <c r="D47" s="76">
        <v>7503057496527</v>
      </c>
      <c r="E47" s="77" t="s">
        <v>877</v>
      </c>
      <c r="F47" s="78" t="s">
        <v>878</v>
      </c>
      <c r="G47" s="79" t="s">
        <v>60</v>
      </c>
      <c r="H47" s="100" t="s">
        <v>858</v>
      </c>
      <c r="I47" s="85" t="s">
        <v>679</v>
      </c>
      <c r="J47" s="78" t="s">
        <v>281</v>
      </c>
      <c r="K47" s="81">
        <v>1</v>
      </c>
      <c r="L47" s="400"/>
      <c r="M47" s="80"/>
      <c r="N47" s="78" t="s">
        <v>879</v>
      </c>
      <c r="O47" s="80"/>
      <c r="P47" s="87" t="s">
        <v>880</v>
      </c>
      <c r="Q47" s="78" t="s">
        <v>881</v>
      </c>
      <c r="R47" s="105" t="s">
        <v>60</v>
      </c>
      <c r="S47" s="78" t="s">
        <v>863</v>
      </c>
      <c r="T47" s="84">
        <v>0.43</v>
      </c>
      <c r="U47" s="85" t="s">
        <v>64</v>
      </c>
      <c r="V47" s="85">
        <v>10000</v>
      </c>
      <c r="W47" s="86" t="e">
        <f t="shared" si="13"/>
        <v>#VALUE!</v>
      </c>
      <c r="X47" s="86" t="e">
        <f t="shared" si="19"/>
        <v>#VALUE!</v>
      </c>
      <c r="Y47" s="86" t="e">
        <v>#VALUE!</v>
      </c>
      <c r="Z47" s="86" t="e">
        <f t="shared" si="1"/>
        <v>#VALUE!</v>
      </c>
      <c r="AA47" s="86">
        <v>0.52</v>
      </c>
      <c r="AB47" s="86" t="s">
        <v>777</v>
      </c>
      <c r="AC47" s="86">
        <v>95</v>
      </c>
      <c r="AD47" s="87" t="s">
        <v>864</v>
      </c>
      <c r="AE47" s="88">
        <v>59</v>
      </c>
      <c r="AF47" s="86">
        <f t="shared" si="2"/>
        <v>50.862068965517246</v>
      </c>
      <c r="AG47" s="86">
        <f t="shared" si="3"/>
        <v>30.517241379310345</v>
      </c>
      <c r="AH47" s="89">
        <f t="shared" si="4"/>
        <v>1.7039548022598869E-2</v>
      </c>
      <c r="AI47" s="89">
        <f t="shared" si="5"/>
        <v>0.98296045197740112</v>
      </c>
      <c r="AJ47" s="90">
        <f t="shared" si="6"/>
        <v>0.4</v>
      </c>
      <c r="AK47" s="80" t="s">
        <v>865</v>
      </c>
      <c r="AL47" s="80" t="s">
        <v>67</v>
      </c>
      <c r="AM47" s="91">
        <v>6</v>
      </c>
      <c r="AN47" s="29">
        <f t="shared" si="20"/>
        <v>72</v>
      </c>
      <c r="AO47" s="344" t="s">
        <v>866</v>
      </c>
      <c r="AP47" s="355">
        <v>46325</v>
      </c>
      <c r="AR47" s="67">
        <f t="shared" si="16"/>
        <v>38.35</v>
      </c>
      <c r="AS47" s="63">
        <f t="shared" si="7"/>
        <v>33.060344827586214</v>
      </c>
      <c r="AT47" s="64">
        <f t="shared" si="8"/>
        <v>1.5728813559322031E-2</v>
      </c>
      <c r="AU47" s="65">
        <f t="shared" si="9"/>
        <v>0.98427118644067801</v>
      </c>
      <c r="AV47" s="33">
        <f t="shared" si="10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>
        <v>1</v>
      </c>
      <c r="BH47" s="3"/>
      <c r="BI47" s="3"/>
      <c r="BJ47" s="3">
        <v>9</v>
      </c>
      <c r="BK47" s="3">
        <f t="shared" si="11"/>
        <v>7</v>
      </c>
      <c r="BL47" s="292">
        <f t="shared" si="12"/>
        <v>0.77777777777777779</v>
      </c>
      <c r="BM47" s="295"/>
      <c r="BN47" s="295"/>
      <c r="BO47" s="295"/>
      <c r="BP47" s="295"/>
      <c r="BQ47" s="295"/>
      <c r="BR47" s="294" t="str">
        <f t="shared" si="14"/>
        <v>Se mandaron fotos de PP a licencia para vobo</v>
      </c>
      <c r="BS47" s="284">
        <f t="shared" si="15"/>
        <v>46325</v>
      </c>
      <c r="BT47" s="278" t="s">
        <v>150</v>
      </c>
      <c r="CJ47" s="278"/>
      <c r="CK47" s="278"/>
      <c r="CL47" s="278"/>
      <c r="CM47" s="278"/>
      <c r="CN47" s="278"/>
      <c r="CO47" s="278"/>
      <c r="CP47" s="268"/>
      <c r="CQ47" s="268"/>
      <c r="CR47" s="267"/>
      <c r="CS47" s="267"/>
      <c r="CT47" s="267"/>
      <c r="CU47" s="267"/>
      <c r="CV47" s="267"/>
      <c r="CW47" s="267"/>
      <c r="CX47" s="267"/>
      <c r="CY47" s="267"/>
      <c r="CZ47" s="267"/>
      <c r="DA47" s="267"/>
    </row>
    <row r="48" spans="1:105" ht="324.95" customHeight="1">
      <c r="A48" s="74">
        <v>46234</v>
      </c>
      <c r="B48" s="75" t="s">
        <v>174</v>
      </c>
      <c r="C48" s="5" t="s">
        <v>248</v>
      </c>
      <c r="D48" s="76">
        <v>7503057496534</v>
      </c>
      <c r="E48" s="77" t="s">
        <v>882</v>
      </c>
      <c r="F48" s="78" t="s">
        <v>883</v>
      </c>
      <c r="G48" s="79" t="s">
        <v>60</v>
      </c>
      <c r="H48" s="100" t="s">
        <v>858</v>
      </c>
      <c r="I48" s="85" t="s">
        <v>679</v>
      </c>
      <c r="J48" s="78" t="s">
        <v>281</v>
      </c>
      <c r="K48" s="81">
        <v>1</v>
      </c>
      <c r="L48" s="400"/>
      <c r="M48" s="80"/>
      <c r="N48" s="78" t="s">
        <v>884</v>
      </c>
      <c r="O48" s="80"/>
      <c r="P48" s="87" t="s">
        <v>885</v>
      </c>
      <c r="Q48" s="78" t="s">
        <v>886</v>
      </c>
      <c r="R48" s="105" t="s">
        <v>60</v>
      </c>
      <c r="S48" s="78" t="s">
        <v>863</v>
      </c>
      <c r="T48" s="84">
        <v>0.43</v>
      </c>
      <c r="U48" s="85" t="s">
        <v>64</v>
      </c>
      <c r="V48" s="85">
        <v>10000</v>
      </c>
      <c r="W48" s="86" t="e">
        <f t="shared" si="13"/>
        <v>#VALUE!</v>
      </c>
      <c r="X48" s="86" t="e">
        <f t="shared" si="19"/>
        <v>#VALUE!</v>
      </c>
      <c r="Y48" s="86" t="e">
        <v>#VALUE!</v>
      </c>
      <c r="Z48" s="86" t="e">
        <f t="shared" si="1"/>
        <v>#VALUE!</v>
      </c>
      <c r="AA48" s="86">
        <v>0.52</v>
      </c>
      <c r="AB48" s="86" t="s">
        <v>777</v>
      </c>
      <c r="AC48" s="86">
        <v>95</v>
      </c>
      <c r="AD48" s="87" t="s">
        <v>864</v>
      </c>
      <c r="AE48" s="88">
        <v>59</v>
      </c>
      <c r="AF48" s="86">
        <f t="shared" si="2"/>
        <v>50.862068965517246</v>
      </c>
      <c r="AG48" s="86">
        <f t="shared" si="3"/>
        <v>30.517241379310345</v>
      </c>
      <c r="AH48" s="89">
        <f t="shared" si="4"/>
        <v>1.7039548022598869E-2</v>
      </c>
      <c r="AI48" s="89">
        <f t="shared" si="5"/>
        <v>0.98296045197740112</v>
      </c>
      <c r="AJ48" s="90">
        <f t="shared" si="6"/>
        <v>0.4</v>
      </c>
      <c r="AK48" s="80" t="s">
        <v>865</v>
      </c>
      <c r="AL48" s="80" t="s">
        <v>67</v>
      </c>
      <c r="AM48" s="91">
        <v>6</v>
      </c>
      <c r="AN48" s="29">
        <f t="shared" si="20"/>
        <v>72</v>
      </c>
      <c r="AO48" s="344" t="s">
        <v>866</v>
      </c>
      <c r="AP48" s="355">
        <v>46325</v>
      </c>
      <c r="AR48" s="67">
        <f t="shared" si="16"/>
        <v>38.35</v>
      </c>
      <c r="AS48" s="63">
        <f t="shared" si="7"/>
        <v>33.060344827586214</v>
      </c>
      <c r="AT48" s="64">
        <f t="shared" si="8"/>
        <v>1.5728813559322031E-2</v>
      </c>
      <c r="AU48" s="65">
        <f t="shared" si="9"/>
        <v>0.98427118644067801</v>
      </c>
      <c r="AV48" s="33">
        <f t="shared" si="10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>
        <v>1</v>
      </c>
      <c r="BH48" s="3"/>
      <c r="BI48" s="3"/>
      <c r="BJ48" s="3">
        <v>9</v>
      </c>
      <c r="BK48" s="3">
        <f t="shared" si="11"/>
        <v>7</v>
      </c>
      <c r="BL48" s="292">
        <f t="shared" si="12"/>
        <v>0.77777777777777779</v>
      </c>
      <c r="BM48" s="295"/>
      <c r="BN48" s="295"/>
      <c r="BO48" s="295"/>
      <c r="BP48" s="295"/>
      <c r="BQ48" s="295"/>
      <c r="BR48" s="294" t="str">
        <f t="shared" si="14"/>
        <v>Se mandaron fotos de PP a licencia para vobo</v>
      </c>
      <c r="BS48" s="284">
        <f t="shared" si="15"/>
        <v>46325</v>
      </c>
      <c r="BT48" s="278" t="s">
        <v>150</v>
      </c>
      <c r="CJ48" s="278"/>
      <c r="CK48" s="278"/>
      <c r="CL48" s="278"/>
      <c r="CM48" s="278"/>
      <c r="CN48" s="278"/>
      <c r="CO48" s="278"/>
      <c r="CP48" s="268"/>
      <c r="CQ48" s="268"/>
      <c r="CR48" s="267"/>
      <c r="CS48" s="267"/>
      <c r="CT48" s="267"/>
      <c r="CU48" s="267"/>
      <c r="CV48" s="267"/>
      <c r="CW48" s="267"/>
      <c r="CX48" s="267"/>
      <c r="CY48" s="267"/>
      <c r="CZ48" s="267"/>
      <c r="DA48" s="267"/>
    </row>
    <row r="49" spans="1:105" ht="324.95" customHeight="1">
      <c r="A49" s="74">
        <v>46234</v>
      </c>
      <c r="B49" s="75" t="s">
        <v>174</v>
      </c>
      <c r="C49" s="5" t="s">
        <v>248</v>
      </c>
      <c r="D49" s="76">
        <v>7503057496541</v>
      </c>
      <c r="E49" s="77" t="s">
        <v>887</v>
      </c>
      <c r="F49" s="78" t="s">
        <v>888</v>
      </c>
      <c r="G49" s="79" t="s">
        <v>60</v>
      </c>
      <c r="H49" s="100" t="s">
        <v>858</v>
      </c>
      <c r="I49" s="85" t="s">
        <v>679</v>
      </c>
      <c r="J49" s="78" t="s">
        <v>281</v>
      </c>
      <c r="K49" s="81">
        <v>1</v>
      </c>
      <c r="L49" s="400"/>
      <c r="M49" s="80"/>
      <c r="N49" s="78" t="s">
        <v>889</v>
      </c>
      <c r="O49" s="80"/>
      <c r="P49" s="87" t="s">
        <v>890</v>
      </c>
      <c r="Q49" s="78" t="s">
        <v>891</v>
      </c>
      <c r="R49" s="105" t="s">
        <v>60</v>
      </c>
      <c r="S49" s="78" t="s">
        <v>863</v>
      </c>
      <c r="T49" s="84">
        <v>0.43</v>
      </c>
      <c r="U49" s="85" t="s">
        <v>64</v>
      </c>
      <c r="V49" s="85">
        <v>10000</v>
      </c>
      <c r="W49" s="86" t="e">
        <f t="shared" si="13"/>
        <v>#VALUE!</v>
      </c>
      <c r="X49" s="86" t="e">
        <f t="shared" si="19"/>
        <v>#VALUE!</v>
      </c>
      <c r="Y49" s="86" t="e">
        <v>#VALUE!</v>
      </c>
      <c r="Z49" s="86" t="e">
        <f t="shared" ref="Z49:Z72" si="21">+AG49*$AB$18</f>
        <v>#VALUE!</v>
      </c>
      <c r="AA49" s="86">
        <v>0.52</v>
      </c>
      <c r="AB49" s="86" t="s">
        <v>777</v>
      </c>
      <c r="AC49" s="86">
        <v>95</v>
      </c>
      <c r="AD49" s="87" t="s">
        <v>864</v>
      </c>
      <c r="AE49" s="88">
        <v>59</v>
      </c>
      <c r="AF49" s="86">
        <f t="shared" ref="AF49:AF72" si="22">AE49/1.16</f>
        <v>50.862068965517246</v>
      </c>
      <c r="AG49" s="86">
        <f t="shared" ref="AG49:AG72" si="23">(AF49)*0.6</f>
        <v>30.517241379310345</v>
      </c>
      <c r="AH49" s="89">
        <f t="shared" ref="AH49:AH72" si="24">AA49/AG49</f>
        <v>1.7039548022598869E-2</v>
      </c>
      <c r="AI49" s="89">
        <f t="shared" ref="AI49:AI72" si="25">1-(AA49/AG49)</f>
        <v>0.98296045197740112</v>
      </c>
      <c r="AJ49" s="90">
        <f t="shared" ref="AJ49:AJ72" si="26">1-(AG49/(AE49/1.16))</f>
        <v>0.4</v>
      </c>
      <c r="AK49" s="80" t="s">
        <v>865</v>
      </c>
      <c r="AL49" s="80" t="s">
        <v>67</v>
      </c>
      <c r="AM49" s="91">
        <v>6</v>
      </c>
      <c r="AN49" s="29">
        <f t="shared" si="20"/>
        <v>72</v>
      </c>
      <c r="AO49" s="344" t="s">
        <v>892</v>
      </c>
      <c r="AP49" s="355">
        <v>46325</v>
      </c>
      <c r="AR49" s="67">
        <f t="shared" si="16"/>
        <v>38.35</v>
      </c>
      <c r="AS49" s="63">
        <f t="shared" ref="AS49:AS72" si="27">(AR49/1.16)</f>
        <v>33.060344827586214</v>
      </c>
      <c r="AT49" s="64">
        <f t="shared" ref="AT49:AT72" si="28">+AA49/AS49</f>
        <v>1.5728813559322031E-2</v>
      </c>
      <c r="AU49" s="65">
        <f t="shared" ref="AU49:AU72" si="29">1-(AA49/AS49)</f>
        <v>0.98427118644067801</v>
      </c>
      <c r="AV49" s="33">
        <f t="shared" ref="AV49:AV72" si="30">1-(AS49/(AR49/1.16))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>
        <v>1</v>
      </c>
      <c r="BH49" s="3"/>
      <c r="BI49" s="3"/>
      <c r="BJ49" s="3">
        <v>9</v>
      </c>
      <c r="BK49" s="3">
        <f t="shared" ref="BK49:BK72" si="31">SUM(BA49:BG49)</f>
        <v>7</v>
      </c>
      <c r="BL49" s="292">
        <f t="shared" ref="BL49:BL72" si="32">+BK49/BJ49</f>
        <v>0.77777777777777779</v>
      </c>
      <c r="BM49" s="295"/>
      <c r="BN49" s="295"/>
      <c r="BO49" s="295"/>
      <c r="BP49" s="295"/>
      <c r="BQ49" s="295"/>
      <c r="BR49" s="294" t="str">
        <f t="shared" si="14"/>
        <v>se mando el ajuste de serigrafía, en espera de PP</v>
      </c>
      <c r="BS49" s="284">
        <f t="shared" si="15"/>
        <v>46325</v>
      </c>
      <c r="BT49" s="278" t="s">
        <v>150</v>
      </c>
      <c r="CJ49" s="278"/>
      <c r="CK49" s="278"/>
      <c r="CL49" s="278"/>
      <c r="CM49" s="278"/>
      <c r="CN49" s="278"/>
      <c r="CO49" s="278"/>
      <c r="CP49" s="268"/>
      <c r="CQ49" s="268"/>
      <c r="CR49" s="267"/>
      <c r="CS49" s="267"/>
      <c r="CT49" s="267"/>
      <c r="CU49" s="267"/>
      <c r="CV49" s="267"/>
      <c r="CW49" s="267"/>
      <c r="CX49" s="267"/>
      <c r="CY49" s="267"/>
      <c r="CZ49" s="267"/>
      <c r="DA49" s="267"/>
    </row>
    <row r="50" spans="1:105" ht="409.6" customHeight="1">
      <c r="A50" s="74">
        <v>46234</v>
      </c>
      <c r="B50" s="75" t="s">
        <v>174</v>
      </c>
      <c r="C50" s="5" t="s">
        <v>248</v>
      </c>
      <c r="D50" s="76">
        <v>7503057496558</v>
      </c>
      <c r="E50" s="77" t="s">
        <v>893</v>
      </c>
      <c r="F50" s="78" t="s">
        <v>894</v>
      </c>
      <c r="G50" s="79" t="s">
        <v>60</v>
      </c>
      <c r="H50" s="75" t="s">
        <v>569</v>
      </c>
      <c r="I50" s="85" t="s">
        <v>679</v>
      </c>
      <c r="J50" s="78" t="s">
        <v>281</v>
      </c>
      <c r="K50" s="81">
        <v>1</v>
      </c>
      <c r="L50" s="400" t="s">
        <v>895</v>
      </c>
      <c r="M50" s="80"/>
      <c r="N50" s="78" t="s">
        <v>896</v>
      </c>
      <c r="O50" s="80"/>
      <c r="P50" s="392" t="s">
        <v>897</v>
      </c>
      <c r="Q50" s="78" t="s">
        <v>898</v>
      </c>
      <c r="R50" s="80" t="s">
        <v>60</v>
      </c>
      <c r="S50" s="78" t="s">
        <v>899</v>
      </c>
      <c r="T50" s="106">
        <v>0.56999999999999995</v>
      </c>
      <c r="U50" s="85" t="s">
        <v>64</v>
      </c>
      <c r="V50" s="85">
        <v>10000</v>
      </c>
      <c r="W50" s="86" t="e">
        <f t="shared" ref="W50:W72" si="33">+T50*$Y$17</f>
        <v>#VALUE!</v>
      </c>
      <c r="X50" s="86" t="e">
        <f t="shared" si="19"/>
        <v>#VALUE!</v>
      </c>
      <c r="Y50" s="86" t="e">
        <v>#VALUE!</v>
      </c>
      <c r="Z50" s="86" t="e">
        <f t="shared" si="21"/>
        <v>#VALUE!</v>
      </c>
      <c r="AA50" s="86">
        <v>0.45</v>
      </c>
      <c r="AB50" s="86" t="s">
        <v>900</v>
      </c>
      <c r="AC50" s="86">
        <v>199</v>
      </c>
      <c r="AD50" s="87" t="s">
        <v>901</v>
      </c>
      <c r="AE50" s="88">
        <v>129</v>
      </c>
      <c r="AF50" s="86">
        <f t="shared" si="22"/>
        <v>111.20689655172414</v>
      </c>
      <c r="AG50" s="86">
        <f t="shared" si="23"/>
        <v>66.724137931034477</v>
      </c>
      <c r="AH50" s="89">
        <f t="shared" si="24"/>
        <v>6.7441860465116289E-3</v>
      </c>
      <c r="AI50" s="89">
        <f t="shared" si="25"/>
        <v>0.99325581395348839</v>
      </c>
      <c r="AJ50" s="90">
        <f t="shared" si="26"/>
        <v>0.4</v>
      </c>
      <c r="AK50" s="80" t="s">
        <v>808</v>
      </c>
      <c r="AL50" s="80" t="s">
        <v>67</v>
      </c>
      <c r="AM50" s="91">
        <v>6</v>
      </c>
      <c r="AN50" s="29">
        <f t="shared" ref="AN50:AN61" si="34">+AM50*24</f>
        <v>144</v>
      </c>
      <c r="AO50" s="344" t="s">
        <v>809</v>
      </c>
      <c r="AP50" s="355">
        <v>46296</v>
      </c>
      <c r="AR50" s="67">
        <f t="shared" si="16"/>
        <v>83.850000000000009</v>
      </c>
      <c r="AS50" s="63">
        <f t="shared" si="27"/>
        <v>72.284482758620697</v>
      </c>
      <c r="AT50" s="64">
        <f t="shared" si="28"/>
        <v>6.2254025044722718E-3</v>
      </c>
      <c r="AU50" s="65">
        <f t="shared" si="29"/>
        <v>0.99377459749552777</v>
      </c>
      <c r="AV50" s="33">
        <f t="shared" si="30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>
        <v>1</v>
      </c>
      <c r="BH50" s="3"/>
      <c r="BI50" s="3"/>
      <c r="BJ50" s="3">
        <v>9</v>
      </c>
      <c r="BK50" s="3">
        <f t="shared" si="31"/>
        <v>7</v>
      </c>
      <c r="BL50" s="292">
        <f t="shared" si="32"/>
        <v>0.77777777777777779</v>
      </c>
      <c r="BM50" s="295"/>
      <c r="BN50" s="295"/>
      <c r="BO50" s="295"/>
      <c r="BP50" s="295"/>
      <c r="BQ50" s="295"/>
      <c r="BR50" s="294" t="str">
        <f t="shared" si="14"/>
        <v>Todo ok por licencia. En producción.
Termina aprox 27/jun</v>
      </c>
      <c r="BS50" s="284">
        <f t="shared" si="15"/>
        <v>46296</v>
      </c>
      <c r="BT50" s="278" t="s">
        <v>679</v>
      </c>
      <c r="CJ50" s="278"/>
      <c r="CK50" s="278"/>
      <c r="CL50" s="278"/>
      <c r="CM50" s="278"/>
      <c r="CN50" s="278"/>
      <c r="CO50" s="278"/>
      <c r="CP50" s="268"/>
      <c r="CQ50" s="268"/>
      <c r="CR50" s="267"/>
      <c r="CS50" s="267"/>
      <c r="CT50" s="267"/>
      <c r="CU50" s="267"/>
      <c r="CV50" s="267"/>
      <c r="CW50" s="267"/>
      <c r="CX50" s="267"/>
      <c r="CY50" s="267"/>
      <c r="CZ50" s="267"/>
      <c r="DA50" s="267"/>
    </row>
    <row r="51" spans="1:105" ht="409.6">
      <c r="A51" s="74">
        <v>46234</v>
      </c>
      <c r="B51" s="75" t="s">
        <v>174</v>
      </c>
      <c r="C51" s="5" t="s">
        <v>248</v>
      </c>
      <c r="D51" s="76">
        <v>7503057496565</v>
      </c>
      <c r="E51" s="77" t="s">
        <v>902</v>
      </c>
      <c r="F51" s="78" t="s">
        <v>903</v>
      </c>
      <c r="G51" s="79" t="s">
        <v>60</v>
      </c>
      <c r="H51" s="75" t="s">
        <v>569</v>
      </c>
      <c r="I51" s="85" t="s">
        <v>679</v>
      </c>
      <c r="J51" s="78" t="s">
        <v>281</v>
      </c>
      <c r="K51" s="81">
        <v>1</v>
      </c>
      <c r="L51" s="400"/>
      <c r="M51" s="80"/>
      <c r="N51" s="78" t="s">
        <v>904</v>
      </c>
      <c r="O51" s="80"/>
      <c r="P51" s="392" t="s">
        <v>905</v>
      </c>
      <c r="Q51" s="78" t="s">
        <v>906</v>
      </c>
      <c r="R51" s="80" t="s">
        <v>60</v>
      </c>
      <c r="S51" s="78" t="s">
        <v>899</v>
      </c>
      <c r="T51" s="106">
        <v>0.56999999999999995</v>
      </c>
      <c r="U51" s="85" t="s">
        <v>64</v>
      </c>
      <c r="V51" s="85">
        <v>10000</v>
      </c>
      <c r="W51" s="86" t="e">
        <f t="shared" si="33"/>
        <v>#VALUE!</v>
      </c>
      <c r="X51" s="86" t="e">
        <f t="shared" si="19"/>
        <v>#VALUE!</v>
      </c>
      <c r="Y51" s="86" t="e">
        <v>#VALUE!</v>
      </c>
      <c r="Z51" s="86" t="e">
        <f t="shared" si="21"/>
        <v>#VALUE!</v>
      </c>
      <c r="AA51" s="86">
        <v>0.45</v>
      </c>
      <c r="AB51" s="86" t="s">
        <v>900</v>
      </c>
      <c r="AC51" s="86">
        <v>199</v>
      </c>
      <c r="AD51" s="87" t="s">
        <v>901</v>
      </c>
      <c r="AE51" s="88">
        <v>129</v>
      </c>
      <c r="AF51" s="86">
        <f t="shared" si="22"/>
        <v>111.20689655172414</v>
      </c>
      <c r="AG51" s="86">
        <f t="shared" si="23"/>
        <v>66.724137931034477</v>
      </c>
      <c r="AH51" s="89">
        <f t="shared" si="24"/>
        <v>6.7441860465116289E-3</v>
      </c>
      <c r="AI51" s="89">
        <f t="shared" si="25"/>
        <v>0.99325581395348839</v>
      </c>
      <c r="AJ51" s="90">
        <f t="shared" si="26"/>
        <v>0.4</v>
      </c>
      <c r="AK51" s="80" t="s">
        <v>808</v>
      </c>
      <c r="AL51" s="80" t="s">
        <v>67</v>
      </c>
      <c r="AM51" s="91">
        <v>6</v>
      </c>
      <c r="AN51" s="29">
        <f t="shared" si="34"/>
        <v>144</v>
      </c>
      <c r="AO51" s="344" t="s">
        <v>809</v>
      </c>
      <c r="AP51" s="355">
        <v>46296</v>
      </c>
      <c r="AR51" s="67">
        <f t="shared" si="16"/>
        <v>83.850000000000009</v>
      </c>
      <c r="AS51" s="63">
        <f t="shared" si="27"/>
        <v>72.284482758620697</v>
      </c>
      <c r="AT51" s="64">
        <f t="shared" si="28"/>
        <v>6.2254025044722718E-3</v>
      </c>
      <c r="AU51" s="65">
        <f t="shared" si="29"/>
        <v>0.99377459749552777</v>
      </c>
      <c r="AV51" s="33">
        <f t="shared" si="30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>
        <v>1</v>
      </c>
      <c r="BH51" s="3"/>
      <c r="BI51" s="3"/>
      <c r="BJ51" s="3">
        <v>9</v>
      </c>
      <c r="BK51" s="3">
        <f t="shared" si="31"/>
        <v>7</v>
      </c>
      <c r="BL51" s="292">
        <f t="shared" si="32"/>
        <v>0.77777777777777779</v>
      </c>
      <c r="BM51" s="295"/>
      <c r="BN51" s="295"/>
      <c r="BO51" s="295"/>
      <c r="BP51" s="295"/>
      <c r="BQ51" s="295"/>
      <c r="BR51" s="294" t="str">
        <f t="shared" si="14"/>
        <v>Todo ok por licencia. En producción.
Termina aprox 27/jun</v>
      </c>
      <c r="BS51" s="284">
        <f t="shared" si="15"/>
        <v>46296</v>
      </c>
      <c r="BT51" s="278" t="s">
        <v>86</v>
      </c>
      <c r="CJ51" s="278"/>
      <c r="CK51" s="278"/>
      <c r="CL51" s="278"/>
      <c r="CM51" s="278"/>
      <c r="CN51" s="278"/>
      <c r="CO51" s="278"/>
      <c r="CP51" s="268"/>
      <c r="CQ51" s="268"/>
      <c r="CR51" s="267"/>
      <c r="CS51" s="267"/>
      <c r="CT51" s="267"/>
      <c r="CU51" s="267"/>
      <c r="CV51" s="267"/>
      <c r="CW51" s="267"/>
      <c r="CX51" s="267"/>
      <c r="CY51" s="267"/>
      <c r="CZ51" s="267"/>
      <c r="DA51" s="267"/>
    </row>
    <row r="52" spans="1:105" ht="260.10000000000002" customHeight="1">
      <c r="A52" s="74">
        <v>46234</v>
      </c>
      <c r="B52" s="75" t="s">
        <v>277</v>
      </c>
      <c r="C52" s="5" t="s">
        <v>77</v>
      </c>
      <c r="D52" s="76">
        <v>7503057496572</v>
      </c>
      <c r="E52" s="77" t="s">
        <v>907</v>
      </c>
      <c r="F52" s="78" t="s">
        <v>908</v>
      </c>
      <c r="G52" s="79" t="s">
        <v>60</v>
      </c>
      <c r="H52" s="75" t="s">
        <v>909</v>
      </c>
      <c r="I52" s="85" t="s">
        <v>679</v>
      </c>
      <c r="J52" s="78" t="s">
        <v>281</v>
      </c>
      <c r="K52" s="81">
        <v>1</v>
      </c>
      <c r="L52" s="399"/>
      <c r="M52" s="80"/>
      <c r="N52" s="78" t="s">
        <v>910</v>
      </c>
      <c r="O52" s="80"/>
      <c r="P52" s="391" t="s">
        <v>911</v>
      </c>
      <c r="Q52" s="78" t="s">
        <v>912</v>
      </c>
      <c r="R52" s="80"/>
      <c r="S52" s="78" t="s">
        <v>913</v>
      </c>
      <c r="T52" s="106">
        <v>0.56999999999999995</v>
      </c>
      <c r="U52" s="85" t="s">
        <v>64</v>
      </c>
      <c r="V52" s="82" t="s">
        <v>914</v>
      </c>
      <c r="W52" s="86" t="e">
        <f t="shared" si="33"/>
        <v>#VALUE!</v>
      </c>
      <c r="X52" s="86" t="e">
        <f t="shared" si="19"/>
        <v>#VALUE!</v>
      </c>
      <c r="Y52" s="86" t="e">
        <v>#VALUE!</v>
      </c>
      <c r="Z52" s="86" t="e">
        <f t="shared" si="21"/>
        <v>#VALUE!</v>
      </c>
      <c r="AA52" s="86">
        <v>0.54</v>
      </c>
      <c r="AB52" s="86" t="s">
        <v>915</v>
      </c>
      <c r="AC52" s="86">
        <v>199</v>
      </c>
      <c r="AD52" s="87" t="s">
        <v>916</v>
      </c>
      <c r="AE52" s="88">
        <v>129</v>
      </c>
      <c r="AF52" s="86">
        <f t="shared" si="22"/>
        <v>111.20689655172414</v>
      </c>
      <c r="AG52" s="86">
        <f t="shared" si="23"/>
        <v>66.724137931034477</v>
      </c>
      <c r="AH52" s="89">
        <f t="shared" si="24"/>
        <v>8.0930232558139546E-3</v>
      </c>
      <c r="AI52" s="89">
        <f t="shared" si="25"/>
        <v>0.99190697674418604</v>
      </c>
      <c r="AJ52" s="90">
        <f t="shared" si="26"/>
        <v>0.4</v>
      </c>
      <c r="AK52" s="80" t="s">
        <v>808</v>
      </c>
      <c r="AL52" s="80" t="s">
        <v>67</v>
      </c>
      <c r="AM52" s="91">
        <v>6</v>
      </c>
      <c r="AN52" s="29">
        <f t="shared" si="34"/>
        <v>144</v>
      </c>
      <c r="AO52" s="344" t="s">
        <v>809</v>
      </c>
      <c r="AP52" s="355">
        <v>46296</v>
      </c>
      <c r="AR52" s="67">
        <f t="shared" si="16"/>
        <v>83.850000000000009</v>
      </c>
      <c r="AS52" s="63">
        <f t="shared" si="27"/>
        <v>72.284482758620697</v>
      </c>
      <c r="AT52" s="64">
        <f t="shared" si="28"/>
        <v>7.4704830053667261E-3</v>
      </c>
      <c r="AU52" s="65">
        <f t="shared" si="29"/>
        <v>0.99252951699463332</v>
      </c>
      <c r="AV52" s="33">
        <f t="shared" si="30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>
        <v>1</v>
      </c>
      <c r="BH52" s="3"/>
      <c r="BI52" s="3"/>
      <c r="BJ52" s="3">
        <v>9</v>
      </c>
      <c r="BK52" s="3">
        <f t="shared" si="31"/>
        <v>7</v>
      </c>
      <c r="BL52" s="292">
        <f t="shared" si="32"/>
        <v>0.77777777777777779</v>
      </c>
      <c r="BM52" s="295"/>
      <c r="BN52" s="295"/>
      <c r="BO52" s="295"/>
      <c r="BP52" s="295"/>
      <c r="BQ52" s="295"/>
      <c r="BR52" s="294" t="str">
        <f t="shared" si="14"/>
        <v>Todo ok por licencia. En producción.
Termina aprox 27/jun</v>
      </c>
      <c r="BS52" s="284">
        <f t="shared" si="15"/>
        <v>46296</v>
      </c>
      <c r="BT52" s="278" t="s">
        <v>86</v>
      </c>
      <c r="CJ52" s="278"/>
      <c r="CK52" s="278"/>
      <c r="CL52" s="278"/>
      <c r="CM52" s="278"/>
      <c r="CN52" s="278"/>
      <c r="CO52" s="278"/>
      <c r="CP52" s="268"/>
      <c r="CQ52" s="268"/>
      <c r="CR52" s="267"/>
      <c r="CS52" s="267"/>
      <c r="CT52" s="267"/>
      <c r="CU52" s="267"/>
      <c r="CV52" s="267"/>
      <c r="CW52" s="267"/>
      <c r="CX52" s="267"/>
      <c r="CY52" s="267"/>
      <c r="CZ52" s="267"/>
      <c r="DA52" s="267"/>
    </row>
    <row r="53" spans="1:105" ht="260.10000000000002" customHeight="1">
      <c r="A53" s="74">
        <v>46234</v>
      </c>
      <c r="B53" s="75" t="s">
        <v>277</v>
      </c>
      <c r="C53" s="5" t="s">
        <v>77</v>
      </c>
      <c r="D53" s="76">
        <v>7503057496589</v>
      </c>
      <c r="E53" s="77" t="s">
        <v>917</v>
      </c>
      <c r="F53" s="78" t="s">
        <v>918</v>
      </c>
      <c r="G53" s="79" t="s">
        <v>60</v>
      </c>
      <c r="H53" s="75" t="s">
        <v>909</v>
      </c>
      <c r="I53" s="85" t="s">
        <v>679</v>
      </c>
      <c r="J53" s="78" t="s">
        <v>281</v>
      </c>
      <c r="K53" s="81">
        <v>1</v>
      </c>
      <c r="L53" s="399"/>
      <c r="M53" s="80"/>
      <c r="N53" s="78" t="s">
        <v>919</v>
      </c>
      <c r="O53" s="80"/>
      <c r="P53" s="392" t="s">
        <v>911</v>
      </c>
      <c r="Q53" s="78" t="s">
        <v>920</v>
      </c>
      <c r="R53" s="80"/>
      <c r="S53" s="78" t="s">
        <v>913</v>
      </c>
      <c r="T53" s="106">
        <v>0.56999999999999995</v>
      </c>
      <c r="U53" s="85" t="s">
        <v>64</v>
      </c>
      <c r="V53" s="82" t="s">
        <v>914</v>
      </c>
      <c r="W53" s="86" t="e">
        <f t="shared" si="33"/>
        <v>#VALUE!</v>
      </c>
      <c r="X53" s="86" t="e">
        <f t="shared" si="19"/>
        <v>#VALUE!</v>
      </c>
      <c r="Y53" s="86" t="e">
        <v>#VALUE!</v>
      </c>
      <c r="Z53" s="86" t="e">
        <f t="shared" si="21"/>
        <v>#VALUE!</v>
      </c>
      <c r="AA53" s="86">
        <v>0.54</v>
      </c>
      <c r="AB53" s="86" t="s">
        <v>915</v>
      </c>
      <c r="AC53" s="86">
        <v>199</v>
      </c>
      <c r="AD53" s="87" t="s">
        <v>916</v>
      </c>
      <c r="AE53" s="88">
        <v>129</v>
      </c>
      <c r="AF53" s="86">
        <f t="shared" si="22"/>
        <v>111.20689655172414</v>
      </c>
      <c r="AG53" s="86">
        <f t="shared" si="23"/>
        <v>66.724137931034477</v>
      </c>
      <c r="AH53" s="89">
        <f t="shared" si="24"/>
        <v>8.0930232558139546E-3</v>
      </c>
      <c r="AI53" s="89">
        <f t="shared" si="25"/>
        <v>0.99190697674418604</v>
      </c>
      <c r="AJ53" s="90">
        <f t="shared" si="26"/>
        <v>0.4</v>
      </c>
      <c r="AK53" s="80" t="s">
        <v>808</v>
      </c>
      <c r="AL53" s="80" t="s">
        <v>67</v>
      </c>
      <c r="AM53" s="91">
        <v>6</v>
      </c>
      <c r="AN53" s="29">
        <f t="shared" si="34"/>
        <v>144</v>
      </c>
      <c r="AO53" s="344" t="s">
        <v>809</v>
      </c>
      <c r="AP53" s="355">
        <v>46296</v>
      </c>
      <c r="AR53" s="67">
        <f t="shared" si="16"/>
        <v>83.850000000000009</v>
      </c>
      <c r="AS53" s="63">
        <f t="shared" si="27"/>
        <v>72.284482758620697</v>
      </c>
      <c r="AT53" s="64">
        <f t="shared" si="28"/>
        <v>7.4704830053667261E-3</v>
      </c>
      <c r="AU53" s="65">
        <f t="shared" si="29"/>
        <v>0.99252951699463332</v>
      </c>
      <c r="AV53" s="33">
        <f t="shared" si="30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>
        <v>1</v>
      </c>
      <c r="BH53" s="3"/>
      <c r="BI53" s="3"/>
      <c r="BJ53" s="3">
        <v>9</v>
      </c>
      <c r="BK53" s="3">
        <f t="shared" si="31"/>
        <v>7</v>
      </c>
      <c r="BL53" s="292">
        <f t="shared" si="32"/>
        <v>0.77777777777777779</v>
      </c>
      <c r="BM53" s="295"/>
      <c r="BN53" s="295"/>
      <c r="BO53" s="295"/>
      <c r="BP53" s="295"/>
      <c r="BQ53" s="295"/>
      <c r="BR53" s="294" t="str">
        <f t="shared" si="14"/>
        <v>Todo ok por licencia. En producción.
Termina aprox 27/jun</v>
      </c>
      <c r="BS53" s="284">
        <f t="shared" si="15"/>
        <v>46296</v>
      </c>
      <c r="BT53" s="278" t="s">
        <v>86</v>
      </c>
      <c r="CJ53" s="278"/>
      <c r="CK53" s="278"/>
      <c r="CL53" s="278"/>
      <c r="CM53" s="278"/>
      <c r="CN53" s="278"/>
      <c r="CO53" s="278"/>
      <c r="CP53" s="268"/>
      <c r="CQ53" s="268"/>
      <c r="CR53" s="267"/>
      <c r="CS53" s="267"/>
      <c r="CT53" s="267"/>
      <c r="CU53" s="267"/>
      <c r="CV53" s="267"/>
      <c r="CW53" s="267"/>
      <c r="CX53" s="267"/>
      <c r="CY53" s="267"/>
      <c r="CZ53" s="267"/>
      <c r="DA53" s="267"/>
    </row>
    <row r="54" spans="1:105" ht="390" customHeight="1">
      <c r="A54" s="74">
        <v>46234</v>
      </c>
      <c r="B54" s="75" t="s">
        <v>277</v>
      </c>
      <c r="C54" s="5" t="s">
        <v>77</v>
      </c>
      <c r="D54" s="76">
        <v>7503057496596</v>
      </c>
      <c r="E54" s="77" t="s">
        <v>921</v>
      </c>
      <c r="F54" s="78" t="s">
        <v>922</v>
      </c>
      <c r="G54" s="107" t="s">
        <v>60</v>
      </c>
      <c r="H54" s="80" t="s">
        <v>367</v>
      </c>
      <c r="I54" s="85" t="s">
        <v>679</v>
      </c>
      <c r="J54" s="78" t="s">
        <v>281</v>
      </c>
      <c r="K54" s="81">
        <v>1</v>
      </c>
      <c r="L54" s="391" t="s">
        <v>923</v>
      </c>
      <c r="M54" s="80"/>
      <c r="N54" s="78" t="s">
        <v>924</v>
      </c>
      <c r="O54" s="80"/>
      <c r="P54" s="392" t="s">
        <v>925</v>
      </c>
      <c r="Q54" s="78" t="s">
        <v>926</v>
      </c>
      <c r="R54" s="94" t="s">
        <v>60</v>
      </c>
      <c r="S54" s="108" t="s">
        <v>927</v>
      </c>
      <c r="T54" s="84">
        <v>0.77</v>
      </c>
      <c r="U54" s="85" t="s">
        <v>64</v>
      </c>
      <c r="V54" s="85">
        <v>10000</v>
      </c>
      <c r="W54" s="86" t="e">
        <f t="shared" si="33"/>
        <v>#VALUE!</v>
      </c>
      <c r="X54" s="86" t="e">
        <f t="shared" si="19"/>
        <v>#VALUE!</v>
      </c>
      <c r="Y54" s="86" t="e">
        <v>#VALUE!</v>
      </c>
      <c r="Z54" s="86" t="e">
        <f t="shared" si="21"/>
        <v>#VALUE!</v>
      </c>
      <c r="AA54" s="86">
        <v>0.73</v>
      </c>
      <c r="AB54" s="86" t="s">
        <v>62</v>
      </c>
      <c r="AC54" s="86">
        <v>125</v>
      </c>
      <c r="AD54" s="87" t="s">
        <v>928</v>
      </c>
      <c r="AE54" s="88">
        <v>139</v>
      </c>
      <c r="AF54" s="86">
        <f t="shared" si="22"/>
        <v>119.82758620689656</v>
      </c>
      <c r="AG54" s="86">
        <f t="shared" si="23"/>
        <v>71.896551724137936</v>
      </c>
      <c r="AH54" s="89">
        <f t="shared" si="24"/>
        <v>1.0153477218225418E-2</v>
      </c>
      <c r="AI54" s="89">
        <f t="shared" si="25"/>
        <v>0.98984652278177454</v>
      </c>
      <c r="AJ54" s="90">
        <f t="shared" si="26"/>
        <v>0.4</v>
      </c>
      <c r="AK54" s="80" t="s">
        <v>808</v>
      </c>
      <c r="AL54" s="80" t="s">
        <v>67</v>
      </c>
      <c r="AM54" s="91">
        <v>6</v>
      </c>
      <c r="AN54" s="29">
        <f t="shared" si="34"/>
        <v>144</v>
      </c>
      <c r="AO54" s="344" t="s">
        <v>809</v>
      </c>
      <c r="AP54" s="355">
        <v>46296</v>
      </c>
      <c r="AR54" s="67">
        <f t="shared" ref="AR54:AR72" si="35">+AE54*0.65</f>
        <v>90.350000000000009</v>
      </c>
      <c r="AS54" s="63">
        <f t="shared" si="27"/>
        <v>77.887931034482776</v>
      </c>
      <c r="AT54" s="64">
        <f t="shared" si="28"/>
        <v>9.3724405091311549E-3</v>
      </c>
      <c r="AU54" s="65">
        <f t="shared" si="29"/>
        <v>0.99062755949086889</v>
      </c>
      <c r="AV54" s="33">
        <f t="shared" si="30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>
        <v>1</v>
      </c>
      <c r="BH54" s="3"/>
      <c r="BI54" s="3"/>
      <c r="BJ54" s="3">
        <v>9</v>
      </c>
      <c r="BK54" s="3">
        <f t="shared" si="31"/>
        <v>7</v>
      </c>
      <c r="BL54" s="292">
        <f t="shared" si="32"/>
        <v>0.77777777777777779</v>
      </c>
      <c r="BM54" s="295"/>
      <c r="BN54" s="295"/>
      <c r="BO54" s="295"/>
      <c r="BP54" s="295"/>
      <c r="BQ54" s="295"/>
      <c r="BR54" s="294" t="str">
        <f t="shared" si="14"/>
        <v>Todo ok por licencia. En producción.
Termina aprox 27/jun</v>
      </c>
      <c r="BS54" s="284">
        <f t="shared" si="15"/>
        <v>46296</v>
      </c>
      <c r="BT54" s="278" t="s">
        <v>86</v>
      </c>
      <c r="CJ54" s="278"/>
      <c r="CK54" s="278"/>
      <c r="CL54" s="278"/>
      <c r="CM54" s="278"/>
      <c r="CN54" s="278"/>
      <c r="CO54" s="278"/>
      <c r="CP54" s="268"/>
      <c r="CQ54" s="268"/>
      <c r="CR54" s="267"/>
      <c r="CS54" s="267"/>
      <c r="CT54" s="267"/>
      <c r="CU54" s="267"/>
      <c r="CV54" s="267"/>
      <c r="CW54" s="267"/>
      <c r="CX54" s="267"/>
      <c r="CY54" s="267"/>
      <c r="CZ54" s="267"/>
      <c r="DA54" s="267"/>
    </row>
    <row r="55" spans="1:105" ht="390" customHeight="1">
      <c r="A55" s="74">
        <v>46234</v>
      </c>
      <c r="B55" s="75" t="s">
        <v>277</v>
      </c>
      <c r="C55" s="5" t="s">
        <v>77</v>
      </c>
      <c r="D55" s="76">
        <v>7503057496602</v>
      </c>
      <c r="E55" s="77" t="s">
        <v>929</v>
      </c>
      <c r="F55" s="78" t="s">
        <v>930</v>
      </c>
      <c r="G55" s="109" t="s">
        <v>60</v>
      </c>
      <c r="H55" s="80" t="s">
        <v>367</v>
      </c>
      <c r="I55" s="85" t="s">
        <v>679</v>
      </c>
      <c r="J55" s="78" t="s">
        <v>281</v>
      </c>
      <c r="K55" s="81">
        <v>1</v>
      </c>
      <c r="L55" s="392" t="s">
        <v>931</v>
      </c>
      <c r="M55" s="80"/>
      <c r="N55" s="78" t="s">
        <v>932</v>
      </c>
      <c r="O55" s="80"/>
      <c r="P55" s="392" t="s">
        <v>925</v>
      </c>
      <c r="Q55" s="78" t="s">
        <v>933</v>
      </c>
      <c r="R55" s="94" t="s">
        <v>60</v>
      </c>
      <c r="S55" s="108" t="s">
        <v>927</v>
      </c>
      <c r="T55" s="84">
        <v>0.77</v>
      </c>
      <c r="U55" s="85" t="s">
        <v>64</v>
      </c>
      <c r="V55" s="85">
        <v>10000</v>
      </c>
      <c r="W55" s="86" t="e">
        <f t="shared" si="33"/>
        <v>#VALUE!</v>
      </c>
      <c r="X55" s="86" t="e">
        <f t="shared" si="19"/>
        <v>#VALUE!</v>
      </c>
      <c r="Y55" s="86" t="e">
        <v>#VALUE!</v>
      </c>
      <c r="Z55" s="86" t="e">
        <f t="shared" si="21"/>
        <v>#VALUE!</v>
      </c>
      <c r="AA55" s="86">
        <v>0.73</v>
      </c>
      <c r="AB55" s="86" t="s">
        <v>62</v>
      </c>
      <c r="AC55" s="86">
        <v>125</v>
      </c>
      <c r="AD55" s="87" t="s">
        <v>928</v>
      </c>
      <c r="AE55" s="88">
        <v>139</v>
      </c>
      <c r="AF55" s="86">
        <f t="shared" si="22"/>
        <v>119.82758620689656</v>
      </c>
      <c r="AG55" s="86">
        <f t="shared" si="23"/>
        <v>71.896551724137936</v>
      </c>
      <c r="AH55" s="89">
        <f t="shared" si="24"/>
        <v>1.0153477218225418E-2</v>
      </c>
      <c r="AI55" s="89">
        <f t="shared" si="25"/>
        <v>0.98984652278177454</v>
      </c>
      <c r="AJ55" s="90">
        <f t="shared" si="26"/>
        <v>0.4</v>
      </c>
      <c r="AK55" s="80" t="s">
        <v>808</v>
      </c>
      <c r="AL55" s="80" t="s">
        <v>67</v>
      </c>
      <c r="AM55" s="91">
        <v>6</v>
      </c>
      <c r="AN55" s="29">
        <f t="shared" si="34"/>
        <v>144</v>
      </c>
      <c r="AO55" s="344" t="s">
        <v>809</v>
      </c>
      <c r="AP55" s="355">
        <v>46296</v>
      </c>
      <c r="AR55" s="67">
        <f t="shared" si="35"/>
        <v>90.350000000000009</v>
      </c>
      <c r="AS55" s="63">
        <f t="shared" si="27"/>
        <v>77.887931034482776</v>
      </c>
      <c r="AT55" s="64">
        <f t="shared" si="28"/>
        <v>9.3724405091311549E-3</v>
      </c>
      <c r="AU55" s="65">
        <f t="shared" si="29"/>
        <v>0.99062755949086889</v>
      </c>
      <c r="AV55" s="33">
        <f t="shared" si="30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>
        <v>1</v>
      </c>
      <c r="BH55" s="3"/>
      <c r="BI55" s="3"/>
      <c r="BJ55" s="3">
        <v>9</v>
      </c>
      <c r="BK55" s="3">
        <f t="shared" si="31"/>
        <v>7</v>
      </c>
      <c r="BL55" s="292">
        <f t="shared" si="32"/>
        <v>0.77777777777777779</v>
      </c>
      <c r="BM55" s="295"/>
      <c r="BN55" s="295"/>
      <c r="BO55" s="295"/>
      <c r="BP55" s="295"/>
      <c r="BQ55" s="295"/>
      <c r="BR55" s="294" t="str">
        <f t="shared" si="14"/>
        <v>Todo ok por licencia. En producción.
Termina aprox 27/jun</v>
      </c>
      <c r="BS55" s="284">
        <f t="shared" si="15"/>
        <v>46296</v>
      </c>
      <c r="BT55" s="278" t="s">
        <v>86</v>
      </c>
      <c r="CJ55" s="278"/>
      <c r="CK55" s="278"/>
      <c r="CL55" s="278"/>
      <c r="CM55" s="278"/>
      <c r="CN55" s="278"/>
      <c r="CO55" s="278"/>
      <c r="CP55" s="268"/>
      <c r="CQ55" s="268"/>
      <c r="CR55" s="267"/>
      <c r="CS55" s="267"/>
      <c r="CT55" s="267"/>
      <c r="CU55" s="267"/>
      <c r="CV55" s="267"/>
      <c r="CW55" s="267"/>
      <c r="CX55" s="267"/>
      <c r="CY55" s="267"/>
      <c r="CZ55" s="267"/>
      <c r="DA55" s="267"/>
    </row>
    <row r="56" spans="1:105" ht="345.75">
      <c r="A56" s="74">
        <v>46234</v>
      </c>
      <c r="B56" s="75" t="s">
        <v>174</v>
      </c>
      <c r="C56" s="5" t="s">
        <v>248</v>
      </c>
      <c r="D56" s="76">
        <v>7503057496619</v>
      </c>
      <c r="E56" s="77" t="s">
        <v>934</v>
      </c>
      <c r="F56" s="78" t="s">
        <v>935</v>
      </c>
      <c r="G56" s="79" t="s">
        <v>60</v>
      </c>
      <c r="H56" s="75" t="s">
        <v>936</v>
      </c>
      <c r="I56" s="85" t="s">
        <v>679</v>
      </c>
      <c r="J56" s="78" t="s">
        <v>281</v>
      </c>
      <c r="K56" s="81">
        <v>1</v>
      </c>
      <c r="L56" s="392" t="s">
        <v>937</v>
      </c>
      <c r="M56" s="80"/>
      <c r="N56" s="78" t="s">
        <v>938</v>
      </c>
      <c r="O56" s="80"/>
      <c r="P56" s="392" t="s">
        <v>939</v>
      </c>
      <c r="Q56" s="78" t="s">
        <v>926</v>
      </c>
      <c r="R56" s="80" t="s">
        <v>60</v>
      </c>
      <c r="S56" s="78" t="s">
        <v>940</v>
      </c>
      <c r="T56" s="103"/>
      <c r="U56" s="85" t="s">
        <v>81</v>
      </c>
      <c r="V56" s="85">
        <v>10000</v>
      </c>
      <c r="W56" s="86" t="e">
        <f t="shared" si="33"/>
        <v>#VALUE!</v>
      </c>
      <c r="X56" s="86" t="e">
        <f t="shared" si="19"/>
        <v>#VALUE!</v>
      </c>
      <c r="Y56" s="86" t="e">
        <f>(W56+X56)*$AA$17</f>
        <v>#VALUE!</v>
      </c>
      <c r="Z56" s="86" t="e">
        <f t="shared" si="21"/>
        <v>#VALUE!</v>
      </c>
      <c r="AA56" s="86" t="s">
        <v>941</v>
      </c>
      <c r="AB56" s="86" t="s">
        <v>900</v>
      </c>
      <c r="AC56" s="86">
        <v>149</v>
      </c>
      <c r="AD56" s="87" t="s">
        <v>942</v>
      </c>
      <c r="AE56" s="88">
        <v>169</v>
      </c>
      <c r="AF56" s="87">
        <f t="shared" si="22"/>
        <v>145.68965517241381</v>
      </c>
      <c r="AG56" s="86">
        <f t="shared" si="23"/>
        <v>87.413793103448285</v>
      </c>
      <c r="AH56" s="89" t="e">
        <f t="shared" si="24"/>
        <v>#VALUE!</v>
      </c>
      <c r="AI56" s="89" t="e">
        <f t="shared" si="25"/>
        <v>#VALUE!</v>
      </c>
      <c r="AJ56" s="90">
        <f t="shared" si="26"/>
        <v>0.4</v>
      </c>
      <c r="AK56" s="80" t="s">
        <v>808</v>
      </c>
      <c r="AL56" s="80" t="s">
        <v>67</v>
      </c>
      <c r="AM56" s="91">
        <v>6</v>
      </c>
      <c r="AN56" s="29">
        <f t="shared" si="34"/>
        <v>144</v>
      </c>
      <c r="AO56" s="344" t="s">
        <v>943</v>
      </c>
      <c r="AP56" s="355">
        <v>46272</v>
      </c>
      <c r="AR56" s="67">
        <f t="shared" si="35"/>
        <v>109.85000000000001</v>
      </c>
      <c r="AS56" s="63">
        <f t="shared" si="27"/>
        <v>94.698275862068982</v>
      </c>
      <c r="AT56" s="64" t="e">
        <f t="shared" si="28"/>
        <v>#VALUE!</v>
      </c>
      <c r="AU56" s="65" t="e">
        <f t="shared" si="29"/>
        <v>#VALUE!</v>
      </c>
      <c r="AV56" s="33">
        <f t="shared" si="30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/>
      <c r="BH56" s="3"/>
      <c r="BI56" s="3"/>
      <c r="BJ56" s="3">
        <v>9</v>
      </c>
      <c r="BK56" s="3">
        <f t="shared" si="31"/>
        <v>6</v>
      </c>
      <c r="BL56" s="292">
        <f t="shared" si="32"/>
        <v>0.66666666666666663</v>
      </c>
      <c r="BM56" s="295"/>
      <c r="BN56" s="295"/>
      <c r="BO56" s="295"/>
      <c r="BP56" s="295"/>
      <c r="BQ56" s="295"/>
      <c r="BR56" s="294" t="str">
        <f t="shared" si="14"/>
        <v>Se puso pedido de cajas y exhibicajas.</v>
      </c>
      <c r="BS56" s="284">
        <f t="shared" si="15"/>
        <v>46272</v>
      </c>
      <c r="BT56" s="278" t="s">
        <v>86</v>
      </c>
      <c r="CJ56" s="278"/>
      <c r="CK56" s="278"/>
      <c r="CL56" s="278"/>
      <c r="CM56" s="278"/>
      <c r="CN56" s="278"/>
      <c r="CO56" s="278"/>
      <c r="CP56" s="268"/>
      <c r="CQ56" s="268"/>
      <c r="CR56" s="267"/>
      <c r="CS56" s="267"/>
      <c r="CT56" s="267"/>
      <c r="CU56" s="267"/>
      <c r="CV56" s="267"/>
      <c r="CW56" s="267"/>
      <c r="CX56" s="267"/>
      <c r="CY56" s="267"/>
      <c r="CZ56" s="267"/>
      <c r="DA56" s="267"/>
    </row>
    <row r="57" spans="1:105" ht="409.6">
      <c r="A57" s="74">
        <v>46234</v>
      </c>
      <c r="B57" s="75" t="s">
        <v>174</v>
      </c>
      <c r="C57" s="5" t="s">
        <v>248</v>
      </c>
      <c r="D57" s="76">
        <v>7503057496633</v>
      </c>
      <c r="E57" s="77" t="s">
        <v>944</v>
      </c>
      <c r="F57" s="78" t="s">
        <v>945</v>
      </c>
      <c r="G57" s="107"/>
      <c r="H57" s="80" t="s">
        <v>946</v>
      </c>
      <c r="I57" s="85" t="s">
        <v>679</v>
      </c>
      <c r="J57" s="78" t="s">
        <v>281</v>
      </c>
      <c r="K57" s="81">
        <v>1</v>
      </c>
      <c r="L57" s="110" t="s">
        <v>947</v>
      </c>
      <c r="M57" s="94"/>
      <c r="N57" s="111" t="s">
        <v>948</v>
      </c>
      <c r="O57" s="94"/>
      <c r="P57" s="110" t="s">
        <v>949</v>
      </c>
      <c r="Q57" s="111"/>
      <c r="R57" s="94" t="s">
        <v>950</v>
      </c>
      <c r="S57" s="112" t="s">
        <v>951</v>
      </c>
      <c r="T57" s="84">
        <v>0.52</v>
      </c>
      <c r="U57" s="85" t="s">
        <v>64</v>
      </c>
      <c r="V57" s="85">
        <v>10000</v>
      </c>
      <c r="W57" s="86" t="e">
        <f t="shared" si="33"/>
        <v>#VALUE!</v>
      </c>
      <c r="X57" s="86" t="e">
        <f t="shared" si="19"/>
        <v>#VALUE!</v>
      </c>
      <c r="Y57" s="86" t="e">
        <v>#VALUE!</v>
      </c>
      <c r="Z57" s="86" t="e">
        <f t="shared" si="21"/>
        <v>#VALUE!</v>
      </c>
      <c r="AA57" s="86">
        <v>0.27</v>
      </c>
      <c r="AB57" s="86" t="s">
        <v>62</v>
      </c>
      <c r="AC57" s="86">
        <v>299</v>
      </c>
      <c r="AD57" s="87" t="s">
        <v>952</v>
      </c>
      <c r="AE57" s="88">
        <v>89</v>
      </c>
      <c r="AF57" s="86">
        <f t="shared" si="22"/>
        <v>76.724137931034491</v>
      </c>
      <c r="AG57" s="86">
        <f t="shared" si="23"/>
        <v>46.03448275862069</v>
      </c>
      <c r="AH57" s="89">
        <f t="shared" si="24"/>
        <v>5.8651685393258431E-3</v>
      </c>
      <c r="AI57" s="89">
        <f t="shared" si="25"/>
        <v>0.99413483146067416</v>
      </c>
      <c r="AJ57" s="90">
        <f t="shared" si="26"/>
        <v>0.4</v>
      </c>
      <c r="AK57" s="80" t="s">
        <v>808</v>
      </c>
      <c r="AL57" s="80" t="s">
        <v>67</v>
      </c>
      <c r="AM57" s="91">
        <v>6</v>
      </c>
      <c r="AN57" s="29">
        <f t="shared" si="34"/>
        <v>144</v>
      </c>
      <c r="AO57" s="344" t="s">
        <v>809</v>
      </c>
      <c r="AP57" s="355">
        <v>46296</v>
      </c>
      <c r="AR57" s="67">
        <f t="shared" si="35"/>
        <v>57.85</v>
      </c>
      <c r="AS57" s="63">
        <f t="shared" si="27"/>
        <v>49.87068965517242</v>
      </c>
      <c r="AT57" s="64">
        <f t="shared" si="28"/>
        <v>5.4140017286084694E-3</v>
      </c>
      <c r="AU57" s="65">
        <f t="shared" si="29"/>
        <v>0.99458599827139149</v>
      </c>
      <c r="AV57" s="33">
        <f t="shared" si="30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>
        <v>1</v>
      </c>
      <c r="BH57" s="3"/>
      <c r="BI57" s="3"/>
      <c r="BJ57" s="3">
        <v>9</v>
      </c>
      <c r="BK57" s="3">
        <f t="shared" si="31"/>
        <v>7</v>
      </c>
      <c r="BL57" s="292">
        <f t="shared" si="32"/>
        <v>0.77777777777777779</v>
      </c>
      <c r="BM57" s="295"/>
      <c r="BN57" s="295"/>
      <c r="BO57" s="295"/>
      <c r="BP57" s="295"/>
      <c r="BQ57" s="295"/>
      <c r="BR57" s="294" t="str">
        <f t="shared" si="14"/>
        <v>Todo ok por licencia. En producción.
Termina aprox 27/jun</v>
      </c>
      <c r="BS57" s="284">
        <f t="shared" si="15"/>
        <v>46296</v>
      </c>
      <c r="BT57" s="278" t="s">
        <v>679</v>
      </c>
      <c r="CJ57" s="278"/>
      <c r="CK57" s="278"/>
      <c r="CL57" s="278"/>
      <c r="CM57" s="278"/>
      <c r="CN57" s="278"/>
      <c r="CO57" s="278"/>
      <c r="CP57" s="268"/>
      <c r="CQ57" s="268"/>
      <c r="CR57" s="267"/>
      <c r="CS57" s="267"/>
      <c r="CT57" s="267"/>
      <c r="CU57" s="267"/>
      <c r="CV57" s="267"/>
      <c r="CW57" s="267"/>
      <c r="CX57" s="267"/>
      <c r="CY57" s="267"/>
      <c r="CZ57" s="267"/>
      <c r="DA57" s="267"/>
    </row>
    <row r="58" spans="1:105" ht="409.6">
      <c r="A58" s="74">
        <v>46234</v>
      </c>
      <c r="B58" s="75" t="s">
        <v>277</v>
      </c>
      <c r="C58" s="5" t="s">
        <v>77</v>
      </c>
      <c r="D58" s="76">
        <v>7503057496640</v>
      </c>
      <c r="E58" s="77" t="s">
        <v>953</v>
      </c>
      <c r="F58" s="78" t="s">
        <v>954</v>
      </c>
      <c r="G58" s="79" t="s">
        <v>60</v>
      </c>
      <c r="H58" s="80" t="s">
        <v>343</v>
      </c>
      <c r="I58" s="85" t="s">
        <v>679</v>
      </c>
      <c r="J58" s="78" t="s">
        <v>281</v>
      </c>
      <c r="K58" s="81">
        <v>1</v>
      </c>
      <c r="L58" s="392" t="s">
        <v>955</v>
      </c>
      <c r="M58" s="80"/>
      <c r="N58" s="78" t="s">
        <v>956</v>
      </c>
      <c r="O58" s="80"/>
      <c r="P58" s="391" t="s">
        <v>957</v>
      </c>
      <c r="Q58" s="78" t="s">
        <v>69</v>
      </c>
      <c r="R58" s="105" t="s">
        <v>60</v>
      </c>
      <c r="S58" s="78" t="s">
        <v>958</v>
      </c>
      <c r="T58" s="106">
        <v>0.75</v>
      </c>
      <c r="U58" s="85" t="s">
        <v>64</v>
      </c>
      <c r="V58" s="85">
        <v>10000</v>
      </c>
      <c r="W58" s="86" t="e">
        <f t="shared" si="33"/>
        <v>#VALUE!</v>
      </c>
      <c r="X58" s="86" t="e">
        <f t="shared" si="19"/>
        <v>#VALUE!</v>
      </c>
      <c r="Y58" s="86" t="e">
        <v>#VALUE!</v>
      </c>
      <c r="Z58" s="86" t="e">
        <f t="shared" si="21"/>
        <v>#VALUE!</v>
      </c>
      <c r="AA58" s="86">
        <v>0.65</v>
      </c>
      <c r="AB58" s="86" t="s">
        <v>959</v>
      </c>
      <c r="AC58" s="86">
        <v>299</v>
      </c>
      <c r="AD58" s="87" t="s">
        <v>960</v>
      </c>
      <c r="AE58" s="88">
        <v>139</v>
      </c>
      <c r="AF58" s="86">
        <f t="shared" si="22"/>
        <v>119.82758620689656</v>
      </c>
      <c r="AG58" s="86">
        <f t="shared" si="23"/>
        <v>71.896551724137936</v>
      </c>
      <c r="AH58" s="89">
        <f t="shared" si="24"/>
        <v>9.040767386091126E-3</v>
      </c>
      <c r="AI58" s="89">
        <f t="shared" si="25"/>
        <v>0.99095923261390884</v>
      </c>
      <c r="AJ58" s="90">
        <f t="shared" si="26"/>
        <v>0.4</v>
      </c>
      <c r="AK58" s="80" t="s">
        <v>808</v>
      </c>
      <c r="AL58" s="80" t="s">
        <v>67</v>
      </c>
      <c r="AM58" s="91">
        <v>6</v>
      </c>
      <c r="AN58" s="29">
        <f t="shared" si="34"/>
        <v>144</v>
      </c>
      <c r="AO58" s="344" t="s">
        <v>809</v>
      </c>
      <c r="AP58" s="355">
        <v>46296</v>
      </c>
      <c r="AR58" s="67">
        <f t="shared" si="35"/>
        <v>90.350000000000009</v>
      </c>
      <c r="AS58" s="63">
        <f t="shared" si="27"/>
        <v>77.887931034482776</v>
      </c>
      <c r="AT58" s="64">
        <f t="shared" si="28"/>
        <v>8.3453237410071931E-3</v>
      </c>
      <c r="AU58" s="65">
        <f t="shared" si="29"/>
        <v>0.99165467625899284</v>
      </c>
      <c r="AV58" s="33">
        <f t="shared" si="30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>
        <v>1</v>
      </c>
      <c r="BH58" s="3"/>
      <c r="BI58" s="3"/>
      <c r="BJ58" s="3">
        <v>9</v>
      </c>
      <c r="BK58" s="3">
        <f t="shared" si="31"/>
        <v>7</v>
      </c>
      <c r="BL58" s="292">
        <f t="shared" si="32"/>
        <v>0.77777777777777779</v>
      </c>
      <c r="BM58" s="295"/>
      <c r="BN58" s="295"/>
      <c r="BO58" s="295"/>
      <c r="BP58" s="295"/>
      <c r="BQ58" s="295"/>
      <c r="BR58" s="294" t="str">
        <f t="shared" si="14"/>
        <v>Todo ok por licencia. En producción.
Termina aprox 27/jun</v>
      </c>
      <c r="BS58" s="284">
        <f t="shared" si="15"/>
        <v>46296</v>
      </c>
      <c r="BT58" s="278" t="s">
        <v>86</v>
      </c>
      <c r="CJ58" s="278"/>
      <c r="CK58" s="278"/>
      <c r="CL58" s="278"/>
      <c r="CM58" s="278"/>
      <c r="CN58" s="278"/>
      <c r="CO58" s="278"/>
      <c r="CP58" s="268"/>
      <c r="CQ58" s="268"/>
      <c r="CR58" s="267"/>
      <c r="CS58" s="267"/>
      <c r="CT58" s="267"/>
      <c r="CU58" s="267"/>
      <c r="CV58" s="267"/>
      <c r="CW58" s="267"/>
      <c r="CX58" s="267"/>
      <c r="CY58" s="267"/>
      <c r="CZ58" s="267"/>
      <c r="DA58" s="267"/>
    </row>
    <row r="59" spans="1:105" ht="324.95" customHeight="1">
      <c r="A59" s="74">
        <v>46234</v>
      </c>
      <c r="B59" s="75" t="s">
        <v>277</v>
      </c>
      <c r="C59" s="5" t="s">
        <v>77</v>
      </c>
      <c r="D59" s="76">
        <v>7503057496657</v>
      </c>
      <c r="E59" s="77" t="s">
        <v>961</v>
      </c>
      <c r="F59" s="78" t="s">
        <v>962</v>
      </c>
      <c r="G59" s="79" t="s">
        <v>60</v>
      </c>
      <c r="H59" s="80" t="s">
        <v>343</v>
      </c>
      <c r="I59" s="85" t="s">
        <v>679</v>
      </c>
      <c r="J59" s="78" t="s">
        <v>281</v>
      </c>
      <c r="K59" s="81">
        <v>1</v>
      </c>
      <c r="L59" s="392" t="s">
        <v>955</v>
      </c>
      <c r="M59" s="80"/>
      <c r="N59" s="78" t="s">
        <v>963</v>
      </c>
      <c r="O59" s="80"/>
      <c r="P59" s="391" t="s">
        <v>964</v>
      </c>
      <c r="Q59" s="78" t="s">
        <v>69</v>
      </c>
      <c r="R59" s="105" t="s">
        <v>60</v>
      </c>
      <c r="S59" s="78" t="s">
        <v>958</v>
      </c>
      <c r="T59" s="106">
        <v>0.75</v>
      </c>
      <c r="U59" s="85" t="s">
        <v>64</v>
      </c>
      <c r="V59" s="85">
        <v>10000</v>
      </c>
      <c r="W59" s="86" t="e">
        <f t="shared" si="33"/>
        <v>#VALUE!</v>
      </c>
      <c r="X59" s="86" t="e">
        <f t="shared" si="19"/>
        <v>#VALUE!</v>
      </c>
      <c r="Y59" s="86" t="e">
        <v>#VALUE!</v>
      </c>
      <c r="Z59" s="86" t="e">
        <f t="shared" si="21"/>
        <v>#VALUE!</v>
      </c>
      <c r="AA59" s="86">
        <v>0.65</v>
      </c>
      <c r="AB59" s="86" t="s">
        <v>959</v>
      </c>
      <c r="AC59" s="86">
        <v>299</v>
      </c>
      <c r="AD59" s="87" t="s">
        <v>960</v>
      </c>
      <c r="AE59" s="88">
        <v>139</v>
      </c>
      <c r="AF59" s="86">
        <f t="shared" si="22"/>
        <v>119.82758620689656</v>
      </c>
      <c r="AG59" s="86">
        <f t="shared" si="23"/>
        <v>71.896551724137936</v>
      </c>
      <c r="AH59" s="89">
        <f t="shared" si="24"/>
        <v>9.040767386091126E-3</v>
      </c>
      <c r="AI59" s="89">
        <f t="shared" si="25"/>
        <v>0.99095923261390884</v>
      </c>
      <c r="AJ59" s="90">
        <f t="shared" si="26"/>
        <v>0.4</v>
      </c>
      <c r="AK59" s="80" t="s">
        <v>808</v>
      </c>
      <c r="AL59" s="80" t="s">
        <v>67</v>
      </c>
      <c r="AM59" s="91">
        <v>6</v>
      </c>
      <c r="AN59" s="29">
        <f t="shared" si="34"/>
        <v>144</v>
      </c>
      <c r="AO59" s="344" t="s">
        <v>809</v>
      </c>
      <c r="AP59" s="355">
        <v>46296</v>
      </c>
      <c r="AR59" s="67">
        <f t="shared" si="35"/>
        <v>90.350000000000009</v>
      </c>
      <c r="AS59" s="63">
        <f t="shared" si="27"/>
        <v>77.887931034482776</v>
      </c>
      <c r="AT59" s="64">
        <f t="shared" si="28"/>
        <v>8.3453237410071931E-3</v>
      </c>
      <c r="AU59" s="65">
        <f t="shared" si="29"/>
        <v>0.99165467625899284</v>
      </c>
      <c r="AV59" s="33">
        <f t="shared" si="30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>
        <v>1</v>
      </c>
      <c r="BH59" s="3"/>
      <c r="BI59" s="3"/>
      <c r="BJ59" s="3">
        <v>9</v>
      </c>
      <c r="BK59" s="3">
        <f t="shared" si="31"/>
        <v>7</v>
      </c>
      <c r="BL59" s="292">
        <f t="shared" si="32"/>
        <v>0.77777777777777779</v>
      </c>
      <c r="BM59" s="295"/>
      <c r="BN59" s="295"/>
      <c r="BO59" s="295"/>
      <c r="BP59" s="295"/>
      <c r="BQ59" s="295"/>
      <c r="BR59" s="294" t="str">
        <f t="shared" si="14"/>
        <v>Todo ok por licencia. En producción.
Termina aprox 27/jun</v>
      </c>
      <c r="BS59" s="284">
        <f t="shared" si="15"/>
        <v>46296</v>
      </c>
      <c r="BT59" s="278" t="s">
        <v>86</v>
      </c>
      <c r="CJ59" s="278"/>
      <c r="CK59" s="278"/>
      <c r="CL59" s="278"/>
      <c r="CM59" s="278"/>
      <c r="CN59" s="278"/>
      <c r="CO59" s="278"/>
      <c r="CP59" s="268"/>
      <c r="CQ59" s="268"/>
      <c r="CR59" s="267"/>
      <c r="CS59" s="267"/>
      <c r="CT59" s="267"/>
      <c r="CU59" s="267"/>
      <c r="CV59" s="267"/>
      <c r="CW59" s="267"/>
      <c r="CX59" s="267"/>
      <c r="CY59" s="267"/>
      <c r="CZ59" s="267"/>
      <c r="DA59" s="267"/>
    </row>
    <row r="60" spans="1:105" ht="409.6">
      <c r="A60" s="74">
        <v>46234</v>
      </c>
      <c r="B60" s="75" t="s">
        <v>277</v>
      </c>
      <c r="C60" s="5" t="s">
        <v>77</v>
      </c>
      <c r="D60" s="76">
        <v>7503057496664</v>
      </c>
      <c r="E60" s="77" t="s">
        <v>965</v>
      </c>
      <c r="F60" s="78" t="s">
        <v>966</v>
      </c>
      <c r="G60" s="79" t="s">
        <v>60</v>
      </c>
      <c r="H60" s="80" t="s">
        <v>343</v>
      </c>
      <c r="I60" s="85" t="s">
        <v>679</v>
      </c>
      <c r="J60" s="78" t="s">
        <v>281</v>
      </c>
      <c r="K60" s="81">
        <v>1</v>
      </c>
      <c r="L60" s="391" t="s">
        <v>955</v>
      </c>
      <c r="M60" s="80"/>
      <c r="N60" s="78" t="s">
        <v>967</v>
      </c>
      <c r="O60" s="80"/>
      <c r="P60" s="391" t="s">
        <v>968</v>
      </c>
      <c r="Q60" s="78" t="s">
        <v>69</v>
      </c>
      <c r="R60" s="105" t="s">
        <v>60</v>
      </c>
      <c r="S60" s="78" t="s">
        <v>958</v>
      </c>
      <c r="T60" s="106">
        <v>0.75</v>
      </c>
      <c r="U60" s="85" t="s">
        <v>64</v>
      </c>
      <c r="V60" s="85">
        <v>10000</v>
      </c>
      <c r="W60" s="86" t="e">
        <f t="shared" si="33"/>
        <v>#VALUE!</v>
      </c>
      <c r="X60" s="86" t="e">
        <f t="shared" si="19"/>
        <v>#VALUE!</v>
      </c>
      <c r="Y60" s="86" t="e">
        <v>#VALUE!</v>
      </c>
      <c r="Z60" s="86" t="e">
        <f t="shared" si="21"/>
        <v>#VALUE!</v>
      </c>
      <c r="AA60" s="86">
        <v>0.65</v>
      </c>
      <c r="AB60" s="86" t="s">
        <v>959</v>
      </c>
      <c r="AC60" s="86">
        <v>299</v>
      </c>
      <c r="AD60" s="87" t="s">
        <v>960</v>
      </c>
      <c r="AE60" s="88">
        <v>139</v>
      </c>
      <c r="AF60" s="86">
        <f t="shared" si="22"/>
        <v>119.82758620689656</v>
      </c>
      <c r="AG60" s="86">
        <f t="shared" si="23"/>
        <v>71.896551724137936</v>
      </c>
      <c r="AH60" s="89">
        <f t="shared" si="24"/>
        <v>9.040767386091126E-3</v>
      </c>
      <c r="AI60" s="89">
        <f t="shared" si="25"/>
        <v>0.99095923261390884</v>
      </c>
      <c r="AJ60" s="90">
        <f t="shared" si="26"/>
        <v>0.4</v>
      </c>
      <c r="AK60" s="80" t="s">
        <v>808</v>
      </c>
      <c r="AL60" s="80" t="s">
        <v>67</v>
      </c>
      <c r="AM60" s="91">
        <v>6</v>
      </c>
      <c r="AN60" s="29">
        <f t="shared" si="34"/>
        <v>144</v>
      </c>
      <c r="AO60" s="344" t="s">
        <v>809</v>
      </c>
      <c r="AP60" s="355">
        <v>46296</v>
      </c>
      <c r="AR60" s="67">
        <f t="shared" si="35"/>
        <v>90.350000000000009</v>
      </c>
      <c r="AS60" s="63">
        <f t="shared" si="27"/>
        <v>77.887931034482776</v>
      </c>
      <c r="AT60" s="64">
        <f t="shared" si="28"/>
        <v>8.3453237410071931E-3</v>
      </c>
      <c r="AU60" s="65">
        <f t="shared" si="29"/>
        <v>0.99165467625899284</v>
      </c>
      <c r="AV60" s="33">
        <f t="shared" si="30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>
        <v>1</v>
      </c>
      <c r="BH60" s="3"/>
      <c r="BI60" s="3"/>
      <c r="BJ60" s="3">
        <v>9</v>
      </c>
      <c r="BK60" s="3">
        <f t="shared" si="31"/>
        <v>7</v>
      </c>
      <c r="BL60" s="292">
        <f t="shared" si="32"/>
        <v>0.77777777777777779</v>
      </c>
      <c r="BM60" s="295"/>
      <c r="BN60" s="295"/>
      <c r="BO60" s="295"/>
      <c r="BP60" s="295"/>
      <c r="BQ60" s="295"/>
      <c r="BR60" s="294" t="str">
        <f t="shared" si="14"/>
        <v>Todo ok por licencia. En producción.
Termina aprox 27/jun</v>
      </c>
      <c r="BS60" s="284">
        <f t="shared" si="15"/>
        <v>46296</v>
      </c>
      <c r="BT60" s="278" t="s">
        <v>86</v>
      </c>
      <c r="CJ60" s="278"/>
      <c r="CK60" s="278"/>
      <c r="CL60" s="278"/>
      <c r="CM60" s="278"/>
      <c r="CN60" s="278"/>
      <c r="CO60" s="278"/>
      <c r="CP60" s="268"/>
      <c r="CQ60" s="268"/>
      <c r="CR60" s="267"/>
      <c r="CS60" s="267"/>
      <c r="CT60" s="267"/>
      <c r="CU60" s="267"/>
      <c r="CV60" s="267"/>
      <c r="CW60" s="267"/>
      <c r="CX60" s="267"/>
      <c r="CY60" s="267"/>
      <c r="CZ60" s="267"/>
      <c r="DA60" s="267"/>
    </row>
    <row r="61" spans="1:105" ht="409.6">
      <c r="A61" s="74">
        <v>46234</v>
      </c>
      <c r="B61" s="75" t="s">
        <v>277</v>
      </c>
      <c r="C61" s="5" t="s">
        <v>77</v>
      </c>
      <c r="D61" s="76">
        <v>7503057496671</v>
      </c>
      <c r="E61" s="77" t="s">
        <v>969</v>
      </c>
      <c r="F61" s="78" t="s">
        <v>970</v>
      </c>
      <c r="G61" s="79"/>
      <c r="H61" s="80" t="s">
        <v>343</v>
      </c>
      <c r="I61" s="85" t="s">
        <v>679</v>
      </c>
      <c r="J61" s="78" t="s">
        <v>281</v>
      </c>
      <c r="K61" s="81">
        <v>1</v>
      </c>
      <c r="L61" s="392" t="s">
        <v>955</v>
      </c>
      <c r="M61" s="80"/>
      <c r="N61" s="78" t="s">
        <v>971</v>
      </c>
      <c r="O61" s="80"/>
      <c r="P61" s="391" t="s">
        <v>972</v>
      </c>
      <c r="Q61" s="78" t="s">
        <v>69</v>
      </c>
      <c r="R61" s="105" t="s">
        <v>60</v>
      </c>
      <c r="S61" s="78" t="s">
        <v>958</v>
      </c>
      <c r="T61" s="106">
        <v>0.75</v>
      </c>
      <c r="U61" s="85" t="s">
        <v>64</v>
      </c>
      <c r="V61" s="85">
        <v>10000</v>
      </c>
      <c r="W61" s="86" t="e">
        <f t="shared" si="33"/>
        <v>#VALUE!</v>
      </c>
      <c r="X61" s="86" t="e">
        <f t="shared" si="19"/>
        <v>#VALUE!</v>
      </c>
      <c r="Y61" s="86" t="e">
        <v>#VALUE!</v>
      </c>
      <c r="Z61" s="86" t="e">
        <f t="shared" si="21"/>
        <v>#VALUE!</v>
      </c>
      <c r="AA61" s="86">
        <v>0.65</v>
      </c>
      <c r="AB61" s="86" t="s">
        <v>959</v>
      </c>
      <c r="AC61" s="86">
        <v>179</v>
      </c>
      <c r="AD61" s="87" t="s">
        <v>960</v>
      </c>
      <c r="AE61" s="88">
        <v>139</v>
      </c>
      <c r="AF61" s="86">
        <f t="shared" si="22"/>
        <v>119.82758620689656</v>
      </c>
      <c r="AG61" s="86">
        <f t="shared" si="23"/>
        <v>71.896551724137936</v>
      </c>
      <c r="AH61" s="89">
        <f t="shared" si="24"/>
        <v>9.040767386091126E-3</v>
      </c>
      <c r="AI61" s="89">
        <f t="shared" si="25"/>
        <v>0.99095923261390884</v>
      </c>
      <c r="AJ61" s="90">
        <f t="shared" si="26"/>
        <v>0.4</v>
      </c>
      <c r="AK61" s="80" t="s">
        <v>808</v>
      </c>
      <c r="AL61" s="80" t="s">
        <v>67</v>
      </c>
      <c r="AM61" s="91">
        <v>6</v>
      </c>
      <c r="AN61" s="29">
        <f t="shared" si="34"/>
        <v>144</v>
      </c>
      <c r="AO61" s="344" t="s">
        <v>809</v>
      </c>
      <c r="AP61" s="355">
        <v>46296</v>
      </c>
      <c r="AR61" s="67">
        <f t="shared" si="35"/>
        <v>90.350000000000009</v>
      </c>
      <c r="AS61" s="63">
        <f t="shared" si="27"/>
        <v>77.887931034482776</v>
      </c>
      <c r="AT61" s="64">
        <f t="shared" si="28"/>
        <v>8.3453237410071931E-3</v>
      </c>
      <c r="AU61" s="65">
        <f t="shared" si="29"/>
        <v>0.99165467625899284</v>
      </c>
      <c r="AV61" s="33">
        <f t="shared" si="30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/>
      <c r="BI61" s="3"/>
      <c r="BJ61" s="3">
        <v>9</v>
      </c>
      <c r="BK61" s="3">
        <f t="shared" si="31"/>
        <v>7</v>
      </c>
      <c r="BL61" s="292">
        <f t="shared" si="32"/>
        <v>0.77777777777777779</v>
      </c>
      <c r="BM61" s="295"/>
      <c r="BN61" s="295"/>
      <c r="BO61" s="295"/>
      <c r="BP61" s="295"/>
      <c r="BQ61" s="295"/>
      <c r="BR61" s="294" t="str">
        <f t="shared" si="14"/>
        <v>Todo ok por licencia. En producción.
Termina aprox 27/jun</v>
      </c>
      <c r="BS61" s="284">
        <f t="shared" si="15"/>
        <v>46296</v>
      </c>
      <c r="BT61" s="278" t="s">
        <v>86</v>
      </c>
      <c r="CJ61" s="278"/>
      <c r="CK61" s="278"/>
      <c r="CL61" s="278"/>
      <c r="CM61" s="278"/>
      <c r="CN61" s="278"/>
      <c r="CO61" s="278"/>
      <c r="CP61" s="268"/>
      <c r="CQ61" s="268"/>
      <c r="CR61" s="267"/>
      <c r="CS61" s="267"/>
      <c r="CT61" s="267"/>
      <c r="CU61" s="267"/>
      <c r="CV61" s="267"/>
      <c r="CW61" s="267"/>
      <c r="CX61" s="267"/>
      <c r="CY61" s="267"/>
      <c r="CZ61" s="267"/>
      <c r="DA61" s="267"/>
    </row>
    <row r="62" spans="1:105" ht="345.75">
      <c r="A62" s="74">
        <v>46234</v>
      </c>
      <c r="B62" s="75" t="s">
        <v>277</v>
      </c>
      <c r="C62" s="5" t="s">
        <v>77</v>
      </c>
      <c r="D62" s="76">
        <v>7503057496688</v>
      </c>
      <c r="E62" s="77" t="s">
        <v>973</v>
      </c>
      <c r="F62" s="78" t="s">
        <v>974</v>
      </c>
      <c r="G62" s="79"/>
      <c r="H62" s="80" t="s">
        <v>569</v>
      </c>
      <c r="I62" s="85" t="s">
        <v>679</v>
      </c>
      <c r="J62" s="78" t="s">
        <v>281</v>
      </c>
      <c r="K62" s="81">
        <v>1</v>
      </c>
      <c r="L62" s="392" t="s">
        <v>975</v>
      </c>
      <c r="M62" s="80"/>
      <c r="N62" s="78" t="s">
        <v>976</v>
      </c>
      <c r="O62" s="80"/>
      <c r="P62" s="80" t="s">
        <v>69</v>
      </c>
      <c r="Q62" s="78" t="s">
        <v>977</v>
      </c>
      <c r="R62" s="80" t="s">
        <v>60</v>
      </c>
      <c r="S62" s="78" t="s">
        <v>978</v>
      </c>
      <c r="T62" s="106">
        <v>0.68</v>
      </c>
      <c r="U62" s="85" t="s">
        <v>64</v>
      </c>
      <c r="V62" s="85">
        <v>10000</v>
      </c>
      <c r="W62" s="86" t="e">
        <f t="shared" si="33"/>
        <v>#VALUE!</v>
      </c>
      <c r="X62" s="86" t="e">
        <f t="shared" si="19"/>
        <v>#VALUE!</v>
      </c>
      <c r="Y62" s="86" t="e">
        <v>#VALUE!</v>
      </c>
      <c r="Z62" s="86" t="e">
        <f t="shared" si="21"/>
        <v>#VALUE!</v>
      </c>
      <c r="AA62" s="86">
        <v>1.03</v>
      </c>
      <c r="AB62" s="86" t="s">
        <v>62</v>
      </c>
      <c r="AC62" s="86">
        <v>179</v>
      </c>
      <c r="AD62" s="87" t="s">
        <v>979</v>
      </c>
      <c r="AE62" s="88">
        <v>149</v>
      </c>
      <c r="AF62" s="86">
        <f t="shared" si="22"/>
        <v>128.44827586206898</v>
      </c>
      <c r="AG62" s="86">
        <f t="shared" si="23"/>
        <v>77.068965517241381</v>
      </c>
      <c r="AH62" s="89">
        <f t="shared" si="24"/>
        <v>1.3364653243847875E-2</v>
      </c>
      <c r="AI62" s="89">
        <f t="shared" si="25"/>
        <v>0.98663534675615217</v>
      </c>
      <c r="AJ62" s="90">
        <f t="shared" si="26"/>
        <v>0.4</v>
      </c>
      <c r="AK62" s="80" t="s">
        <v>808</v>
      </c>
      <c r="AL62" s="80" t="s">
        <v>67</v>
      </c>
      <c r="AM62" s="91">
        <v>6</v>
      </c>
      <c r="AN62" s="29">
        <f>+AM62*12</f>
        <v>72</v>
      </c>
      <c r="AO62" s="344" t="s">
        <v>809</v>
      </c>
      <c r="AP62" s="355">
        <v>46296</v>
      </c>
      <c r="AR62" s="67">
        <f t="shared" si="35"/>
        <v>96.850000000000009</v>
      </c>
      <c r="AS62" s="63">
        <f t="shared" si="27"/>
        <v>83.49137931034484</v>
      </c>
      <c r="AT62" s="64">
        <f t="shared" si="28"/>
        <v>1.2336602994321114E-2</v>
      </c>
      <c r="AU62" s="65">
        <f t="shared" si="29"/>
        <v>0.98766339700567884</v>
      </c>
      <c r="AV62" s="33">
        <f t="shared" si="30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/>
      <c r="BI62" s="3"/>
      <c r="BJ62" s="3">
        <v>9</v>
      </c>
      <c r="BK62" s="3">
        <f t="shared" si="31"/>
        <v>7</v>
      </c>
      <c r="BL62" s="292">
        <f t="shared" si="32"/>
        <v>0.77777777777777779</v>
      </c>
      <c r="BM62" s="295"/>
      <c r="BN62" s="295"/>
      <c r="BO62" s="295"/>
      <c r="BP62" s="295"/>
      <c r="BQ62" s="295"/>
      <c r="BR62" s="294" t="str">
        <f t="shared" si="14"/>
        <v>Todo ok por licencia. En producción.
Termina aprox 27/jun</v>
      </c>
      <c r="BS62" s="284">
        <f t="shared" si="15"/>
        <v>46296</v>
      </c>
      <c r="BT62" s="278" t="s">
        <v>86</v>
      </c>
      <c r="CJ62" s="278"/>
      <c r="CK62" s="278"/>
      <c r="CL62" s="278"/>
      <c r="CM62" s="278"/>
      <c r="CN62" s="278"/>
      <c r="CO62" s="278"/>
      <c r="CP62" s="268"/>
      <c r="CQ62" s="268"/>
      <c r="CR62" s="267"/>
      <c r="CS62" s="267"/>
      <c r="CT62" s="267"/>
      <c r="CU62" s="267"/>
      <c r="CV62" s="267"/>
      <c r="CW62" s="267"/>
      <c r="CX62" s="267"/>
      <c r="CY62" s="267"/>
      <c r="CZ62" s="267"/>
      <c r="DA62" s="267"/>
    </row>
    <row r="63" spans="1:105" ht="409.6" customHeight="1">
      <c r="A63" s="74">
        <v>46234</v>
      </c>
      <c r="B63" s="75" t="s">
        <v>277</v>
      </c>
      <c r="C63" s="5" t="s">
        <v>77</v>
      </c>
      <c r="D63" s="76">
        <v>7503057496695</v>
      </c>
      <c r="E63" s="77" t="s">
        <v>980</v>
      </c>
      <c r="F63" s="78" t="s">
        <v>981</v>
      </c>
      <c r="G63" s="79" t="s">
        <v>60</v>
      </c>
      <c r="H63" s="80" t="s">
        <v>982</v>
      </c>
      <c r="I63" s="85" t="s">
        <v>679</v>
      </c>
      <c r="J63" s="78" t="s">
        <v>281</v>
      </c>
      <c r="K63" s="81">
        <v>1</v>
      </c>
      <c r="L63" s="399" t="s">
        <v>983</v>
      </c>
      <c r="M63" s="80"/>
      <c r="N63" s="78" t="s">
        <v>984</v>
      </c>
      <c r="O63" s="80"/>
      <c r="P63" s="392"/>
      <c r="Q63" s="78" t="s">
        <v>862</v>
      </c>
      <c r="R63" s="80" t="s">
        <v>60</v>
      </c>
      <c r="S63" s="78" t="s">
        <v>985</v>
      </c>
      <c r="T63" s="84">
        <v>0.47</v>
      </c>
      <c r="U63" s="85" t="s">
        <v>64</v>
      </c>
      <c r="V63" s="85">
        <v>10000</v>
      </c>
      <c r="W63" s="86" t="e">
        <f t="shared" si="33"/>
        <v>#VALUE!</v>
      </c>
      <c r="X63" s="86" t="e">
        <f t="shared" ref="X63:X70" si="36">+W63*0.36</f>
        <v>#VALUE!</v>
      </c>
      <c r="Y63" s="86" t="e">
        <v>#VALUE!</v>
      </c>
      <c r="Z63" s="86" t="e">
        <f t="shared" si="21"/>
        <v>#VALUE!</v>
      </c>
      <c r="AA63" s="86">
        <v>0.52</v>
      </c>
      <c r="AB63" s="86" t="s">
        <v>986</v>
      </c>
      <c r="AC63" s="86">
        <v>179</v>
      </c>
      <c r="AD63" s="87" t="s">
        <v>987</v>
      </c>
      <c r="AE63" s="88">
        <v>99</v>
      </c>
      <c r="AF63" s="86">
        <f t="shared" si="22"/>
        <v>85.344827586206904</v>
      </c>
      <c r="AG63" s="86">
        <f t="shared" si="23"/>
        <v>51.206896551724142</v>
      </c>
      <c r="AH63" s="89">
        <f t="shared" si="24"/>
        <v>1.0154882154882154E-2</v>
      </c>
      <c r="AI63" s="89">
        <f t="shared" si="25"/>
        <v>0.98984511784511786</v>
      </c>
      <c r="AJ63" s="90">
        <f t="shared" si="26"/>
        <v>0.4</v>
      </c>
      <c r="AK63" s="80" t="s">
        <v>808</v>
      </c>
      <c r="AL63" s="80" t="s">
        <v>67</v>
      </c>
      <c r="AM63" s="91">
        <v>6</v>
      </c>
      <c r="AN63" s="29">
        <f t="shared" ref="AN63:AN70" si="37">+AM63*24</f>
        <v>144</v>
      </c>
      <c r="AO63" s="344" t="s">
        <v>809</v>
      </c>
      <c r="AP63" s="355">
        <v>46296</v>
      </c>
      <c r="AR63" s="67">
        <f t="shared" si="35"/>
        <v>64.350000000000009</v>
      </c>
      <c r="AS63" s="63">
        <f t="shared" si="27"/>
        <v>55.474137931034491</v>
      </c>
      <c r="AT63" s="64">
        <f t="shared" si="28"/>
        <v>9.3737373737373727E-3</v>
      </c>
      <c r="AU63" s="65">
        <f t="shared" si="29"/>
        <v>0.99062626262626263</v>
      </c>
      <c r="AV63" s="33">
        <f t="shared" si="30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1"/>
        <v>7</v>
      </c>
      <c r="BL63" s="292">
        <f t="shared" si="32"/>
        <v>0.77777777777777779</v>
      </c>
      <c r="BM63" s="295"/>
      <c r="BN63" s="295"/>
      <c r="BO63" s="295"/>
      <c r="BP63" s="295"/>
      <c r="BQ63" s="295"/>
      <c r="BR63" s="294" t="str">
        <f t="shared" si="14"/>
        <v>Todo ok por licencia. En producción.
Termina aprox 27/jun</v>
      </c>
      <c r="BS63" s="284">
        <f t="shared" si="15"/>
        <v>46296</v>
      </c>
      <c r="BT63" s="278" t="s">
        <v>86</v>
      </c>
      <c r="CJ63" s="278"/>
      <c r="CK63" s="278"/>
      <c r="CL63" s="278"/>
      <c r="CM63" s="278"/>
      <c r="CN63" s="278"/>
      <c r="CO63" s="278"/>
      <c r="CP63" s="268"/>
      <c r="CQ63" s="268"/>
      <c r="CR63" s="267"/>
      <c r="CS63" s="267"/>
      <c r="CT63" s="267"/>
      <c r="CU63" s="267"/>
      <c r="CV63" s="267"/>
      <c r="CW63" s="267"/>
      <c r="CX63" s="267"/>
      <c r="CY63" s="267"/>
      <c r="CZ63" s="267"/>
      <c r="DA63" s="267"/>
    </row>
    <row r="64" spans="1:105" ht="409.6">
      <c r="A64" s="74">
        <v>46234</v>
      </c>
      <c r="B64" s="75" t="s">
        <v>277</v>
      </c>
      <c r="C64" s="5" t="s">
        <v>77</v>
      </c>
      <c r="D64" s="76">
        <v>7503057496701</v>
      </c>
      <c r="E64" s="77" t="s">
        <v>988</v>
      </c>
      <c r="F64" s="78" t="s">
        <v>989</v>
      </c>
      <c r="G64" s="79" t="s">
        <v>60</v>
      </c>
      <c r="H64" s="80" t="s">
        <v>982</v>
      </c>
      <c r="I64" s="85" t="s">
        <v>679</v>
      </c>
      <c r="J64" s="78" t="s">
        <v>281</v>
      </c>
      <c r="K64" s="81">
        <v>1</v>
      </c>
      <c r="L64" s="399"/>
      <c r="M64" s="80"/>
      <c r="N64" s="78" t="s">
        <v>990</v>
      </c>
      <c r="O64" s="80"/>
      <c r="P64" s="392" t="s">
        <v>991</v>
      </c>
      <c r="Q64" s="78" t="s">
        <v>992</v>
      </c>
      <c r="R64" s="80" t="s">
        <v>60</v>
      </c>
      <c r="S64" s="78" t="s">
        <v>985</v>
      </c>
      <c r="T64" s="84">
        <v>0.47</v>
      </c>
      <c r="U64" s="85" t="s">
        <v>64</v>
      </c>
      <c r="V64" s="85">
        <v>10000</v>
      </c>
      <c r="W64" s="86" t="e">
        <f t="shared" si="33"/>
        <v>#VALUE!</v>
      </c>
      <c r="X64" s="86" t="e">
        <f t="shared" si="36"/>
        <v>#VALUE!</v>
      </c>
      <c r="Y64" s="86" t="e">
        <v>#VALUE!</v>
      </c>
      <c r="Z64" s="86" t="e">
        <f t="shared" si="21"/>
        <v>#VALUE!</v>
      </c>
      <c r="AA64" s="86">
        <v>0.52</v>
      </c>
      <c r="AB64" s="86" t="s">
        <v>986</v>
      </c>
      <c r="AC64" s="86">
        <v>199</v>
      </c>
      <c r="AD64" s="87" t="s">
        <v>987</v>
      </c>
      <c r="AE64" s="88">
        <v>99</v>
      </c>
      <c r="AF64" s="86">
        <f t="shared" si="22"/>
        <v>85.344827586206904</v>
      </c>
      <c r="AG64" s="86">
        <f t="shared" si="23"/>
        <v>51.206896551724142</v>
      </c>
      <c r="AH64" s="89">
        <f t="shared" si="24"/>
        <v>1.0154882154882154E-2</v>
      </c>
      <c r="AI64" s="89">
        <f t="shared" si="25"/>
        <v>0.98984511784511786</v>
      </c>
      <c r="AJ64" s="90">
        <f t="shared" si="26"/>
        <v>0.4</v>
      </c>
      <c r="AK64" s="80" t="s">
        <v>808</v>
      </c>
      <c r="AL64" s="80" t="s">
        <v>67</v>
      </c>
      <c r="AM64" s="91">
        <v>6</v>
      </c>
      <c r="AN64" s="29">
        <f t="shared" si="37"/>
        <v>144</v>
      </c>
      <c r="AO64" s="344" t="s">
        <v>809</v>
      </c>
      <c r="AP64" s="355">
        <v>46296</v>
      </c>
      <c r="AR64" s="67">
        <f t="shared" si="35"/>
        <v>64.350000000000009</v>
      </c>
      <c r="AS64" s="63">
        <f t="shared" si="27"/>
        <v>55.474137931034491</v>
      </c>
      <c r="AT64" s="64">
        <f t="shared" si="28"/>
        <v>9.3737373737373727E-3</v>
      </c>
      <c r="AU64" s="65">
        <f t="shared" si="29"/>
        <v>0.99062626262626263</v>
      </c>
      <c r="AV64" s="33">
        <f t="shared" si="30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1"/>
        <v>7</v>
      </c>
      <c r="BL64" s="292">
        <f t="shared" si="32"/>
        <v>0.77777777777777779</v>
      </c>
      <c r="BM64" s="295"/>
      <c r="BN64" s="295"/>
      <c r="BO64" s="295"/>
      <c r="BP64" s="295"/>
      <c r="BQ64" s="295"/>
      <c r="BR64" s="294" t="str">
        <f t="shared" si="14"/>
        <v>Todo ok por licencia. En producción.
Termina aprox 27/jun</v>
      </c>
      <c r="BS64" s="284">
        <f t="shared" si="15"/>
        <v>46296</v>
      </c>
      <c r="BT64" s="278" t="s">
        <v>86</v>
      </c>
      <c r="CJ64" s="278"/>
      <c r="CK64" s="278"/>
      <c r="CL64" s="278"/>
      <c r="CM64" s="278"/>
      <c r="CN64" s="278"/>
      <c r="CO64" s="278"/>
      <c r="CP64" s="268"/>
      <c r="CQ64" s="268"/>
      <c r="CR64" s="267"/>
      <c r="CS64" s="267"/>
      <c r="CT64" s="267"/>
      <c r="CU64" s="267"/>
      <c r="CV64" s="267"/>
      <c r="CW64" s="267"/>
      <c r="CX64" s="267"/>
      <c r="CY64" s="267"/>
      <c r="CZ64" s="267"/>
      <c r="DA64" s="267"/>
    </row>
    <row r="65" spans="1:105" ht="409.6">
      <c r="A65" s="74">
        <v>46234</v>
      </c>
      <c r="B65" s="75" t="s">
        <v>277</v>
      </c>
      <c r="C65" s="5" t="s">
        <v>77</v>
      </c>
      <c r="D65" s="76">
        <v>7503057496718</v>
      </c>
      <c r="E65" s="77" t="s">
        <v>993</v>
      </c>
      <c r="F65" s="78" t="s">
        <v>994</v>
      </c>
      <c r="G65" s="79" t="s">
        <v>60</v>
      </c>
      <c r="H65" s="80" t="s">
        <v>982</v>
      </c>
      <c r="I65" s="85" t="s">
        <v>679</v>
      </c>
      <c r="J65" s="78" t="s">
        <v>281</v>
      </c>
      <c r="K65" s="81">
        <v>1</v>
      </c>
      <c r="L65" s="399"/>
      <c r="M65" s="80"/>
      <c r="N65" s="78" t="s">
        <v>995</v>
      </c>
      <c r="O65" s="80"/>
      <c r="P65" s="392" t="s">
        <v>991</v>
      </c>
      <c r="Q65" s="78" t="s">
        <v>996</v>
      </c>
      <c r="R65" s="80" t="s">
        <v>60</v>
      </c>
      <c r="S65" s="78" t="s">
        <v>985</v>
      </c>
      <c r="T65" s="84">
        <v>0.47</v>
      </c>
      <c r="U65" s="85" t="s">
        <v>64</v>
      </c>
      <c r="V65" s="85">
        <v>10000</v>
      </c>
      <c r="W65" s="86" t="e">
        <f t="shared" si="33"/>
        <v>#VALUE!</v>
      </c>
      <c r="X65" s="86" t="e">
        <f t="shared" si="36"/>
        <v>#VALUE!</v>
      </c>
      <c r="Y65" s="86" t="e">
        <v>#VALUE!</v>
      </c>
      <c r="Z65" s="86" t="e">
        <f t="shared" si="21"/>
        <v>#VALUE!</v>
      </c>
      <c r="AA65" s="86">
        <v>0.52</v>
      </c>
      <c r="AB65" s="86" t="s">
        <v>986</v>
      </c>
      <c r="AC65" s="86">
        <v>179</v>
      </c>
      <c r="AD65" s="87" t="s">
        <v>987</v>
      </c>
      <c r="AE65" s="88">
        <v>99</v>
      </c>
      <c r="AF65" s="86">
        <f t="shared" si="22"/>
        <v>85.344827586206904</v>
      </c>
      <c r="AG65" s="86">
        <f t="shared" si="23"/>
        <v>51.206896551724142</v>
      </c>
      <c r="AH65" s="89">
        <f t="shared" si="24"/>
        <v>1.0154882154882154E-2</v>
      </c>
      <c r="AI65" s="89">
        <f t="shared" si="25"/>
        <v>0.98984511784511786</v>
      </c>
      <c r="AJ65" s="90">
        <f t="shared" si="26"/>
        <v>0.4</v>
      </c>
      <c r="AK65" s="80" t="s">
        <v>808</v>
      </c>
      <c r="AL65" s="80" t="s">
        <v>67</v>
      </c>
      <c r="AM65" s="91">
        <v>6</v>
      </c>
      <c r="AN65" s="29">
        <f t="shared" si="37"/>
        <v>144</v>
      </c>
      <c r="AO65" s="344" t="s">
        <v>809</v>
      </c>
      <c r="AP65" s="355">
        <v>46296</v>
      </c>
      <c r="AR65" s="67">
        <f t="shared" si="35"/>
        <v>64.350000000000009</v>
      </c>
      <c r="AS65" s="63">
        <f t="shared" si="27"/>
        <v>55.474137931034491</v>
      </c>
      <c r="AT65" s="64">
        <f t="shared" si="28"/>
        <v>9.3737373737373727E-3</v>
      </c>
      <c r="AU65" s="65">
        <f t="shared" si="29"/>
        <v>0.99062626262626263</v>
      </c>
      <c r="AV65" s="33">
        <f t="shared" si="30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1"/>
        <v>7</v>
      </c>
      <c r="BL65" s="292">
        <f t="shared" si="32"/>
        <v>0.77777777777777779</v>
      </c>
      <c r="BM65" s="295"/>
      <c r="BN65" s="295"/>
      <c r="BO65" s="295"/>
      <c r="BP65" s="295"/>
      <c r="BQ65" s="295"/>
      <c r="BR65" s="294" t="str">
        <f t="shared" si="14"/>
        <v>Todo ok por licencia. En producción.
Termina aprox 27/jun</v>
      </c>
      <c r="BS65" s="284">
        <f t="shared" si="15"/>
        <v>46296</v>
      </c>
      <c r="BT65" s="278" t="s">
        <v>86</v>
      </c>
      <c r="CJ65" s="278"/>
      <c r="CK65" s="278"/>
      <c r="CL65" s="278"/>
      <c r="CM65" s="278"/>
      <c r="CN65" s="278"/>
      <c r="CO65" s="278"/>
      <c r="CP65" s="268"/>
      <c r="CQ65" s="268"/>
      <c r="CR65" s="267"/>
      <c r="CS65" s="267"/>
      <c r="CT65" s="267"/>
      <c r="CU65" s="267"/>
      <c r="CV65" s="267"/>
      <c r="CW65" s="267"/>
      <c r="CX65" s="267"/>
      <c r="CY65" s="267"/>
      <c r="CZ65" s="267"/>
      <c r="DA65" s="267"/>
    </row>
    <row r="66" spans="1:105" ht="409.6">
      <c r="A66" s="74">
        <v>46234</v>
      </c>
      <c r="B66" s="75" t="s">
        <v>277</v>
      </c>
      <c r="C66" s="5" t="s">
        <v>77</v>
      </c>
      <c r="D66" s="76">
        <v>7503057496725</v>
      </c>
      <c r="E66" s="77" t="s">
        <v>997</v>
      </c>
      <c r="F66" s="78" t="s">
        <v>998</v>
      </c>
      <c r="G66" s="79" t="s">
        <v>60</v>
      </c>
      <c r="H66" s="80" t="s">
        <v>982</v>
      </c>
      <c r="I66" s="85" t="s">
        <v>679</v>
      </c>
      <c r="J66" s="78" t="s">
        <v>281</v>
      </c>
      <c r="K66" s="81">
        <v>1</v>
      </c>
      <c r="L66" s="399"/>
      <c r="M66" s="80"/>
      <c r="N66" s="78" t="s">
        <v>999</v>
      </c>
      <c r="O66" s="80"/>
      <c r="P66" s="392" t="s">
        <v>991</v>
      </c>
      <c r="Q66" s="78" t="s">
        <v>1000</v>
      </c>
      <c r="R66" s="80" t="s">
        <v>60</v>
      </c>
      <c r="S66" s="78" t="s">
        <v>985</v>
      </c>
      <c r="T66" s="84">
        <v>0.47</v>
      </c>
      <c r="U66" s="85" t="s">
        <v>64</v>
      </c>
      <c r="V66" s="85">
        <v>10000</v>
      </c>
      <c r="W66" s="86" t="e">
        <f t="shared" si="33"/>
        <v>#VALUE!</v>
      </c>
      <c r="X66" s="86" t="e">
        <f t="shared" si="36"/>
        <v>#VALUE!</v>
      </c>
      <c r="Y66" s="86" t="e">
        <v>#VALUE!</v>
      </c>
      <c r="Z66" s="86" t="e">
        <f t="shared" si="21"/>
        <v>#VALUE!</v>
      </c>
      <c r="AA66" s="86">
        <v>0.52</v>
      </c>
      <c r="AB66" s="86" t="s">
        <v>986</v>
      </c>
      <c r="AC66" s="86">
        <v>179</v>
      </c>
      <c r="AD66" s="87" t="s">
        <v>987</v>
      </c>
      <c r="AE66" s="88">
        <v>99</v>
      </c>
      <c r="AF66" s="86">
        <f t="shared" si="22"/>
        <v>85.344827586206904</v>
      </c>
      <c r="AG66" s="86">
        <f t="shared" si="23"/>
        <v>51.206896551724142</v>
      </c>
      <c r="AH66" s="89">
        <f t="shared" si="24"/>
        <v>1.0154882154882154E-2</v>
      </c>
      <c r="AI66" s="89">
        <f t="shared" si="25"/>
        <v>0.98984511784511786</v>
      </c>
      <c r="AJ66" s="90">
        <f t="shared" si="26"/>
        <v>0.4</v>
      </c>
      <c r="AK66" s="80" t="s">
        <v>808</v>
      </c>
      <c r="AL66" s="80" t="s">
        <v>67</v>
      </c>
      <c r="AM66" s="91">
        <v>6</v>
      </c>
      <c r="AN66" s="29">
        <f t="shared" si="37"/>
        <v>144</v>
      </c>
      <c r="AO66" s="344" t="s">
        <v>809</v>
      </c>
      <c r="AP66" s="355">
        <v>46296</v>
      </c>
      <c r="AR66" s="67">
        <f t="shared" si="35"/>
        <v>64.350000000000009</v>
      </c>
      <c r="AS66" s="63">
        <f t="shared" si="27"/>
        <v>55.474137931034491</v>
      </c>
      <c r="AT66" s="64">
        <f t="shared" si="28"/>
        <v>9.3737373737373727E-3</v>
      </c>
      <c r="AU66" s="65">
        <f t="shared" si="29"/>
        <v>0.99062626262626263</v>
      </c>
      <c r="AV66" s="33">
        <f t="shared" si="30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1"/>
        <v>7</v>
      </c>
      <c r="BL66" s="292">
        <f t="shared" si="32"/>
        <v>0.77777777777777779</v>
      </c>
      <c r="BM66" s="295"/>
      <c r="BN66" s="295"/>
      <c r="BO66" s="295"/>
      <c r="BP66" s="295"/>
      <c r="BQ66" s="295"/>
      <c r="BR66" s="294" t="str">
        <f t="shared" si="14"/>
        <v>Todo ok por licencia. En producción.
Termina aprox 27/jun</v>
      </c>
      <c r="BS66" s="284">
        <f t="shared" si="15"/>
        <v>46296</v>
      </c>
      <c r="BT66" s="278" t="s">
        <v>86</v>
      </c>
      <c r="CJ66" s="278"/>
      <c r="CK66" s="278"/>
      <c r="CL66" s="278"/>
      <c r="CM66" s="278"/>
      <c r="CN66" s="278"/>
      <c r="CO66" s="278"/>
      <c r="CP66" s="268"/>
      <c r="CQ66" s="268"/>
      <c r="CR66" s="267"/>
      <c r="CS66" s="267"/>
      <c r="CT66" s="267"/>
      <c r="CU66" s="267"/>
      <c r="CV66" s="267"/>
      <c r="CW66" s="267"/>
      <c r="CX66" s="267"/>
      <c r="CY66" s="267"/>
      <c r="CZ66" s="267"/>
      <c r="DA66" s="267"/>
    </row>
    <row r="67" spans="1:105" ht="409.6" customHeight="1">
      <c r="A67" s="74">
        <v>46234</v>
      </c>
      <c r="B67" s="75" t="s">
        <v>277</v>
      </c>
      <c r="C67" s="5" t="s">
        <v>77</v>
      </c>
      <c r="D67" s="76">
        <v>7503057496732</v>
      </c>
      <c r="E67" s="77" t="s">
        <v>1001</v>
      </c>
      <c r="F67" s="78" t="s">
        <v>1002</v>
      </c>
      <c r="G67" s="79" t="s">
        <v>60</v>
      </c>
      <c r="H67" s="100" t="s">
        <v>801</v>
      </c>
      <c r="I67" s="85" t="s">
        <v>679</v>
      </c>
      <c r="J67" s="78" t="s">
        <v>281</v>
      </c>
      <c r="K67" s="81">
        <v>1</v>
      </c>
      <c r="L67" s="399" t="s">
        <v>802</v>
      </c>
      <c r="M67" s="80"/>
      <c r="N67" s="78" t="s">
        <v>1003</v>
      </c>
      <c r="O67" s="80"/>
      <c r="P67" s="392" t="s">
        <v>991</v>
      </c>
      <c r="Q67" s="78" t="s">
        <v>1004</v>
      </c>
      <c r="R67" s="80" t="s">
        <v>60</v>
      </c>
      <c r="S67" s="78" t="s">
        <v>1005</v>
      </c>
      <c r="T67" s="84">
        <v>0.55000000000000004</v>
      </c>
      <c r="U67" s="85" t="s">
        <v>64</v>
      </c>
      <c r="V67" s="85">
        <v>10000</v>
      </c>
      <c r="W67" s="86" t="e">
        <f t="shared" si="33"/>
        <v>#VALUE!</v>
      </c>
      <c r="X67" s="86" t="e">
        <f t="shared" si="36"/>
        <v>#VALUE!</v>
      </c>
      <c r="Y67" s="86" t="e">
        <v>#VALUE!</v>
      </c>
      <c r="Z67" s="86" t="e">
        <f t="shared" si="21"/>
        <v>#VALUE!</v>
      </c>
      <c r="AA67" s="86">
        <v>0.28000000000000003</v>
      </c>
      <c r="AB67" s="86" t="s">
        <v>900</v>
      </c>
      <c r="AC67" s="86">
        <v>179</v>
      </c>
      <c r="AD67" s="87" t="s">
        <v>1006</v>
      </c>
      <c r="AE67" s="88">
        <v>99</v>
      </c>
      <c r="AF67" s="86">
        <f t="shared" si="22"/>
        <v>85.344827586206904</v>
      </c>
      <c r="AG67" s="86">
        <f t="shared" si="23"/>
        <v>51.206896551724142</v>
      </c>
      <c r="AH67" s="89">
        <f t="shared" si="24"/>
        <v>5.4680134680134681E-3</v>
      </c>
      <c r="AI67" s="89">
        <f t="shared" si="25"/>
        <v>0.99453198653198649</v>
      </c>
      <c r="AJ67" s="90">
        <f t="shared" si="26"/>
        <v>0.4</v>
      </c>
      <c r="AK67" s="80" t="s">
        <v>808</v>
      </c>
      <c r="AL67" s="80" t="s">
        <v>67</v>
      </c>
      <c r="AM67" s="91">
        <v>6</v>
      </c>
      <c r="AN67" s="29">
        <f t="shared" si="37"/>
        <v>144</v>
      </c>
      <c r="AO67" s="344" t="s">
        <v>809</v>
      </c>
      <c r="AP67" s="355">
        <v>46296</v>
      </c>
      <c r="AR67" s="67">
        <f t="shared" si="35"/>
        <v>64.350000000000009</v>
      </c>
      <c r="AS67" s="63">
        <f t="shared" si="27"/>
        <v>55.474137931034491</v>
      </c>
      <c r="AT67" s="64">
        <f t="shared" si="28"/>
        <v>5.0473970473970467E-3</v>
      </c>
      <c r="AU67" s="65">
        <f t="shared" si="29"/>
        <v>0.9949526029526029</v>
      </c>
      <c r="AV67" s="33">
        <f t="shared" si="30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1"/>
        <v>7</v>
      </c>
      <c r="BL67" s="292">
        <f t="shared" si="32"/>
        <v>0.77777777777777779</v>
      </c>
      <c r="BM67" s="295"/>
      <c r="BN67" s="295"/>
      <c r="BO67" s="295"/>
      <c r="BP67" s="295"/>
      <c r="BQ67" s="295"/>
      <c r="BR67" s="294" t="str">
        <f t="shared" si="14"/>
        <v>Todo ok por licencia. En producción.
Termina aprox 27/jun</v>
      </c>
      <c r="BS67" s="284">
        <f t="shared" si="15"/>
        <v>46296</v>
      </c>
      <c r="BT67" s="278" t="s">
        <v>86</v>
      </c>
      <c r="CJ67" s="278"/>
      <c r="CK67" s="278"/>
      <c r="CL67" s="278"/>
      <c r="CM67" s="278"/>
      <c r="CN67" s="278"/>
      <c r="CO67" s="278"/>
      <c r="CP67" s="268"/>
      <c r="CQ67" s="268"/>
      <c r="CR67" s="267"/>
      <c r="CS67" s="267"/>
      <c r="CT67" s="267"/>
      <c r="CU67" s="267"/>
      <c r="CV67" s="267"/>
      <c r="CW67" s="267"/>
      <c r="CX67" s="267"/>
      <c r="CY67" s="267"/>
      <c r="CZ67" s="267"/>
      <c r="DA67" s="267"/>
    </row>
    <row r="68" spans="1:105" ht="409.6">
      <c r="A68" s="74">
        <v>46234</v>
      </c>
      <c r="B68" s="75" t="s">
        <v>277</v>
      </c>
      <c r="C68" s="5" t="s">
        <v>77</v>
      </c>
      <c r="D68" s="76">
        <v>7503057496749</v>
      </c>
      <c r="E68" s="77" t="s">
        <v>1007</v>
      </c>
      <c r="F68" s="78" t="s">
        <v>1008</v>
      </c>
      <c r="G68" s="79" t="s">
        <v>60</v>
      </c>
      <c r="H68" s="100" t="s">
        <v>801</v>
      </c>
      <c r="I68" s="85" t="s">
        <v>679</v>
      </c>
      <c r="J68" s="78" t="s">
        <v>281</v>
      </c>
      <c r="K68" s="81">
        <v>1</v>
      </c>
      <c r="L68" s="399"/>
      <c r="M68" s="80"/>
      <c r="N68" s="78" t="s">
        <v>1009</v>
      </c>
      <c r="O68" s="80"/>
      <c r="P68" s="392" t="s">
        <v>1010</v>
      </c>
      <c r="Q68" s="78" t="s">
        <v>1011</v>
      </c>
      <c r="R68" s="80" t="s">
        <v>60</v>
      </c>
      <c r="S68" s="78" t="s">
        <v>1005</v>
      </c>
      <c r="T68" s="84">
        <v>0.55000000000000004</v>
      </c>
      <c r="U68" s="85" t="s">
        <v>64</v>
      </c>
      <c r="V68" s="85">
        <v>10000</v>
      </c>
      <c r="W68" s="86" t="e">
        <f t="shared" si="33"/>
        <v>#VALUE!</v>
      </c>
      <c r="X68" s="86" t="e">
        <f t="shared" si="36"/>
        <v>#VALUE!</v>
      </c>
      <c r="Y68" s="86" t="e">
        <v>#VALUE!</v>
      </c>
      <c r="Z68" s="86" t="e">
        <f t="shared" si="21"/>
        <v>#VALUE!</v>
      </c>
      <c r="AA68" s="86">
        <v>0.28000000000000003</v>
      </c>
      <c r="AB68" s="86" t="s">
        <v>900</v>
      </c>
      <c r="AC68" s="86">
        <v>179</v>
      </c>
      <c r="AD68" s="87" t="s">
        <v>1006</v>
      </c>
      <c r="AE68" s="88">
        <v>99</v>
      </c>
      <c r="AF68" s="86">
        <f t="shared" si="22"/>
        <v>85.344827586206904</v>
      </c>
      <c r="AG68" s="86">
        <f t="shared" si="23"/>
        <v>51.206896551724142</v>
      </c>
      <c r="AH68" s="89">
        <f t="shared" si="24"/>
        <v>5.4680134680134681E-3</v>
      </c>
      <c r="AI68" s="89">
        <f t="shared" si="25"/>
        <v>0.99453198653198649</v>
      </c>
      <c r="AJ68" s="90">
        <f t="shared" si="26"/>
        <v>0.4</v>
      </c>
      <c r="AK68" s="80" t="s">
        <v>808</v>
      </c>
      <c r="AL68" s="80" t="s">
        <v>67</v>
      </c>
      <c r="AM68" s="91">
        <v>6</v>
      </c>
      <c r="AN68" s="29">
        <f t="shared" si="37"/>
        <v>144</v>
      </c>
      <c r="AO68" s="344" t="s">
        <v>809</v>
      </c>
      <c r="AP68" s="355">
        <v>46296</v>
      </c>
      <c r="AR68" s="67">
        <f t="shared" si="35"/>
        <v>64.350000000000009</v>
      </c>
      <c r="AS68" s="63">
        <f t="shared" si="27"/>
        <v>55.474137931034491</v>
      </c>
      <c r="AT68" s="64">
        <f t="shared" si="28"/>
        <v>5.0473970473970467E-3</v>
      </c>
      <c r="AU68" s="65">
        <f t="shared" si="29"/>
        <v>0.9949526029526029</v>
      </c>
      <c r="AV68" s="33">
        <f t="shared" si="30"/>
        <v>0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1"/>
        <v>7</v>
      </c>
      <c r="BL68" s="292">
        <f t="shared" si="32"/>
        <v>0.77777777777777779</v>
      </c>
      <c r="BM68" s="295"/>
      <c r="BN68" s="295"/>
      <c r="BO68" s="295"/>
      <c r="BP68" s="295"/>
      <c r="BQ68" s="295"/>
      <c r="BR68" s="294" t="str">
        <f t="shared" si="14"/>
        <v>Todo ok por licencia. En producción.
Termina aprox 27/jun</v>
      </c>
      <c r="BS68" s="284">
        <f t="shared" si="15"/>
        <v>46296</v>
      </c>
      <c r="BT68" s="278" t="s">
        <v>86</v>
      </c>
      <c r="CJ68" s="278"/>
      <c r="CK68" s="278"/>
      <c r="CL68" s="278"/>
      <c r="CM68" s="278"/>
      <c r="CN68" s="278"/>
      <c r="CO68" s="278"/>
      <c r="CP68" s="268"/>
      <c r="CQ68" s="268"/>
      <c r="CR68" s="267"/>
      <c r="CS68" s="267"/>
      <c r="CT68" s="267"/>
      <c r="CU68" s="267"/>
      <c r="CV68" s="267"/>
      <c r="CW68" s="267"/>
      <c r="CX68" s="267"/>
      <c r="CY68" s="267"/>
      <c r="CZ68" s="267"/>
      <c r="DA68" s="267"/>
    </row>
    <row r="69" spans="1:105" ht="409.6">
      <c r="A69" s="74">
        <v>46234</v>
      </c>
      <c r="B69" s="75" t="s">
        <v>277</v>
      </c>
      <c r="C69" s="5" t="s">
        <v>77</v>
      </c>
      <c r="D69" s="76">
        <v>7503057496756</v>
      </c>
      <c r="E69" s="77" t="s">
        <v>1012</v>
      </c>
      <c r="F69" s="78" t="s">
        <v>1013</v>
      </c>
      <c r="G69" s="79" t="s">
        <v>60</v>
      </c>
      <c r="H69" s="100" t="s">
        <v>801</v>
      </c>
      <c r="I69" s="85" t="s">
        <v>679</v>
      </c>
      <c r="J69" s="78" t="s">
        <v>281</v>
      </c>
      <c r="K69" s="81">
        <v>1</v>
      </c>
      <c r="L69" s="399"/>
      <c r="M69" s="80"/>
      <c r="N69" s="78" t="s">
        <v>1014</v>
      </c>
      <c r="O69" s="80"/>
      <c r="P69" s="392" t="s">
        <v>1010</v>
      </c>
      <c r="Q69" s="78" t="s">
        <v>862</v>
      </c>
      <c r="R69" s="78" t="s">
        <v>60</v>
      </c>
      <c r="S69" s="78" t="s">
        <v>1005</v>
      </c>
      <c r="T69" s="84">
        <v>0.55000000000000004</v>
      </c>
      <c r="U69" s="85" t="s">
        <v>64</v>
      </c>
      <c r="V69" s="85">
        <v>10000</v>
      </c>
      <c r="W69" s="86" t="e">
        <f t="shared" si="33"/>
        <v>#VALUE!</v>
      </c>
      <c r="X69" s="86" t="e">
        <f t="shared" si="36"/>
        <v>#VALUE!</v>
      </c>
      <c r="Y69" s="86" t="e">
        <v>#VALUE!</v>
      </c>
      <c r="Z69" s="86" t="e">
        <f t="shared" si="21"/>
        <v>#VALUE!</v>
      </c>
      <c r="AA69" s="86">
        <v>0.28000000000000003</v>
      </c>
      <c r="AB69" s="86" t="s">
        <v>900</v>
      </c>
      <c r="AC69" s="86">
        <v>99</v>
      </c>
      <c r="AD69" s="87" t="s">
        <v>1006</v>
      </c>
      <c r="AE69" s="88">
        <v>99</v>
      </c>
      <c r="AF69" s="86">
        <f t="shared" si="22"/>
        <v>85.344827586206904</v>
      </c>
      <c r="AG69" s="86">
        <f t="shared" si="23"/>
        <v>51.206896551724142</v>
      </c>
      <c r="AH69" s="89">
        <f t="shared" si="24"/>
        <v>5.4680134680134681E-3</v>
      </c>
      <c r="AI69" s="89">
        <f t="shared" si="25"/>
        <v>0.99453198653198649</v>
      </c>
      <c r="AJ69" s="90">
        <f t="shared" si="26"/>
        <v>0.4</v>
      </c>
      <c r="AK69" s="80" t="s">
        <v>808</v>
      </c>
      <c r="AL69" s="80" t="s">
        <v>67</v>
      </c>
      <c r="AM69" s="91">
        <v>6</v>
      </c>
      <c r="AN69" s="29">
        <f t="shared" si="37"/>
        <v>144</v>
      </c>
      <c r="AO69" s="344" t="s">
        <v>809</v>
      </c>
      <c r="AP69" s="355">
        <v>46296</v>
      </c>
      <c r="AR69" s="67">
        <f t="shared" si="35"/>
        <v>64.350000000000009</v>
      </c>
      <c r="AS69" s="63">
        <f t="shared" si="27"/>
        <v>55.474137931034491</v>
      </c>
      <c r="AT69" s="64">
        <f t="shared" si="28"/>
        <v>5.0473970473970467E-3</v>
      </c>
      <c r="AU69" s="65">
        <f t="shared" si="29"/>
        <v>0.9949526029526029</v>
      </c>
      <c r="AV69" s="33">
        <f t="shared" si="30"/>
        <v>0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1"/>
        <v>7</v>
      </c>
      <c r="BL69" s="292">
        <f t="shared" si="32"/>
        <v>0.77777777777777779</v>
      </c>
      <c r="BM69" s="295"/>
      <c r="BN69" s="295"/>
      <c r="BO69" s="295"/>
      <c r="BP69" s="295"/>
      <c r="BQ69" s="295"/>
      <c r="BR69" s="294" t="str">
        <f t="shared" si="14"/>
        <v>Todo ok por licencia. En producción.
Termina aprox 27/jun</v>
      </c>
      <c r="BS69" s="284">
        <f t="shared" si="15"/>
        <v>46296</v>
      </c>
      <c r="BT69" s="278" t="s">
        <v>86</v>
      </c>
    </row>
    <row r="70" spans="1:105" ht="409.6">
      <c r="A70" s="74">
        <v>46234</v>
      </c>
      <c r="B70" s="75" t="s">
        <v>277</v>
      </c>
      <c r="C70" s="5" t="s">
        <v>77</v>
      </c>
      <c r="D70" s="76">
        <v>7503057496763</v>
      </c>
      <c r="E70" s="77" t="s">
        <v>1015</v>
      </c>
      <c r="F70" s="78" t="s">
        <v>1016</v>
      </c>
      <c r="G70" s="79" t="s">
        <v>60</v>
      </c>
      <c r="H70" s="100" t="s">
        <v>801</v>
      </c>
      <c r="I70" s="85" t="s">
        <v>679</v>
      </c>
      <c r="J70" s="78" t="s">
        <v>281</v>
      </c>
      <c r="K70" s="81">
        <v>1</v>
      </c>
      <c r="L70" s="399"/>
      <c r="M70" s="80"/>
      <c r="N70" s="78" t="s">
        <v>1017</v>
      </c>
      <c r="O70" s="80"/>
      <c r="P70" s="391" t="s">
        <v>1010</v>
      </c>
      <c r="Q70" s="78" t="s">
        <v>1018</v>
      </c>
      <c r="R70" s="80" t="s">
        <v>60</v>
      </c>
      <c r="S70" s="78" t="s">
        <v>1005</v>
      </c>
      <c r="T70" s="84">
        <v>0.55000000000000004</v>
      </c>
      <c r="U70" s="85" t="s">
        <v>64</v>
      </c>
      <c r="V70" s="85">
        <v>10000</v>
      </c>
      <c r="W70" s="86" t="e">
        <f t="shared" si="33"/>
        <v>#VALUE!</v>
      </c>
      <c r="X70" s="86" t="e">
        <f t="shared" si="36"/>
        <v>#VALUE!</v>
      </c>
      <c r="Y70" s="86" t="e">
        <v>#VALUE!</v>
      </c>
      <c r="Z70" s="86" t="e">
        <f t="shared" si="21"/>
        <v>#VALUE!</v>
      </c>
      <c r="AA70" s="86">
        <v>0.28000000000000003</v>
      </c>
      <c r="AB70" s="86" t="s">
        <v>900</v>
      </c>
      <c r="AC70" s="86">
        <v>99</v>
      </c>
      <c r="AD70" s="87" t="s">
        <v>1006</v>
      </c>
      <c r="AE70" s="88">
        <v>99</v>
      </c>
      <c r="AF70" s="86">
        <f t="shared" si="22"/>
        <v>85.344827586206904</v>
      </c>
      <c r="AG70" s="86">
        <f t="shared" si="23"/>
        <v>51.206896551724142</v>
      </c>
      <c r="AH70" s="89">
        <f t="shared" si="24"/>
        <v>5.4680134680134681E-3</v>
      </c>
      <c r="AI70" s="89">
        <f t="shared" si="25"/>
        <v>0.99453198653198649</v>
      </c>
      <c r="AJ70" s="90">
        <f t="shared" si="26"/>
        <v>0.4</v>
      </c>
      <c r="AK70" s="80" t="s">
        <v>808</v>
      </c>
      <c r="AL70" s="80" t="s">
        <v>67</v>
      </c>
      <c r="AM70" s="91">
        <v>6</v>
      </c>
      <c r="AN70" s="29">
        <f t="shared" si="37"/>
        <v>144</v>
      </c>
      <c r="AO70" s="344" t="s">
        <v>809</v>
      </c>
      <c r="AP70" s="355">
        <v>46296</v>
      </c>
      <c r="AR70" s="67">
        <f t="shared" si="35"/>
        <v>64.350000000000009</v>
      </c>
      <c r="AS70" s="63">
        <f t="shared" si="27"/>
        <v>55.474137931034491</v>
      </c>
      <c r="AT70" s="64">
        <f t="shared" si="28"/>
        <v>5.0473970473970467E-3</v>
      </c>
      <c r="AU70" s="65">
        <f t="shared" si="29"/>
        <v>0.9949526029526029</v>
      </c>
      <c r="AV70" s="33">
        <f t="shared" si="30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1"/>
        <v>7</v>
      </c>
      <c r="BL70" s="292">
        <f t="shared" si="32"/>
        <v>0.77777777777777779</v>
      </c>
      <c r="BM70" s="295"/>
      <c r="BN70" s="295"/>
      <c r="BO70" s="295"/>
      <c r="BP70" s="295"/>
      <c r="BQ70" s="295"/>
      <c r="BR70" s="294" t="str">
        <f t="shared" si="14"/>
        <v>Todo ok por licencia. En producción.
Termina aprox 27/jun</v>
      </c>
      <c r="BS70" s="284">
        <f t="shared" si="15"/>
        <v>46296</v>
      </c>
      <c r="BT70" s="278" t="s">
        <v>86</v>
      </c>
    </row>
    <row r="71" spans="1:105" ht="384.75">
      <c r="A71" s="74">
        <v>46234</v>
      </c>
      <c r="B71" s="75" t="s">
        <v>174</v>
      </c>
      <c r="C71" s="5" t="s">
        <v>248</v>
      </c>
      <c r="D71" s="76">
        <v>7503057496770</v>
      </c>
      <c r="E71" s="77" t="s">
        <v>1019</v>
      </c>
      <c r="F71" s="78" t="s">
        <v>1020</v>
      </c>
      <c r="G71" s="79" t="s">
        <v>60</v>
      </c>
      <c r="H71" s="80" t="s">
        <v>204</v>
      </c>
      <c r="I71" s="85" t="s">
        <v>679</v>
      </c>
      <c r="J71" s="78" t="s">
        <v>281</v>
      </c>
      <c r="K71" s="81">
        <v>1</v>
      </c>
      <c r="L71" s="392" t="s">
        <v>1021</v>
      </c>
      <c r="M71" s="80"/>
      <c r="N71" s="87" t="s">
        <v>1022</v>
      </c>
      <c r="O71" s="80"/>
      <c r="P71" s="87" t="s">
        <v>69</v>
      </c>
      <c r="Q71" s="78" t="s">
        <v>1023</v>
      </c>
      <c r="R71" s="80" t="s">
        <v>60</v>
      </c>
      <c r="S71" s="78" t="s">
        <v>69</v>
      </c>
      <c r="T71" s="84">
        <v>0.57999999999999996</v>
      </c>
      <c r="U71" s="85" t="s">
        <v>64</v>
      </c>
      <c r="V71" s="85">
        <v>10000</v>
      </c>
      <c r="W71" s="86" t="e">
        <f t="shared" si="33"/>
        <v>#VALUE!</v>
      </c>
      <c r="X71" s="86" t="e">
        <f>+W71*0.25</f>
        <v>#VALUE!</v>
      </c>
      <c r="Y71" s="86" t="e">
        <v>#VALUE!</v>
      </c>
      <c r="Z71" s="86" t="e">
        <f t="shared" si="21"/>
        <v>#VALUE!</v>
      </c>
      <c r="AA71" s="86">
        <v>1.75</v>
      </c>
      <c r="AB71" s="86" t="s">
        <v>62</v>
      </c>
      <c r="AC71" s="86">
        <v>99</v>
      </c>
      <c r="AD71" s="87" t="s">
        <v>1024</v>
      </c>
      <c r="AE71" s="88">
        <v>119</v>
      </c>
      <c r="AF71" s="86">
        <f t="shared" si="22"/>
        <v>102.58620689655173</v>
      </c>
      <c r="AG71" s="86">
        <f t="shared" si="23"/>
        <v>61.551724137931032</v>
      </c>
      <c r="AH71" s="89">
        <f t="shared" si="24"/>
        <v>2.8431372549019607E-2</v>
      </c>
      <c r="AI71" s="89">
        <f t="shared" si="25"/>
        <v>0.97156862745098038</v>
      </c>
      <c r="AJ71" s="90">
        <f t="shared" si="26"/>
        <v>0.4</v>
      </c>
      <c r="AK71" s="80" t="s">
        <v>536</v>
      </c>
      <c r="AL71" s="80" t="s">
        <v>67</v>
      </c>
      <c r="AM71" s="91">
        <v>12</v>
      </c>
      <c r="AN71" s="29">
        <f>+AM71*12</f>
        <v>144</v>
      </c>
      <c r="AO71" s="344" t="s">
        <v>1025</v>
      </c>
      <c r="AP71" s="343"/>
      <c r="AR71" s="67">
        <f t="shared" si="35"/>
        <v>77.350000000000009</v>
      </c>
      <c r="AS71" s="63">
        <f t="shared" si="27"/>
        <v>66.681034482758633</v>
      </c>
      <c r="AT71" s="64">
        <f t="shared" si="28"/>
        <v>2.6244343891402708E-2</v>
      </c>
      <c r="AU71" s="65">
        <f t="shared" si="29"/>
        <v>0.97375565610859727</v>
      </c>
      <c r="AV71" s="33">
        <f t="shared" si="30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1"/>
        <v>7</v>
      </c>
      <c r="BL71" s="292">
        <f t="shared" si="32"/>
        <v>0.77777777777777779</v>
      </c>
      <c r="BM71" s="295"/>
      <c r="BN71" s="295"/>
      <c r="BO71" s="295"/>
      <c r="BP71" s="295"/>
      <c r="BQ71" s="295"/>
      <c r="BR71" s="294" t="str">
        <f t="shared" si="14"/>
        <v>Se hizo Pedido. En espera de OK de preproducción por parte de licencia</v>
      </c>
      <c r="BS71" s="284">
        <f t="shared" si="15"/>
        <v>0</v>
      </c>
      <c r="BT71" s="278" t="s">
        <v>679</v>
      </c>
    </row>
    <row r="72" spans="1:105" ht="384.75">
      <c r="A72" s="74">
        <v>46234</v>
      </c>
      <c r="B72" s="75" t="s">
        <v>174</v>
      </c>
      <c r="C72" s="5" t="s">
        <v>248</v>
      </c>
      <c r="D72" s="76">
        <v>7503057496787</v>
      </c>
      <c r="E72" s="77" t="s">
        <v>1026</v>
      </c>
      <c r="F72" s="78" t="s">
        <v>1027</v>
      </c>
      <c r="G72" s="79" t="s">
        <v>60</v>
      </c>
      <c r="H72" s="80" t="s">
        <v>1028</v>
      </c>
      <c r="I72" s="85" t="s">
        <v>679</v>
      </c>
      <c r="J72" s="78" t="s">
        <v>281</v>
      </c>
      <c r="K72" s="81">
        <v>1</v>
      </c>
      <c r="L72" s="391" t="s">
        <v>1029</v>
      </c>
      <c r="M72" s="80"/>
      <c r="N72" s="78" t="s">
        <v>1030</v>
      </c>
      <c r="O72" s="80"/>
      <c r="P72" s="391" t="s">
        <v>1031</v>
      </c>
      <c r="Q72" s="78" t="s">
        <v>1032</v>
      </c>
      <c r="R72" s="80" t="s">
        <v>69</v>
      </c>
      <c r="S72" s="78" t="s">
        <v>69</v>
      </c>
      <c r="T72" s="84">
        <v>2.8</v>
      </c>
      <c r="U72" s="85" t="s">
        <v>64</v>
      </c>
      <c r="V72" s="85">
        <v>10000</v>
      </c>
      <c r="W72" s="86" t="e">
        <f t="shared" si="33"/>
        <v>#VALUE!</v>
      </c>
      <c r="X72" s="86" t="e">
        <f>+W72*0.15</f>
        <v>#VALUE!</v>
      </c>
      <c r="Y72" s="86" t="e">
        <v>#VALUE!</v>
      </c>
      <c r="Z72" s="86" t="e">
        <f t="shared" si="21"/>
        <v>#VALUE!</v>
      </c>
      <c r="AA72" s="86">
        <v>8.82</v>
      </c>
      <c r="AB72" s="86" t="s">
        <v>1033</v>
      </c>
      <c r="AC72" s="86">
        <v>99</v>
      </c>
      <c r="AD72" s="87" t="s">
        <v>1034</v>
      </c>
      <c r="AE72" s="88">
        <v>489</v>
      </c>
      <c r="AF72" s="86">
        <f t="shared" si="22"/>
        <v>421.55172413793105</v>
      </c>
      <c r="AG72" s="86">
        <f t="shared" si="23"/>
        <v>252.93103448275861</v>
      </c>
      <c r="AH72" s="89">
        <f t="shared" si="24"/>
        <v>3.4871165644171781E-2</v>
      </c>
      <c r="AI72" s="89">
        <f t="shared" si="25"/>
        <v>0.96512883435582819</v>
      </c>
      <c r="AJ72" s="90">
        <f t="shared" si="26"/>
        <v>0.4</v>
      </c>
      <c r="AK72" s="80" t="s">
        <v>536</v>
      </c>
      <c r="AL72" s="80" t="s">
        <v>67</v>
      </c>
      <c r="AM72" s="91">
        <v>6</v>
      </c>
      <c r="AN72" s="29">
        <f>+AM72*12</f>
        <v>72</v>
      </c>
      <c r="AO72" s="344" t="s">
        <v>1035</v>
      </c>
      <c r="AP72" s="355">
        <v>46285</v>
      </c>
      <c r="AR72" s="67">
        <f t="shared" si="35"/>
        <v>317.85000000000002</v>
      </c>
      <c r="AS72" s="63">
        <f t="shared" si="27"/>
        <v>274.00862068965523</v>
      </c>
      <c r="AT72" s="64">
        <f t="shared" si="28"/>
        <v>3.2188768286927794E-2</v>
      </c>
      <c r="AU72" s="65">
        <f t="shared" si="29"/>
        <v>0.96781123171307226</v>
      </c>
      <c r="AV72" s="33">
        <f t="shared" si="30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1"/>
        <v>7</v>
      </c>
      <c r="BL72" s="292">
        <f t="shared" si="32"/>
        <v>0.77777777777777779</v>
      </c>
      <c r="BM72" s="295"/>
      <c r="BN72" s="295"/>
      <c r="BO72" s="295"/>
      <c r="BP72" s="295"/>
      <c r="BQ72" s="295"/>
      <c r="BR72" s="294" t="str">
        <f t="shared" si="14"/>
        <v>Todo ok por licencia. En producción.
Termina aprox 20/jun</v>
      </c>
      <c r="BS72" s="284">
        <f t="shared" si="15"/>
        <v>46285</v>
      </c>
      <c r="BT72" s="278" t="s">
        <v>86</v>
      </c>
    </row>
    <row r="73" spans="1:105" ht="27">
      <c r="BS73" s="284"/>
    </row>
  </sheetData>
  <mergeCells count="9">
    <mergeCell ref="CJ14:DA14"/>
    <mergeCell ref="L52:L53"/>
    <mergeCell ref="L63:L66"/>
    <mergeCell ref="L67:L70"/>
    <mergeCell ref="A2:B2"/>
    <mergeCell ref="L34:L39"/>
    <mergeCell ref="L40:L43"/>
    <mergeCell ref="L44:L49"/>
    <mergeCell ref="L50:L51"/>
  </mergeCells>
  <conditionalFormatting sqref="AH17:AH72 AT17:AT72">
    <cfRule type="cellIs" dxfId="12" priority="2" operator="greaterThan">
      <formula>0.2599</formula>
    </cfRule>
  </conditionalFormatting>
  <hyperlinks>
    <hyperlink ref="L32" r:id="rId1" xr:uid="{00000000-0004-0000-0400-000000000000}"/>
    <hyperlink ref="L33" r:id="rId2" xr:uid="{00000000-0004-0000-0400-000001000000}"/>
    <hyperlink ref="L34" r:id="rId3" xr:uid="{00000000-0004-0000-0400-000002000000}"/>
    <hyperlink ref="P34" r:id="rId4" xr:uid="{00000000-0004-0000-0400-000003000000}"/>
    <hyperlink ref="P35" r:id="rId5" xr:uid="{00000000-0004-0000-0400-000004000000}"/>
    <hyperlink ref="P36" r:id="rId6" xr:uid="{00000000-0004-0000-0400-000005000000}"/>
    <hyperlink ref="P37" r:id="rId7" xr:uid="{00000000-0004-0000-0400-000006000000}"/>
    <hyperlink ref="P38" r:id="rId8" xr:uid="{00000000-0004-0000-0400-000007000000}"/>
    <hyperlink ref="P39" r:id="rId9" xr:uid="{00000000-0004-0000-0400-000008000000}"/>
    <hyperlink ref="L40" r:id="rId10" xr:uid="{00000000-0004-0000-0400-000009000000}"/>
    <hyperlink ref="P40" r:id="rId11" display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A000000}"/>
    <hyperlink ref="P41" r:id="rId12" display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B000000}"/>
    <hyperlink ref="P42" r:id="rId13" display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C000000}"/>
    <hyperlink ref="P43" r:id="rId14" display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D000000}"/>
    <hyperlink ref="L44" r:id="rId15" xr:uid="{00000000-0004-0000-0400-00000E000000}"/>
    <hyperlink ref="L50" r:id="rId16" xr:uid="{00000000-0004-0000-0400-00000F000000}"/>
    <hyperlink ref="P50" r:id="rId17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" xr:uid="{00000000-0004-0000-0400-000010000000}"/>
    <hyperlink ref="P51" r:id="rId18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" xr:uid="{00000000-0004-0000-0400-000011000000}"/>
    <hyperlink ref="P52" r:id="rId19" xr:uid="{00000000-0004-0000-0400-000012000000}"/>
    <hyperlink ref="L54" r:id="rId20" xr:uid="{00000000-0004-0000-0400-000013000000}"/>
    <hyperlink ref="P55" r:id="rId21" xr:uid="{00000000-0004-0000-0400-000014000000}"/>
    <hyperlink ref="P56" r:id="rId22" xr:uid="{00000000-0004-0000-0400-000015000000}"/>
    <hyperlink ref="L57" r:id="rId23" xr:uid="{00000000-0004-0000-0400-000016000000}"/>
    <hyperlink ref="P57" r:id="rId24" xr:uid="{00000000-0004-0000-0400-000017000000}"/>
    <hyperlink ref="L58" r:id="rId25" xr:uid="{00000000-0004-0000-0400-000018000000}"/>
    <hyperlink ref="P58" r:id="rId26" display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" xr:uid="{00000000-0004-0000-0400-000019000000}"/>
    <hyperlink ref="P59" r:id="rId27" xr:uid="{00000000-0004-0000-0400-00001A000000}"/>
    <hyperlink ref="L60" r:id="rId28" xr:uid="{00000000-0004-0000-0400-00001B000000}"/>
    <hyperlink ref="P60" r:id="rId29" display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" xr:uid="{00000000-0004-0000-0400-00001C000000}"/>
    <hyperlink ref="P61" r:id="rId30" display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" xr:uid="{00000000-0004-0000-0400-00001D000000}"/>
    <hyperlink ref="L62" r:id="rId31" xr:uid="{00000000-0004-0000-0400-00001E000000}"/>
    <hyperlink ref="L63" r:id="rId32" xr:uid="{00000000-0004-0000-0400-00001F000000}"/>
    <hyperlink ref="P64" r:id="rId33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0000000}"/>
    <hyperlink ref="L67" r:id="rId34" xr:uid="{00000000-0004-0000-0400-000021000000}"/>
    <hyperlink ref="P67" r:id="rId35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2000000}"/>
    <hyperlink ref="P68" r:id="rId36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3000000}"/>
    <hyperlink ref="P70" r:id="rId37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4000000}"/>
    <hyperlink ref="L72" r:id="rId38" xr:uid="{00000000-0004-0000-0400-000025000000}"/>
    <hyperlink ref="P72" r:id="rId39" xr:uid="{00000000-0004-0000-0400-000026000000}"/>
  </hyperlinks>
  <pageMargins left="0.78749999999999998" right="0.78749999999999998" top="1.05277777777778" bottom="1.05277777777778" header="0.78749999999999998" footer="0.78749999999999998"/>
  <pageSetup orientation="portrait" horizontalDpi="300" verticalDpi="300" r:id="rId40"/>
  <headerFooter>
    <oddHeader>&amp;C&amp;"Times New Roman,Normal"&amp;12&amp;A</oddHeader>
    <oddFooter>&amp;C&amp;"Times New Roman,Normal"&amp;12Página &amp;P</oddFooter>
  </headerFooter>
  <drawing r:id="rId41"/>
  <legacyDrawing r:id="rId4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C75"/>
  <sheetViews>
    <sheetView zoomScale="40" zoomScaleNormal="40" workbookViewId="0">
      <pane xSplit="7" topLeftCell="AI40" activePane="topRight" state="frozen"/>
      <selection pane="topRight" activeCell="AL70" sqref="AL70"/>
      <selection activeCell="A17" sqref="A17"/>
    </sheetView>
  </sheetViews>
  <sheetFormatPr defaultColWidth="11.5703125" defaultRowHeight="27.95"/>
  <cols>
    <col min="1" max="1" width="31.7109375" bestFit="1" customWidth="1"/>
    <col min="2" max="2" width="44.140625" customWidth="1"/>
    <col min="3" max="3" width="41.140625" customWidth="1"/>
    <col min="4" max="4" width="27.42578125" bestFit="1" customWidth="1"/>
    <col min="5" max="5" width="41" bestFit="1" customWidth="1"/>
    <col min="6" max="6" width="48.140625" bestFit="1" customWidth="1"/>
    <col min="7" max="7" width="60.140625" bestFit="1" customWidth="1"/>
    <col min="8" max="8" width="24.5703125" bestFit="1" customWidth="1"/>
    <col min="9" max="9" width="35" bestFit="1" customWidth="1"/>
    <col min="10" max="10" width="22.42578125" bestFit="1" customWidth="1"/>
    <col min="11" max="11" width="59.5703125" bestFit="1" customWidth="1"/>
    <col min="12" max="12" width="20.85546875" bestFit="1" customWidth="1"/>
    <col min="13" max="13" width="49.140625" bestFit="1" customWidth="1"/>
    <col min="14" max="14" width="53" bestFit="1" customWidth="1"/>
    <col min="15" max="15" width="25.140625" bestFit="1" customWidth="1"/>
    <col min="16" max="16" width="54.140625" bestFit="1" customWidth="1"/>
    <col min="17" max="18" width="35.5703125" bestFit="1" customWidth="1"/>
    <col min="19" max="19" width="22.42578125" bestFit="1" customWidth="1"/>
    <col min="20" max="20" width="57.85546875" bestFit="1" customWidth="1"/>
    <col min="21" max="21" width="27.85546875" bestFit="1" customWidth="1"/>
    <col min="22" max="22" width="55.5703125" bestFit="1" customWidth="1"/>
    <col min="23" max="23" width="48.140625" bestFit="1" customWidth="1"/>
    <col min="24" max="24" width="56.85546875" bestFit="1" customWidth="1"/>
    <col min="25" max="25" width="49.140625" bestFit="1" customWidth="1"/>
    <col min="26" max="26" width="54.5703125" bestFit="1" customWidth="1"/>
    <col min="27" max="27" width="48.42578125" bestFit="1" customWidth="1"/>
    <col min="28" max="28" width="48.140625" bestFit="1" customWidth="1"/>
    <col min="29" max="29" width="55" bestFit="1" customWidth="1"/>
    <col min="30" max="30" width="45.42578125" bestFit="1" customWidth="1"/>
    <col min="31" max="31" width="59" bestFit="1" customWidth="1"/>
    <col min="32" max="32" width="36.5703125" bestFit="1" customWidth="1"/>
    <col min="33" max="33" width="33.42578125" bestFit="1" customWidth="1"/>
    <col min="34" max="34" width="47" bestFit="1" customWidth="1"/>
    <col min="35" max="35" width="23.5703125" bestFit="1" customWidth="1"/>
    <col min="36" max="36" width="31.140625" bestFit="1" customWidth="1"/>
    <col min="37" max="37" width="42.5703125" bestFit="1" customWidth="1"/>
    <col min="38" max="38" width="42.5703125" style="283" customWidth="1"/>
    <col min="39" max="39" width="60.28515625" customWidth="1"/>
    <col min="40" max="44" width="31.140625" customWidth="1"/>
    <col min="45" max="52" width="10.42578125" customWidth="1"/>
    <col min="53" max="64" width="28.85546875" customWidth="1"/>
    <col min="65" max="69" width="28.85546875" style="168" customWidth="1"/>
    <col min="70" max="70" width="42.85546875" style="271" customWidth="1"/>
    <col min="71" max="71" width="28.85546875" style="271" customWidth="1"/>
    <col min="72" max="72" width="43" style="271" customWidth="1"/>
    <col min="73" max="76" width="28.85546875" customWidth="1"/>
    <col min="88" max="88" width="35.42578125" style="369" customWidth="1"/>
    <col min="89" max="91" width="35.42578125" style="279" customWidth="1"/>
    <col min="92" max="92" width="35.42578125" style="369" customWidth="1"/>
    <col min="93" max="93" width="35.42578125" style="279" customWidth="1"/>
    <col min="94" max="94" width="35.42578125" style="369" customWidth="1"/>
    <col min="95" max="95" width="35.42578125" style="279" customWidth="1"/>
    <col min="96" max="96" width="35.42578125" style="375" customWidth="1"/>
    <col min="97" max="97" width="35.42578125" style="266" customWidth="1"/>
    <col min="98" max="98" width="35.42578125" style="369" customWidth="1"/>
    <col min="99" max="99" width="35.42578125" style="279" customWidth="1"/>
    <col min="100" max="100" width="35.42578125" style="375" customWidth="1"/>
    <col min="101" max="101" width="35.42578125" style="266" customWidth="1"/>
    <col min="102" max="102" width="35.42578125" style="375" customWidth="1"/>
    <col min="103" max="103" width="35.42578125" style="266" customWidth="1"/>
    <col min="104" max="104" width="35.42578125" style="375" customWidth="1"/>
    <col min="105" max="105" width="35.42578125" style="266" customWidth="1"/>
    <col min="106" max="106" width="35.42578125" style="375" customWidth="1"/>
    <col min="107" max="107" width="35.42578125" style="266" customWidth="1"/>
  </cols>
  <sheetData>
    <row r="1" spans="1:107" s="168" customFormat="1" ht="32.450000000000003">
      <c r="A1" s="296"/>
      <c r="B1" s="297" t="s">
        <v>13</v>
      </c>
      <c r="C1" s="298" t="s">
        <v>248</v>
      </c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  <c r="AB1" s="195"/>
      <c r="AC1" s="195"/>
      <c r="AD1" s="195"/>
      <c r="AE1" s="195"/>
      <c r="AF1" s="195"/>
      <c r="AG1" s="195"/>
      <c r="AH1" s="195"/>
      <c r="AI1" s="195"/>
      <c r="AJ1" s="195"/>
      <c r="AK1" s="195"/>
      <c r="AL1" s="195"/>
      <c r="AN1" s="181"/>
      <c r="AO1" s="181"/>
      <c r="AP1" s="181"/>
      <c r="AQ1" s="181"/>
      <c r="AR1" s="181"/>
      <c r="BA1" s="165"/>
      <c r="BB1" s="165"/>
      <c r="BC1" s="165"/>
      <c r="BD1" s="165"/>
      <c r="BE1" s="165"/>
      <c r="BF1" s="165"/>
      <c r="BG1" s="165"/>
      <c r="BH1" s="165"/>
      <c r="BI1" s="165"/>
      <c r="BJ1" s="165"/>
      <c r="BK1" s="165"/>
      <c r="BL1" s="165"/>
      <c r="BM1" s="165"/>
      <c r="BN1" s="165"/>
      <c r="BO1" s="165"/>
      <c r="BP1" s="165"/>
      <c r="BQ1" s="165"/>
      <c r="BR1" s="270"/>
      <c r="BS1" s="270"/>
      <c r="BT1" s="270"/>
      <c r="CJ1" s="165"/>
      <c r="CK1" s="165"/>
      <c r="CL1" s="165"/>
      <c r="CM1" s="165"/>
      <c r="CN1" s="165"/>
      <c r="CO1" s="165"/>
      <c r="CP1" s="165"/>
      <c r="CQ1" s="165"/>
      <c r="CR1" s="165"/>
      <c r="CS1" s="165"/>
      <c r="CT1" s="165"/>
      <c r="CU1" s="165"/>
      <c r="CV1" s="165"/>
      <c r="CW1" s="165"/>
      <c r="CX1" s="165"/>
      <c r="CY1" s="165"/>
      <c r="CZ1" s="165"/>
      <c r="DA1" s="165"/>
      <c r="DB1" s="165"/>
      <c r="DC1" s="165"/>
    </row>
    <row r="2" spans="1:107" s="168" customFormat="1" ht="32.450000000000003">
      <c r="A2" s="401" t="s">
        <v>1036</v>
      </c>
      <c r="B2" s="401"/>
      <c r="C2" s="393"/>
      <c r="D2" s="195"/>
      <c r="E2" s="195"/>
      <c r="F2" s="195"/>
      <c r="G2" s="195"/>
      <c r="H2" s="195"/>
      <c r="I2" s="195"/>
      <c r="J2" s="195"/>
      <c r="K2" s="195"/>
      <c r="L2" s="195"/>
      <c r="M2" s="195"/>
      <c r="N2" s="195"/>
      <c r="O2" s="195"/>
      <c r="P2" s="195"/>
      <c r="Q2" s="195"/>
      <c r="R2" s="195"/>
      <c r="S2" s="195"/>
      <c r="T2" s="195"/>
      <c r="U2" s="195"/>
      <c r="V2" s="195"/>
      <c r="W2" s="195"/>
      <c r="X2" s="195"/>
      <c r="AB2" s="195"/>
      <c r="AC2" s="195"/>
      <c r="AD2" s="195"/>
      <c r="AE2" s="195"/>
      <c r="AF2" s="195"/>
      <c r="AG2" s="195"/>
      <c r="AH2" s="195"/>
      <c r="AI2" s="195"/>
      <c r="AJ2" s="195"/>
      <c r="AK2" s="195"/>
      <c r="AL2" s="195"/>
      <c r="AN2" s="181"/>
      <c r="AO2" s="181"/>
      <c r="AP2" s="181"/>
      <c r="AQ2" s="181"/>
      <c r="AR2" s="181"/>
      <c r="BA2" s="165"/>
      <c r="BB2" s="165"/>
      <c r="BC2" s="165"/>
      <c r="BD2" s="165"/>
      <c r="BE2" s="165"/>
      <c r="BF2" s="165"/>
      <c r="BG2" s="165"/>
      <c r="BH2" s="165"/>
      <c r="BI2" s="165"/>
      <c r="BJ2" s="165"/>
      <c r="BK2" s="165"/>
      <c r="BL2" s="165"/>
      <c r="BM2" s="165"/>
      <c r="BN2" s="165"/>
      <c r="BO2" s="165"/>
      <c r="BP2" s="165"/>
      <c r="BQ2" s="165"/>
      <c r="BR2" s="270"/>
      <c r="BS2" s="270"/>
      <c r="BT2" s="270"/>
      <c r="CJ2" s="165"/>
      <c r="CK2" s="165"/>
      <c r="CL2" s="165"/>
      <c r="CM2" s="165"/>
      <c r="CN2" s="165"/>
      <c r="CO2" s="165"/>
      <c r="CP2" s="165"/>
      <c r="CQ2" s="165"/>
      <c r="CR2" s="165"/>
      <c r="CS2" s="165"/>
      <c r="CT2" s="165"/>
      <c r="CU2" s="165"/>
      <c r="CV2" s="165"/>
      <c r="CW2" s="165"/>
      <c r="CX2" s="165"/>
      <c r="CY2" s="165"/>
      <c r="CZ2" s="165"/>
      <c r="DA2" s="165"/>
      <c r="DB2" s="165"/>
      <c r="DC2" s="165"/>
    </row>
    <row r="3" spans="1:107" s="168" customFormat="1" ht="32.450000000000003">
      <c r="A3" s="299" t="s">
        <v>254</v>
      </c>
      <c r="B3" s="300">
        <v>46101</v>
      </c>
      <c r="C3" s="301">
        <v>46107</v>
      </c>
      <c r="D3" s="195"/>
      <c r="E3" s="299" t="s">
        <v>254</v>
      </c>
      <c r="F3" s="300">
        <v>46101</v>
      </c>
      <c r="G3" s="301">
        <v>46107</v>
      </c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AB3" s="195"/>
      <c r="AC3" s="195"/>
      <c r="AD3" s="195"/>
      <c r="AE3" s="195"/>
      <c r="AF3" s="195"/>
      <c r="AG3" s="195"/>
      <c r="AH3" s="195"/>
      <c r="AI3" s="195"/>
      <c r="AJ3" s="195"/>
      <c r="AK3" s="195"/>
      <c r="AL3" s="195"/>
      <c r="AN3" s="181"/>
      <c r="AO3" s="181"/>
      <c r="AP3" s="181"/>
      <c r="AQ3" s="181"/>
      <c r="AR3" s="181"/>
      <c r="BA3" s="165"/>
      <c r="BB3" s="165"/>
      <c r="BC3" s="165"/>
      <c r="BD3" s="165"/>
      <c r="BE3" s="165"/>
      <c r="BF3" s="165"/>
      <c r="BG3" s="165"/>
      <c r="BH3" s="165"/>
      <c r="BI3" s="165"/>
      <c r="BJ3" s="165"/>
      <c r="BK3" s="165"/>
      <c r="BL3" s="165"/>
      <c r="BM3" s="165"/>
      <c r="BN3" s="165"/>
      <c r="BO3" s="165"/>
      <c r="BP3" s="165"/>
      <c r="BQ3" s="165"/>
      <c r="BR3" s="270"/>
      <c r="BS3" s="270"/>
      <c r="BT3" s="270"/>
      <c r="CJ3" s="165"/>
      <c r="CK3" s="165"/>
      <c r="CL3" s="165"/>
      <c r="CM3" s="165"/>
      <c r="CN3" s="165"/>
      <c r="CO3" s="165"/>
      <c r="CP3" s="165"/>
      <c r="CQ3" s="165"/>
      <c r="CR3" s="165"/>
      <c r="CS3" s="165"/>
      <c r="CT3" s="165"/>
      <c r="CU3" s="165"/>
      <c r="CV3" s="165"/>
      <c r="CW3" s="165"/>
      <c r="CX3" s="165"/>
      <c r="CY3" s="165"/>
      <c r="CZ3" s="165"/>
      <c r="DA3" s="165"/>
      <c r="DB3" s="165"/>
      <c r="DC3" s="165"/>
    </row>
    <row r="4" spans="1:107" s="168" customFormat="1" ht="32.450000000000003">
      <c r="A4" s="302" t="s">
        <v>1037</v>
      </c>
      <c r="B4" s="303"/>
      <c r="C4" s="303">
        <v>46111</v>
      </c>
      <c r="D4" s="195"/>
      <c r="E4" s="302" t="s">
        <v>1037</v>
      </c>
      <c r="F4" s="303"/>
      <c r="G4" s="303">
        <f>+G3+2</f>
        <v>46109</v>
      </c>
      <c r="H4" s="195"/>
      <c r="I4" s="195"/>
      <c r="J4" s="195"/>
      <c r="K4" s="195"/>
      <c r="L4" s="195"/>
      <c r="M4" s="195"/>
      <c r="N4" s="195"/>
      <c r="O4" s="195"/>
      <c r="P4" s="195"/>
      <c r="Q4" s="195"/>
      <c r="R4" s="195"/>
      <c r="S4" s="195"/>
      <c r="T4" s="195"/>
      <c r="U4" s="195"/>
      <c r="V4" s="195"/>
      <c r="W4" s="195"/>
      <c r="X4" s="195"/>
      <c r="AB4" s="195"/>
      <c r="AC4" s="195"/>
      <c r="AD4" s="195"/>
      <c r="AE4" s="195"/>
      <c r="AF4" s="195"/>
      <c r="AG4" s="195"/>
      <c r="AH4" s="195"/>
      <c r="AI4" s="195"/>
      <c r="AJ4" s="195"/>
      <c r="AK4" s="195"/>
      <c r="AL4" s="195"/>
      <c r="AN4" s="181"/>
      <c r="AO4" s="181"/>
      <c r="AP4" s="181"/>
      <c r="AQ4" s="181"/>
      <c r="AR4" s="181"/>
      <c r="BA4" s="165"/>
      <c r="BB4" s="165"/>
      <c r="BC4" s="165"/>
      <c r="BD4" s="165"/>
      <c r="BE4" s="165"/>
      <c r="BF4" s="165"/>
      <c r="BG4" s="165"/>
      <c r="BH4" s="165"/>
      <c r="BI4" s="165"/>
      <c r="BJ4" s="165"/>
      <c r="BK4" s="165"/>
      <c r="BL4" s="165"/>
      <c r="BM4" s="165"/>
      <c r="BN4" s="165"/>
      <c r="BO4" s="165"/>
      <c r="BP4" s="165"/>
      <c r="BQ4" s="165"/>
      <c r="BR4" s="270"/>
      <c r="BS4" s="270"/>
      <c r="BT4" s="270"/>
      <c r="CJ4" s="165"/>
      <c r="CK4" s="165"/>
      <c r="CL4" s="165"/>
      <c r="CM4" s="165"/>
      <c r="CN4" s="165"/>
      <c r="CO4" s="165"/>
      <c r="CP4" s="165"/>
      <c r="CQ4" s="165"/>
      <c r="CR4" s="165"/>
      <c r="CS4" s="165"/>
      <c r="CT4" s="165"/>
      <c r="CU4" s="165"/>
      <c r="CV4" s="165"/>
      <c r="CW4" s="165"/>
      <c r="CX4" s="165"/>
      <c r="CY4" s="165"/>
      <c r="CZ4" s="165"/>
      <c r="DA4" s="165"/>
      <c r="DB4" s="165"/>
      <c r="DC4" s="165"/>
    </row>
    <row r="5" spans="1:107" s="168" customFormat="1" ht="32.450000000000003">
      <c r="A5" s="299" t="s">
        <v>256</v>
      </c>
      <c r="B5" s="301">
        <f>+B3+50</f>
        <v>46151</v>
      </c>
      <c r="C5" s="301">
        <v>46162</v>
      </c>
      <c r="D5" s="195"/>
      <c r="E5" s="299" t="s">
        <v>1038</v>
      </c>
      <c r="F5" s="301"/>
      <c r="G5" s="301">
        <f>+G4+10</f>
        <v>46119</v>
      </c>
      <c r="H5" s="195"/>
      <c r="I5" s="195"/>
      <c r="J5" s="195"/>
      <c r="K5" s="195"/>
      <c r="L5" s="195"/>
      <c r="M5" s="195"/>
      <c r="N5" s="195"/>
      <c r="O5" s="195"/>
      <c r="P5" s="195"/>
      <c r="Q5" s="195"/>
      <c r="R5" s="195"/>
      <c r="S5" s="195"/>
      <c r="T5" s="195"/>
      <c r="U5" s="195"/>
      <c r="V5" s="195"/>
      <c r="W5" s="195"/>
      <c r="X5" s="195"/>
      <c r="AB5" s="195"/>
      <c r="AC5" s="195"/>
      <c r="AD5" s="195"/>
      <c r="AE5" s="195"/>
      <c r="AF5" s="195"/>
      <c r="AG5" s="195"/>
      <c r="AH5" s="195"/>
      <c r="AI5" s="195"/>
      <c r="AJ5" s="195"/>
      <c r="AK5" s="195"/>
      <c r="AL5" s="195"/>
      <c r="AN5" s="181"/>
      <c r="AO5" s="181"/>
      <c r="AP5" s="181"/>
      <c r="AQ5" s="181"/>
      <c r="AR5" s="181"/>
      <c r="BA5" s="165"/>
      <c r="BB5" s="165"/>
      <c r="BC5" s="165"/>
      <c r="BD5" s="165"/>
      <c r="BE5" s="165"/>
      <c r="BF5" s="165"/>
      <c r="BG5" s="165"/>
      <c r="BH5" s="165"/>
      <c r="BI5" s="165"/>
      <c r="BJ5" s="165"/>
      <c r="BK5" s="165"/>
      <c r="BL5" s="165"/>
      <c r="BM5" s="165"/>
      <c r="BN5" s="165"/>
      <c r="BO5" s="165"/>
      <c r="BP5" s="165"/>
      <c r="BQ5" s="165"/>
      <c r="BR5" s="270"/>
      <c r="BS5" s="270"/>
      <c r="BT5" s="270"/>
      <c r="CJ5" s="165"/>
      <c r="CK5" s="165"/>
      <c r="CL5" s="165"/>
      <c r="CM5" s="165"/>
      <c r="CN5" s="165"/>
      <c r="CO5" s="165"/>
      <c r="CP5" s="165"/>
      <c r="CQ5" s="165"/>
      <c r="CR5" s="165"/>
      <c r="CS5" s="165"/>
      <c r="CT5" s="165"/>
      <c r="CU5" s="165"/>
      <c r="CV5" s="165"/>
      <c r="CW5" s="165"/>
      <c r="CX5" s="165"/>
      <c r="CY5" s="165"/>
      <c r="CZ5" s="165"/>
      <c r="DA5" s="165"/>
      <c r="DB5" s="165"/>
      <c r="DC5" s="165"/>
    </row>
    <row r="6" spans="1:107" s="168" customFormat="1" ht="32.450000000000003">
      <c r="A6" s="299" t="s">
        <v>255</v>
      </c>
      <c r="B6" s="301">
        <f>+B5+45</f>
        <v>46196</v>
      </c>
      <c r="C6" s="301">
        <f>+C5+45</f>
        <v>46207</v>
      </c>
      <c r="D6" s="195"/>
      <c r="E6" s="299" t="s">
        <v>256</v>
      </c>
      <c r="F6" s="301"/>
      <c r="G6" s="301">
        <f>+G5+40</f>
        <v>46159</v>
      </c>
      <c r="H6" s="195"/>
      <c r="I6" s="195"/>
      <c r="J6" s="195"/>
      <c r="K6" s="195"/>
      <c r="L6" s="195"/>
      <c r="M6" s="195"/>
      <c r="N6" s="195"/>
      <c r="O6" s="195"/>
      <c r="P6" s="195"/>
      <c r="Q6" s="195"/>
      <c r="R6" s="195"/>
      <c r="S6" s="195"/>
      <c r="T6" s="195"/>
      <c r="U6" s="195"/>
      <c r="V6" s="195"/>
      <c r="W6" s="195"/>
      <c r="X6" s="195"/>
      <c r="AB6" s="195"/>
      <c r="AC6" s="195"/>
      <c r="AD6" s="195"/>
      <c r="AE6" s="195"/>
      <c r="AF6" s="195"/>
      <c r="AG6" s="195"/>
      <c r="AH6" s="195"/>
      <c r="AI6" s="195"/>
      <c r="AJ6" s="195"/>
      <c r="AK6" s="195"/>
      <c r="AL6" s="195"/>
      <c r="AN6" s="181"/>
      <c r="AO6" s="181"/>
      <c r="AP6" s="181"/>
      <c r="AQ6" s="181"/>
      <c r="AR6" s="181"/>
      <c r="BA6" s="165"/>
      <c r="BB6" s="165"/>
      <c r="BC6" s="165"/>
      <c r="BD6" s="165"/>
      <c r="BE6" s="165"/>
      <c r="BF6" s="165"/>
      <c r="BG6" s="165"/>
      <c r="BH6" s="165"/>
      <c r="BI6" s="165"/>
      <c r="BJ6" s="165"/>
      <c r="BK6" s="165"/>
      <c r="BL6" s="165"/>
      <c r="BM6" s="165"/>
      <c r="BN6" s="165"/>
      <c r="BO6" s="165"/>
      <c r="BP6" s="165"/>
      <c r="BQ6" s="165"/>
      <c r="BR6" s="270"/>
      <c r="BS6" s="270"/>
      <c r="BT6" s="270"/>
      <c r="CJ6" s="165"/>
      <c r="CK6" s="165"/>
      <c r="CL6" s="165"/>
      <c r="CM6" s="165"/>
      <c r="CN6" s="165"/>
      <c r="CO6" s="165"/>
      <c r="CP6" s="165"/>
      <c r="CQ6" s="165"/>
      <c r="CR6" s="165"/>
      <c r="CS6" s="165"/>
      <c r="CT6" s="165"/>
      <c r="CU6" s="165"/>
      <c r="CV6" s="165"/>
      <c r="CW6" s="165"/>
      <c r="CX6" s="165"/>
      <c r="CY6" s="165"/>
      <c r="CZ6" s="165"/>
      <c r="DA6" s="165"/>
      <c r="DB6" s="165"/>
      <c r="DC6" s="165"/>
    </row>
    <row r="7" spans="1:107" s="168" customFormat="1" ht="32.450000000000003">
      <c r="A7" s="299" t="s">
        <v>257</v>
      </c>
      <c r="B7" s="301">
        <f>+B5+65</f>
        <v>46216</v>
      </c>
      <c r="C7" s="301">
        <f>+C5+65</f>
        <v>46227</v>
      </c>
      <c r="D7" s="195"/>
      <c r="E7" s="299" t="s">
        <v>255</v>
      </c>
      <c r="F7" s="301"/>
      <c r="G7" s="301">
        <f>+G6+1</f>
        <v>46160</v>
      </c>
      <c r="H7" s="195"/>
      <c r="I7" s="195"/>
      <c r="J7" s="195"/>
      <c r="K7" s="195"/>
      <c r="L7" s="195"/>
      <c r="M7" s="195"/>
      <c r="N7" s="195"/>
      <c r="O7" s="195"/>
      <c r="P7" s="195"/>
      <c r="Q7" s="195"/>
      <c r="R7" s="195"/>
      <c r="S7" s="195"/>
      <c r="T7" s="195"/>
      <c r="U7" s="195"/>
      <c r="V7" s="195"/>
      <c r="W7" s="195"/>
      <c r="X7" s="195"/>
      <c r="AB7" s="195"/>
      <c r="AC7" s="195"/>
      <c r="AD7" s="195"/>
      <c r="AE7" s="195"/>
      <c r="AF7" s="195"/>
      <c r="AG7" s="195"/>
      <c r="AH7" s="195"/>
      <c r="AI7" s="195"/>
      <c r="AJ7" s="195"/>
      <c r="AK7" s="195"/>
      <c r="AL7" s="195"/>
      <c r="AN7" s="181"/>
      <c r="AO7" s="181"/>
      <c r="AP7" s="181"/>
      <c r="AQ7" s="181"/>
      <c r="AR7" s="181"/>
      <c r="BA7" s="165"/>
      <c r="BB7" s="165"/>
      <c r="BC7" s="165"/>
      <c r="BD7" s="165"/>
      <c r="BE7" s="165"/>
      <c r="BF7" s="165"/>
      <c r="BG7" s="165"/>
      <c r="BH7" s="165"/>
      <c r="BI7" s="165"/>
      <c r="BJ7" s="165"/>
      <c r="BK7" s="165"/>
      <c r="BL7" s="165"/>
      <c r="BM7" s="165"/>
      <c r="BN7" s="165"/>
      <c r="BO7" s="165"/>
      <c r="BP7" s="165"/>
      <c r="BQ7" s="165"/>
      <c r="BR7" s="270"/>
      <c r="BS7" s="270"/>
      <c r="BT7" s="270"/>
      <c r="CJ7" s="165"/>
      <c r="CK7" s="165"/>
      <c r="CL7" s="165"/>
      <c r="CM7" s="165"/>
      <c r="CN7" s="165"/>
      <c r="CO7" s="165"/>
      <c r="CP7" s="165"/>
      <c r="CQ7" s="165"/>
      <c r="CR7" s="165"/>
      <c r="CS7" s="165"/>
      <c r="CT7" s="165"/>
      <c r="CU7" s="165"/>
      <c r="CV7" s="165"/>
      <c r="CW7" s="165"/>
      <c r="CX7" s="165"/>
      <c r="CY7" s="165"/>
      <c r="CZ7" s="165"/>
      <c r="DA7" s="165"/>
      <c r="DB7" s="165"/>
      <c r="DC7" s="165"/>
    </row>
    <row r="8" spans="1:107" s="168" customFormat="1" ht="32.450000000000003">
      <c r="A8" s="299" t="s">
        <v>258</v>
      </c>
      <c r="B8" s="304">
        <f>+B7+7</f>
        <v>46223</v>
      </c>
      <c r="C8" s="305">
        <f>+C7+7</f>
        <v>46234</v>
      </c>
      <c r="D8" s="195"/>
      <c r="E8" s="299" t="s">
        <v>257</v>
      </c>
      <c r="F8" s="301"/>
      <c r="G8" s="301">
        <f>+G7+65</f>
        <v>46225</v>
      </c>
      <c r="H8" s="195"/>
      <c r="I8" s="195"/>
      <c r="J8" s="195"/>
      <c r="K8" s="195"/>
      <c r="L8" s="195"/>
      <c r="M8" s="195"/>
      <c r="N8" s="195"/>
      <c r="O8" s="195"/>
      <c r="P8" s="195"/>
      <c r="Q8" s="195"/>
      <c r="R8" s="195"/>
      <c r="S8" s="195"/>
      <c r="T8" s="195"/>
      <c r="U8" s="195"/>
      <c r="V8" s="195"/>
      <c r="W8" s="195"/>
      <c r="X8" s="195"/>
      <c r="AB8" s="195"/>
      <c r="AC8" s="195"/>
      <c r="AD8" s="195"/>
      <c r="AE8" s="195"/>
      <c r="AF8" s="195"/>
      <c r="AG8" s="195"/>
      <c r="AH8" s="195"/>
      <c r="AI8" s="195"/>
      <c r="AJ8" s="195"/>
      <c r="AK8" s="195"/>
      <c r="AL8" s="195"/>
      <c r="AN8" s="181"/>
      <c r="AO8" s="181"/>
      <c r="AP8" s="181"/>
      <c r="AQ8" s="181"/>
      <c r="AR8" s="181"/>
      <c r="BA8" s="165"/>
      <c r="BB8" s="165"/>
      <c r="BC8" s="165"/>
      <c r="BD8" s="165"/>
      <c r="BE8" s="165"/>
      <c r="BF8" s="165"/>
      <c r="BG8" s="165"/>
      <c r="BH8" s="165"/>
      <c r="BI8" s="165"/>
      <c r="BJ8" s="165"/>
      <c r="BK8" s="165"/>
      <c r="BL8" s="165"/>
      <c r="BM8" s="165"/>
      <c r="BN8" s="165"/>
      <c r="BO8" s="165"/>
      <c r="BP8" s="165"/>
      <c r="BQ8" s="165"/>
      <c r="BR8" s="270"/>
      <c r="BS8" s="270"/>
      <c r="BT8" s="270"/>
      <c r="CJ8" s="165"/>
      <c r="CK8" s="165"/>
      <c r="CL8" s="165"/>
      <c r="CM8" s="165"/>
      <c r="CN8" s="165"/>
      <c r="CO8" s="165"/>
      <c r="CP8" s="165"/>
      <c r="CQ8" s="165"/>
      <c r="CR8" s="165"/>
      <c r="CS8" s="165"/>
      <c r="CT8" s="165"/>
      <c r="CU8" s="165"/>
      <c r="CV8" s="165"/>
      <c r="CW8" s="165"/>
      <c r="CX8" s="165"/>
      <c r="CY8" s="165"/>
      <c r="CZ8" s="165"/>
      <c r="DA8" s="165"/>
      <c r="DB8" s="165"/>
      <c r="DC8" s="165"/>
    </row>
    <row r="9" spans="1:107" s="168" customFormat="1" ht="32.450000000000003">
      <c r="A9" s="306"/>
      <c r="B9" s="306"/>
      <c r="C9" s="306"/>
      <c r="D9" s="195"/>
      <c r="E9" s="299" t="s">
        <v>258</v>
      </c>
      <c r="F9" s="304"/>
      <c r="G9" s="305">
        <f>+G8+7</f>
        <v>46232</v>
      </c>
      <c r="H9" s="195"/>
      <c r="I9" s="195"/>
      <c r="J9" s="195"/>
      <c r="K9" s="195"/>
      <c r="L9" s="195"/>
      <c r="M9" s="195"/>
      <c r="N9" s="195"/>
      <c r="O9" s="195"/>
      <c r="P9" s="195"/>
      <c r="Q9" s="195"/>
      <c r="R9" s="195"/>
      <c r="S9" s="195"/>
      <c r="T9" s="195"/>
      <c r="U9" s="195"/>
      <c r="V9" s="195"/>
      <c r="W9" s="195"/>
      <c r="X9" s="195"/>
      <c r="Y9" s="195"/>
      <c r="Z9" s="195"/>
      <c r="AA9" s="195"/>
      <c r="AB9" s="195"/>
      <c r="AC9" s="195"/>
      <c r="AD9" s="195"/>
      <c r="AE9" s="195"/>
      <c r="AF9" s="195"/>
      <c r="AG9" s="195"/>
      <c r="AH9" s="195"/>
      <c r="AI9" s="195"/>
      <c r="AJ9" s="195"/>
      <c r="AK9" s="195"/>
      <c r="AL9" s="195"/>
      <c r="AN9" s="181"/>
      <c r="AO9" s="181"/>
      <c r="AP9" s="181"/>
      <c r="AQ9" s="181"/>
      <c r="AR9" s="181"/>
      <c r="BA9" s="165"/>
      <c r="BB9" s="165"/>
      <c r="BC9" s="165"/>
      <c r="BD9" s="165"/>
      <c r="BE9" s="165"/>
      <c r="BF9" s="165"/>
      <c r="BG9" s="165"/>
      <c r="BH9" s="165"/>
      <c r="BI9" s="165"/>
      <c r="BJ9" s="165"/>
      <c r="BK9" s="165"/>
      <c r="BL9" s="165"/>
      <c r="BM9" s="165"/>
      <c r="BN9" s="165"/>
      <c r="BO9" s="165"/>
      <c r="BP9" s="165"/>
      <c r="BQ9" s="165"/>
      <c r="BR9" s="270"/>
      <c r="BS9" s="270"/>
      <c r="BT9" s="270"/>
      <c r="CJ9" s="165"/>
      <c r="CK9" s="165"/>
      <c r="CL9" s="165"/>
      <c r="CM9" s="165"/>
      <c r="CN9" s="165"/>
      <c r="CO9" s="165"/>
      <c r="CP9" s="165"/>
      <c r="CQ9" s="165"/>
      <c r="CR9" s="165"/>
      <c r="CS9" s="165"/>
      <c r="CT9" s="165"/>
      <c r="CU9" s="165"/>
      <c r="CV9" s="165"/>
      <c r="CW9" s="165"/>
      <c r="CX9" s="165"/>
      <c r="CY9" s="165"/>
      <c r="CZ9" s="165"/>
      <c r="DA9" s="165"/>
      <c r="DB9" s="165"/>
      <c r="DC9" s="165"/>
    </row>
    <row r="10" spans="1:107" s="168" customFormat="1" ht="32.450000000000003">
      <c r="A10" s="195"/>
      <c r="B10" s="195"/>
      <c r="C10" s="195"/>
      <c r="D10" s="195"/>
      <c r="E10" s="195"/>
      <c r="F10" s="195"/>
      <c r="G10" s="195"/>
      <c r="H10" s="195"/>
      <c r="I10" s="195"/>
      <c r="J10" s="195"/>
      <c r="K10" s="195"/>
      <c r="L10" s="195"/>
      <c r="M10" s="195"/>
      <c r="N10" s="195"/>
      <c r="O10" s="195"/>
      <c r="P10" s="195"/>
      <c r="Q10" s="195"/>
      <c r="R10" s="195"/>
      <c r="S10" s="195"/>
      <c r="T10" s="195"/>
      <c r="U10" s="195"/>
      <c r="V10" s="195"/>
      <c r="W10" s="195"/>
      <c r="X10" s="195"/>
      <c r="Y10" s="195"/>
      <c r="Z10" s="195"/>
      <c r="AA10" s="195"/>
      <c r="AB10" s="195"/>
      <c r="AC10" s="195"/>
      <c r="AD10" s="195"/>
      <c r="AE10" s="195"/>
      <c r="AF10" s="195"/>
      <c r="AG10" s="195"/>
      <c r="AH10" s="195"/>
      <c r="AI10" s="195"/>
      <c r="AJ10" s="195"/>
      <c r="AK10" s="195"/>
      <c r="AL10" s="195"/>
      <c r="AN10" s="181"/>
      <c r="AO10" s="181"/>
      <c r="AP10" s="181"/>
      <c r="AQ10" s="181"/>
      <c r="AR10" s="181"/>
      <c r="BA10" s="165"/>
      <c r="BB10" s="165"/>
      <c r="BC10" s="165"/>
      <c r="BD10" s="165"/>
      <c r="BE10" s="165"/>
      <c r="BF10" s="165"/>
      <c r="BG10" s="165"/>
      <c r="BH10" s="165"/>
      <c r="BI10" s="165"/>
      <c r="BJ10" s="165"/>
      <c r="BK10" s="165"/>
      <c r="BL10" s="165"/>
      <c r="BM10" s="165"/>
      <c r="BN10" s="165"/>
      <c r="BO10" s="165"/>
      <c r="BP10" s="165"/>
      <c r="BQ10" s="165"/>
      <c r="BR10" s="270"/>
      <c r="BS10" s="270"/>
      <c r="BT10" s="270"/>
      <c r="CJ10" s="165"/>
      <c r="CK10" s="165"/>
      <c r="CL10" s="165"/>
      <c r="CM10" s="165"/>
      <c r="CN10" s="165"/>
      <c r="CO10" s="165"/>
      <c r="CP10" s="165"/>
      <c r="CQ10" s="165"/>
      <c r="CR10" s="165"/>
      <c r="CS10" s="165"/>
      <c r="CT10" s="165"/>
      <c r="CU10" s="165"/>
      <c r="CV10" s="165"/>
      <c r="CW10" s="165"/>
      <c r="CX10" s="165"/>
      <c r="CY10" s="165"/>
      <c r="CZ10" s="165"/>
      <c r="DA10" s="165"/>
      <c r="DB10" s="165"/>
      <c r="DC10" s="165"/>
    </row>
    <row r="11" spans="1:107" s="168" customFormat="1" ht="32.450000000000003">
      <c r="A11" s="195"/>
      <c r="B11" s="195"/>
      <c r="C11" s="195"/>
      <c r="D11" s="195"/>
      <c r="E11" s="195"/>
      <c r="F11" s="195"/>
      <c r="G11" s="195"/>
      <c r="H11" s="195"/>
      <c r="I11" s="195"/>
      <c r="J11" s="195"/>
      <c r="K11" s="195"/>
      <c r="L11" s="195"/>
      <c r="M11" s="195"/>
      <c r="N11" s="195"/>
      <c r="O11" s="195"/>
      <c r="P11" s="195"/>
      <c r="Q11" s="195"/>
      <c r="R11" s="195"/>
      <c r="S11" s="195"/>
      <c r="T11" s="195"/>
      <c r="U11" s="195"/>
      <c r="V11" s="195"/>
      <c r="W11" s="195"/>
      <c r="X11" s="195"/>
      <c r="Y11" s="195"/>
      <c r="Z11" s="195"/>
      <c r="AA11" s="195"/>
      <c r="AB11" s="195"/>
      <c r="AC11" s="195"/>
      <c r="AD11" s="195"/>
      <c r="AE11" s="195"/>
      <c r="AF11" s="195"/>
      <c r="AG11" s="195"/>
      <c r="AH11" s="195"/>
      <c r="AI11" s="195"/>
      <c r="AJ11" s="195"/>
      <c r="AK11" s="195"/>
      <c r="AL11" s="195"/>
      <c r="AN11" s="181"/>
      <c r="AO11" s="181"/>
      <c r="AP11" s="181"/>
      <c r="AQ11" s="181"/>
      <c r="AR11" s="181"/>
      <c r="BA11" s="165"/>
      <c r="BB11" s="165"/>
      <c r="BC11" s="165"/>
      <c r="BD11" s="165"/>
      <c r="BE11" s="165"/>
      <c r="BF11" s="165"/>
      <c r="BG11" s="165"/>
      <c r="BH11" s="165"/>
      <c r="BI11" s="165"/>
      <c r="BJ11" s="165"/>
      <c r="BK11" s="165"/>
      <c r="BL11" s="165"/>
      <c r="BM11" s="165"/>
      <c r="BN11" s="165"/>
      <c r="BO11" s="165"/>
      <c r="BP11" s="165"/>
      <c r="BQ11" s="165"/>
      <c r="BR11" s="270"/>
      <c r="BS11" s="270"/>
      <c r="BT11" s="270"/>
      <c r="CJ11" s="165"/>
      <c r="CK11" s="165"/>
      <c r="CL11" s="165"/>
      <c r="CM11" s="165"/>
      <c r="CN11" s="165"/>
      <c r="CO11" s="165"/>
      <c r="CP11" s="165"/>
      <c r="CQ11" s="165"/>
      <c r="CR11" s="165"/>
      <c r="CS11" s="165"/>
      <c r="CT11" s="165"/>
      <c r="CU11" s="165"/>
      <c r="CV11" s="165"/>
      <c r="CW11" s="165"/>
      <c r="CX11" s="165"/>
      <c r="CY11" s="165"/>
      <c r="CZ11" s="165"/>
      <c r="DA11" s="165"/>
      <c r="DB11" s="165"/>
      <c r="DC11" s="165"/>
    </row>
    <row r="12" spans="1:107" s="168" customFormat="1" ht="32.450000000000003">
      <c r="A12" s="195"/>
      <c r="B12" s="195"/>
      <c r="C12" s="195"/>
      <c r="D12" s="195"/>
      <c r="E12" s="195"/>
      <c r="F12" s="195"/>
      <c r="G12" s="195"/>
      <c r="H12" s="195"/>
      <c r="I12" s="195"/>
      <c r="J12" s="195"/>
      <c r="K12" s="195"/>
      <c r="L12" s="195"/>
      <c r="M12" s="195"/>
      <c r="N12" s="195"/>
      <c r="O12" s="195"/>
      <c r="P12" s="195"/>
      <c r="Q12" s="195"/>
      <c r="R12" s="195"/>
      <c r="S12" s="195"/>
      <c r="T12" s="195"/>
      <c r="U12" s="195"/>
      <c r="V12" s="195"/>
      <c r="W12" s="195"/>
      <c r="X12" s="195"/>
      <c r="Y12" s="195"/>
      <c r="Z12" s="195"/>
      <c r="AA12" s="195"/>
      <c r="AB12" s="195"/>
      <c r="AC12" s="195"/>
      <c r="AD12" s="195"/>
      <c r="AE12" s="195"/>
      <c r="AF12" s="195"/>
      <c r="AG12" s="195"/>
      <c r="AH12" s="195"/>
      <c r="AI12" s="195"/>
      <c r="AJ12" s="195"/>
      <c r="AK12" s="195"/>
      <c r="AL12" s="195"/>
      <c r="AN12" s="181"/>
      <c r="AO12" s="181"/>
      <c r="AP12" s="181"/>
      <c r="AQ12" s="181"/>
      <c r="AR12" s="181"/>
      <c r="BA12" s="165"/>
      <c r="BB12" s="165"/>
      <c r="BC12" s="165"/>
      <c r="BD12" s="165"/>
      <c r="BE12" s="165"/>
      <c r="BF12" s="165"/>
      <c r="BG12" s="165"/>
      <c r="BH12" s="165"/>
      <c r="BI12" s="165"/>
      <c r="BJ12" s="165"/>
      <c r="BK12" s="165"/>
      <c r="BL12" s="165"/>
      <c r="BM12" s="165"/>
      <c r="BN12" s="165"/>
      <c r="BO12" s="165"/>
      <c r="BP12" s="165"/>
      <c r="BQ12" s="165"/>
      <c r="BR12" s="270"/>
      <c r="BS12" s="270"/>
      <c r="BT12" s="270"/>
      <c r="CJ12" s="165"/>
      <c r="CK12" s="165"/>
      <c r="CL12" s="165"/>
      <c r="CM12" s="165"/>
      <c r="CN12" s="165"/>
      <c r="CO12" s="165"/>
      <c r="CP12" s="165"/>
      <c r="CQ12" s="165"/>
      <c r="CR12" s="165"/>
      <c r="CS12" s="165"/>
      <c r="CT12" s="165"/>
      <c r="CU12" s="165"/>
      <c r="CV12" s="165"/>
      <c r="CW12" s="165"/>
      <c r="CX12" s="165"/>
      <c r="CY12" s="165"/>
      <c r="CZ12" s="165"/>
      <c r="DA12" s="165"/>
      <c r="DB12" s="165"/>
      <c r="DC12" s="165"/>
    </row>
    <row r="13" spans="1:107" s="168" customFormat="1" ht="32.450000000000003">
      <c r="A13" s="195"/>
      <c r="B13" s="195"/>
      <c r="C13" s="195"/>
      <c r="D13" s="195"/>
      <c r="E13" s="195"/>
      <c r="F13" s="195"/>
      <c r="G13" s="195"/>
      <c r="H13" s="195"/>
      <c r="I13" s="195"/>
      <c r="J13" s="195"/>
      <c r="K13" s="195"/>
      <c r="L13" s="195"/>
      <c r="M13" s="195"/>
      <c r="N13" s="195"/>
      <c r="O13" s="195"/>
      <c r="P13" s="195"/>
      <c r="Q13" s="195"/>
      <c r="R13" s="195"/>
      <c r="S13" s="195"/>
      <c r="T13" s="195"/>
      <c r="U13" s="195"/>
      <c r="V13" s="195"/>
      <c r="W13" s="195"/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  <c r="AL13" s="195"/>
      <c r="AN13" s="181"/>
      <c r="AO13" s="181"/>
      <c r="AP13" s="181"/>
      <c r="AQ13" s="181"/>
      <c r="AR13" s="181"/>
      <c r="BA13" s="165"/>
      <c r="BB13" s="165"/>
      <c r="BC13" s="165"/>
      <c r="BD13" s="165"/>
      <c r="BE13" s="165"/>
      <c r="BF13" s="165"/>
      <c r="BG13" s="165"/>
      <c r="BH13" s="165"/>
      <c r="BI13" s="165"/>
      <c r="BJ13" s="165"/>
      <c r="BK13" s="165"/>
      <c r="BL13" s="165"/>
      <c r="BM13" s="165"/>
      <c r="BN13" s="165"/>
      <c r="BO13" s="165"/>
      <c r="BP13" s="165"/>
      <c r="BQ13" s="165"/>
      <c r="BR13" s="270"/>
      <c r="BS13" s="270"/>
      <c r="BT13" s="270"/>
      <c r="CJ13" s="365"/>
      <c r="CN13" s="365"/>
      <c r="CP13" s="365"/>
      <c r="CR13" s="365"/>
      <c r="CT13" s="365"/>
      <c r="CV13" s="365"/>
      <c r="CX13" s="365"/>
      <c r="CZ13" s="365"/>
      <c r="DB13" s="365"/>
    </row>
    <row r="14" spans="1:107" s="168" customFormat="1" ht="35.1" customHeight="1">
      <c r="A14" s="195"/>
      <c r="B14" s="195"/>
      <c r="C14" s="195"/>
      <c r="D14" s="195"/>
      <c r="E14" s="195"/>
      <c r="F14" s="195"/>
      <c r="G14" s="195"/>
      <c r="H14" s="195"/>
      <c r="I14" s="195"/>
      <c r="J14" s="195"/>
      <c r="K14" s="195"/>
      <c r="L14" s="195"/>
      <c r="M14" s="195"/>
      <c r="N14" s="195"/>
      <c r="O14" s="195"/>
      <c r="P14" s="195"/>
      <c r="Q14" s="195"/>
      <c r="R14" s="195"/>
      <c r="S14" s="195"/>
      <c r="T14" s="195"/>
      <c r="U14" s="195"/>
      <c r="V14" s="195"/>
      <c r="W14" s="195"/>
      <c r="X14" s="195"/>
      <c r="Y14" s="195"/>
      <c r="Z14" s="195"/>
      <c r="AA14" s="195"/>
      <c r="AB14" s="195"/>
      <c r="AC14" s="195"/>
      <c r="AD14" s="195"/>
      <c r="AE14" s="195"/>
      <c r="AF14" s="195"/>
      <c r="AG14" s="195"/>
      <c r="AH14" s="195"/>
      <c r="AI14" s="195"/>
      <c r="AJ14" s="195"/>
      <c r="AK14" s="195"/>
      <c r="AL14" s="195"/>
      <c r="AN14" s="181"/>
      <c r="AO14" s="181"/>
      <c r="AP14" s="181"/>
      <c r="AQ14" s="181"/>
      <c r="AR14" s="181"/>
      <c r="BA14" s="165"/>
      <c r="BB14" s="165"/>
      <c r="BC14" s="165"/>
      <c r="BD14" s="165"/>
      <c r="BE14" s="165"/>
      <c r="BF14" s="165"/>
      <c r="BG14" s="165"/>
      <c r="BH14" s="165"/>
      <c r="BI14" s="165"/>
      <c r="BJ14" s="165"/>
      <c r="BK14" s="165"/>
      <c r="BL14" s="165"/>
      <c r="BM14" s="165"/>
      <c r="BN14" s="165"/>
      <c r="BO14" s="165"/>
      <c r="BP14" s="165"/>
      <c r="BQ14" s="165"/>
      <c r="BR14" s="270"/>
      <c r="BS14" s="270"/>
      <c r="BT14" s="270"/>
      <c r="CJ14" s="394" t="s">
        <v>0</v>
      </c>
      <c r="CK14" s="395"/>
      <c r="CL14" s="395"/>
      <c r="CM14" s="395"/>
      <c r="CN14" s="395"/>
      <c r="CO14" s="395"/>
      <c r="CP14" s="395"/>
      <c r="CQ14" s="395"/>
      <c r="CR14" s="395"/>
      <c r="CS14" s="395"/>
      <c r="CT14" s="395"/>
      <c r="CU14" s="395"/>
      <c r="CV14" s="395"/>
      <c r="CW14" s="395"/>
      <c r="CX14" s="395"/>
      <c r="CY14" s="395"/>
      <c r="CZ14" s="395"/>
      <c r="DA14" s="395"/>
      <c r="DB14" s="395"/>
      <c r="DC14" s="395"/>
    </row>
    <row r="15" spans="1:107" s="168" customFormat="1" ht="56.1">
      <c r="A15" s="195"/>
      <c r="B15" s="195"/>
      <c r="C15" s="195"/>
      <c r="D15" s="195"/>
      <c r="E15" s="195"/>
      <c r="F15" s="195"/>
      <c r="G15" s="195"/>
      <c r="H15" s="195"/>
      <c r="I15" s="195"/>
      <c r="J15" s="195"/>
      <c r="K15" s="195"/>
      <c r="L15" s="195"/>
      <c r="M15" s="195"/>
      <c r="N15" s="195"/>
      <c r="O15" s="195"/>
      <c r="P15" s="195"/>
      <c r="Q15" s="195"/>
      <c r="R15" s="195"/>
      <c r="S15" s="195"/>
      <c r="T15" s="195"/>
      <c r="U15" s="195"/>
      <c r="V15" s="195"/>
      <c r="W15" s="195">
        <v>18.5</v>
      </c>
      <c r="X15" s="195"/>
      <c r="Y15" s="195"/>
      <c r="Z15" s="195"/>
      <c r="AA15" s="195"/>
      <c r="AB15" s="195"/>
      <c r="AC15" s="195"/>
      <c r="AD15" s="195"/>
      <c r="AE15" s="195"/>
      <c r="AF15" s="195"/>
      <c r="AG15" s="195"/>
      <c r="AH15" s="195"/>
      <c r="AI15" s="195"/>
      <c r="AJ15" s="195"/>
      <c r="AK15" s="195"/>
      <c r="AL15" s="195"/>
      <c r="AN15" s="181"/>
      <c r="AO15" s="181"/>
      <c r="AP15" s="181"/>
      <c r="AQ15" s="181"/>
      <c r="AR15" s="181"/>
      <c r="BA15" s="165"/>
      <c r="BB15" s="165"/>
      <c r="BC15" s="165"/>
      <c r="BD15" s="165"/>
      <c r="BE15" s="165"/>
      <c r="BF15" s="165"/>
      <c r="BG15" s="165"/>
      <c r="BH15" s="165"/>
      <c r="BI15" s="165"/>
      <c r="BJ15" s="165"/>
      <c r="BK15" s="165"/>
      <c r="BL15" s="165"/>
      <c r="BM15" s="165"/>
      <c r="BN15" s="165"/>
      <c r="BO15" s="165"/>
      <c r="BP15" s="165"/>
      <c r="BQ15" s="165"/>
      <c r="BR15" s="270"/>
      <c r="BS15" s="270"/>
      <c r="BT15" s="270"/>
      <c r="CJ15" s="356" t="s">
        <v>1</v>
      </c>
      <c r="CK15" s="356"/>
      <c r="CL15" s="356" t="s">
        <v>1039</v>
      </c>
      <c r="CM15" s="356"/>
      <c r="CN15" s="359" t="s">
        <v>2</v>
      </c>
      <c r="CO15" s="356"/>
      <c r="CP15" s="356" t="s">
        <v>3</v>
      </c>
      <c r="CQ15" s="356"/>
      <c r="CR15" s="356" t="s">
        <v>4</v>
      </c>
      <c r="CS15" s="356"/>
      <c r="CT15" s="356" t="s">
        <v>5</v>
      </c>
      <c r="CU15" s="356"/>
      <c r="CV15" s="356" t="s">
        <v>6</v>
      </c>
      <c r="CW15" s="356"/>
      <c r="CX15" s="356" t="s">
        <v>7</v>
      </c>
      <c r="CY15" s="356"/>
      <c r="CZ15" s="356" t="s">
        <v>8</v>
      </c>
      <c r="DA15" s="356"/>
      <c r="DB15" s="356" t="s">
        <v>9</v>
      </c>
      <c r="DC15" s="356"/>
    </row>
    <row r="16" spans="1:107" ht="97.5">
      <c r="A16" s="194" t="s">
        <v>10</v>
      </c>
      <c r="B16" s="194" t="s">
        <v>11</v>
      </c>
      <c r="C16" s="194" t="s">
        <v>12</v>
      </c>
      <c r="D16" s="194" t="s">
        <v>13</v>
      </c>
      <c r="E16" s="194" t="s">
        <v>14</v>
      </c>
      <c r="F16" s="194" t="s">
        <v>15</v>
      </c>
      <c r="G16" s="194" t="s">
        <v>16</v>
      </c>
      <c r="H16" s="194" t="s">
        <v>17</v>
      </c>
      <c r="I16" s="194" t="s">
        <v>18</v>
      </c>
      <c r="J16" s="194" t="s">
        <v>19</v>
      </c>
      <c r="K16" s="194" t="s">
        <v>20</v>
      </c>
      <c r="L16" s="194" t="s">
        <v>1040</v>
      </c>
      <c r="M16" s="194" t="s">
        <v>1041</v>
      </c>
      <c r="N16" s="194" t="s">
        <v>1042</v>
      </c>
      <c r="O16" s="194" t="s">
        <v>493</v>
      </c>
      <c r="P16" s="194" t="s">
        <v>1043</v>
      </c>
      <c r="Q16" s="194" t="s">
        <v>1044</v>
      </c>
      <c r="R16" s="194" t="s">
        <v>1045</v>
      </c>
      <c r="S16" s="194" t="s">
        <v>387</v>
      </c>
      <c r="T16" s="194" t="s">
        <v>41</v>
      </c>
      <c r="U16" s="194" t="s">
        <v>23</v>
      </c>
      <c r="V16" s="194" t="s">
        <v>24</v>
      </c>
      <c r="W16" s="194" t="s">
        <v>669</v>
      </c>
      <c r="X16" s="194" t="s">
        <v>1046</v>
      </c>
      <c r="Y16" s="194" t="s">
        <v>27</v>
      </c>
      <c r="Z16" s="194" t="s">
        <v>28</v>
      </c>
      <c r="AA16" s="194" t="s">
        <v>30</v>
      </c>
      <c r="AB16" s="194" t="s">
        <v>1047</v>
      </c>
      <c r="AC16" s="194" t="s">
        <v>31</v>
      </c>
      <c r="AD16" s="194" t="s">
        <v>32</v>
      </c>
      <c r="AE16" s="194" t="s">
        <v>33</v>
      </c>
      <c r="AF16" s="194" t="s">
        <v>34</v>
      </c>
      <c r="AG16" s="194" t="s">
        <v>35</v>
      </c>
      <c r="AH16" s="194" t="s">
        <v>36</v>
      </c>
      <c r="AI16" s="194" t="s">
        <v>1048</v>
      </c>
      <c r="AJ16" s="194" t="s">
        <v>1049</v>
      </c>
      <c r="AK16" s="1" t="s">
        <v>38</v>
      </c>
      <c r="AL16" s="1" t="s">
        <v>39</v>
      </c>
      <c r="AN16" s="176" t="s">
        <v>30</v>
      </c>
      <c r="AO16" s="176" t="s">
        <v>31</v>
      </c>
      <c r="AP16" s="176" t="s">
        <v>32</v>
      </c>
      <c r="AQ16" s="176" t="s">
        <v>33</v>
      </c>
      <c r="AR16" s="176" t="s">
        <v>272</v>
      </c>
      <c r="BA16" s="162" t="s">
        <v>40</v>
      </c>
      <c r="BB16" s="162" t="s">
        <v>41</v>
      </c>
      <c r="BC16" s="162" t="s">
        <v>42</v>
      </c>
      <c r="BD16" s="162" t="s">
        <v>43</v>
      </c>
      <c r="BE16" s="162" t="s">
        <v>44</v>
      </c>
      <c r="BF16" s="162" t="s">
        <v>45</v>
      </c>
      <c r="BG16" s="162" t="s">
        <v>46</v>
      </c>
      <c r="BH16" s="1" t="s">
        <v>47</v>
      </c>
      <c r="BI16" s="162" t="s">
        <v>48</v>
      </c>
      <c r="BJ16" s="162" t="s">
        <v>49</v>
      </c>
      <c r="BK16" s="1" t="s">
        <v>13</v>
      </c>
      <c r="BL16" s="1" t="s">
        <v>50</v>
      </c>
      <c r="BM16" s="165"/>
      <c r="BN16" s="165"/>
      <c r="BO16" s="165"/>
      <c r="BP16" s="165"/>
      <c r="BQ16" s="165"/>
      <c r="BR16" s="1" t="s">
        <v>38</v>
      </c>
      <c r="BS16" s="1" t="s">
        <v>39</v>
      </c>
      <c r="BT16" s="1" t="s">
        <v>53</v>
      </c>
      <c r="CJ16" s="357" t="s">
        <v>54</v>
      </c>
      <c r="CK16" s="357" t="s">
        <v>55</v>
      </c>
      <c r="CL16" s="357" t="s">
        <v>54</v>
      </c>
      <c r="CM16" s="357" t="s">
        <v>55</v>
      </c>
      <c r="CN16" s="360" t="s">
        <v>54</v>
      </c>
      <c r="CO16" s="357" t="s">
        <v>55</v>
      </c>
      <c r="CP16" s="357" t="s">
        <v>54</v>
      </c>
      <c r="CQ16" s="357" t="s">
        <v>55</v>
      </c>
      <c r="CR16" s="357" t="s">
        <v>54</v>
      </c>
      <c r="CS16" s="357" t="s">
        <v>55</v>
      </c>
      <c r="CT16" s="357" t="s">
        <v>54</v>
      </c>
      <c r="CU16" s="357" t="s">
        <v>55</v>
      </c>
      <c r="CV16" s="357" t="s">
        <v>54</v>
      </c>
      <c r="CW16" s="357" t="s">
        <v>55</v>
      </c>
      <c r="CX16" s="357" t="s">
        <v>54</v>
      </c>
      <c r="CY16" s="357" t="s">
        <v>55</v>
      </c>
      <c r="CZ16" s="357" t="s">
        <v>54</v>
      </c>
      <c r="DA16" s="357" t="s">
        <v>55</v>
      </c>
      <c r="DB16" s="357" t="s">
        <v>54</v>
      </c>
      <c r="DC16" s="357" t="s">
        <v>55</v>
      </c>
    </row>
    <row r="17" spans="1:107" ht="115.5">
      <c r="A17" s="75">
        <v>1</v>
      </c>
      <c r="B17" s="121">
        <v>46234</v>
      </c>
      <c r="C17" s="75" t="s">
        <v>76</v>
      </c>
      <c r="D17" s="75" t="s">
        <v>77</v>
      </c>
      <c r="E17" s="122">
        <v>7506110697640</v>
      </c>
      <c r="F17" s="91" t="s">
        <v>1050</v>
      </c>
      <c r="G17" s="81" t="s">
        <v>1051</v>
      </c>
      <c r="H17" s="123" t="s">
        <v>60</v>
      </c>
      <c r="I17" s="124" t="s">
        <v>801</v>
      </c>
      <c r="J17" s="75" t="s">
        <v>1052</v>
      </c>
      <c r="K17" s="81" t="s">
        <v>1053</v>
      </c>
      <c r="L17" s="75">
        <v>1</v>
      </c>
      <c r="M17" s="125">
        <f t="shared" ref="M17:M34" si="0">+N17*0.8</f>
        <v>0.39200000000000002</v>
      </c>
      <c r="N17" s="125">
        <v>0.49</v>
      </c>
      <c r="O17" s="125">
        <v>0</v>
      </c>
      <c r="P17" s="125">
        <v>0</v>
      </c>
      <c r="Q17" s="126">
        <v>0.49</v>
      </c>
      <c r="R17" s="126">
        <v>0</v>
      </c>
      <c r="S17" s="126" t="s">
        <v>69</v>
      </c>
      <c r="T17" s="127">
        <v>0.57999999999999996</v>
      </c>
      <c r="U17" s="29" t="s">
        <v>64</v>
      </c>
      <c r="V17" s="128">
        <v>5000</v>
      </c>
      <c r="W17" s="24">
        <f>+T17*W15</f>
        <v>10.729999999999999</v>
      </c>
      <c r="X17" s="24">
        <f t="shared" ref="X17:X28" si="1">+W17*0.36</f>
        <v>3.8627999999999996</v>
      </c>
      <c r="Y17" s="24">
        <v>0.32</v>
      </c>
      <c r="Z17" s="24">
        <f t="shared" ref="Z17:Z48" si="2">Y17+X17+W17</f>
        <v>14.912799999999997</v>
      </c>
      <c r="AA17" s="88">
        <v>139</v>
      </c>
      <c r="AB17" s="24">
        <f t="shared" ref="AB17:AB48" si="3">(AA17/1.16)</f>
        <v>119.82758620689656</v>
      </c>
      <c r="AC17" s="24">
        <f t="shared" ref="AC17:AC48" si="4">(AA17/1.16)*0.6</f>
        <v>71.896551724137936</v>
      </c>
      <c r="AD17" s="27">
        <f>Z17/AA17</f>
        <v>0.10728633093525178</v>
      </c>
      <c r="AE17" s="27">
        <f t="shared" ref="AE17:AE48" si="5">1-(Z17/AC17)</f>
        <v>0.79257976019184662</v>
      </c>
      <c r="AF17" s="28">
        <f t="shared" ref="AF17:AF48" si="6">1-(AC17/(AA17/1.16))</f>
        <v>0.4</v>
      </c>
      <c r="AG17" s="81" t="s">
        <v>284</v>
      </c>
      <c r="AH17" s="128" t="s">
        <v>67</v>
      </c>
      <c r="AI17" s="29">
        <v>6</v>
      </c>
      <c r="AJ17" s="29">
        <f t="shared" ref="AJ17:AJ28" si="7">+AI17*24</f>
        <v>144</v>
      </c>
      <c r="AK17" s="91" t="s">
        <v>1054</v>
      </c>
      <c r="AL17" s="290">
        <v>46252</v>
      </c>
      <c r="AN17" s="129">
        <f t="shared" ref="AN17:AN53" si="8">Y17*0.65</f>
        <v>0.20800000000000002</v>
      </c>
      <c r="AO17" s="129">
        <f t="shared" ref="AO17:AO48" si="9">AN17/1.16</f>
        <v>0.17931034482758623</v>
      </c>
      <c r="AP17" s="130">
        <f t="shared" ref="AP17:AP48" si="10">X17/AO17</f>
        <v>21.542538461538456</v>
      </c>
      <c r="AQ17" s="33">
        <f t="shared" ref="AQ17:AQ48" si="11">1-(X17/AO17)</f>
        <v>-20.542538461538456</v>
      </c>
      <c r="AR17" s="33">
        <f t="shared" ref="AR17:AR48" si="12">1-(AO17/(AN17/1.16))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48" si="13">SUM(BA17:BI17)</f>
        <v>7</v>
      </c>
      <c r="BL17" s="4">
        <f t="shared" ref="BL17:BL48" si="14">+BK17/BJ17</f>
        <v>0.77777777777777779</v>
      </c>
      <c r="BM17" s="295"/>
      <c r="BN17" s="295"/>
      <c r="BO17" s="295"/>
      <c r="BP17" s="295"/>
      <c r="BQ17" s="295"/>
      <c r="BR17" s="282" t="str">
        <f t="shared" ref="BR17:BR61" si="15">+AK17</f>
        <v>En Producción. Termina en 31/May</v>
      </c>
      <c r="BS17" s="284">
        <f>+AL17</f>
        <v>46252</v>
      </c>
      <c r="BT17" s="282" t="s">
        <v>1055</v>
      </c>
      <c r="CJ17" s="366">
        <v>46101</v>
      </c>
      <c r="CK17" s="362">
        <v>46107</v>
      </c>
      <c r="CL17" s="362">
        <f>+CJ17+3</f>
        <v>46104</v>
      </c>
      <c r="CM17" s="362">
        <f>+CK17+3</f>
        <v>46110</v>
      </c>
      <c r="CN17" s="370">
        <f>+CK17+10</f>
        <v>46117</v>
      </c>
      <c r="CO17" s="358">
        <f>+CM17+10</f>
        <v>46120</v>
      </c>
      <c r="CP17" s="366">
        <f>+CN17+3</f>
        <v>46120</v>
      </c>
      <c r="CQ17" s="362">
        <f>+CO17+1</f>
        <v>46121</v>
      </c>
      <c r="CR17" s="370">
        <f>+CP17+40</f>
        <v>46160</v>
      </c>
      <c r="CS17" s="358">
        <v>46173</v>
      </c>
      <c r="CT17" s="366">
        <f>+CR17-20</f>
        <v>46140</v>
      </c>
      <c r="CU17" s="362">
        <f>+CS17-10</f>
        <v>46163</v>
      </c>
      <c r="CV17" s="376">
        <f>+CR17+7</f>
        <v>46167</v>
      </c>
      <c r="CW17" s="267"/>
      <c r="CX17" s="366"/>
      <c r="CY17" s="362"/>
      <c r="CZ17" s="377"/>
      <c r="DA17" s="267"/>
      <c r="DB17" s="366"/>
      <c r="DC17" s="362"/>
    </row>
    <row r="18" spans="1:107" ht="115.5">
      <c r="A18" s="75">
        <v>2</v>
      </c>
      <c r="B18" s="121">
        <v>46234</v>
      </c>
      <c r="C18" s="75" t="s">
        <v>76</v>
      </c>
      <c r="D18" s="75" t="s">
        <v>77</v>
      </c>
      <c r="E18" s="122">
        <v>7506110697657</v>
      </c>
      <c r="F18" s="91" t="s">
        <v>1056</v>
      </c>
      <c r="G18" s="81" t="s">
        <v>1057</v>
      </c>
      <c r="H18" s="131" t="s">
        <v>60</v>
      </c>
      <c r="I18" s="124" t="s">
        <v>801</v>
      </c>
      <c r="J18" s="75" t="s">
        <v>1052</v>
      </c>
      <c r="K18" s="81" t="s">
        <v>1053</v>
      </c>
      <c r="L18" s="75">
        <v>1</v>
      </c>
      <c r="M18" s="125">
        <f t="shared" si="0"/>
        <v>0.39200000000000002</v>
      </c>
      <c r="N18" s="125">
        <v>0.49</v>
      </c>
      <c r="O18" s="125">
        <v>0</v>
      </c>
      <c r="P18" s="125">
        <v>0</v>
      </c>
      <c r="Q18" s="126">
        <v>0.49</v>
      </c>
      <c r="R18" s="126">
        <v>0</v>
      </c>
      <c r="S18" s="126" t="s">
        <v>69</v>
      </c>
      <c r="T18" s="127">
        <v>0.57999999999999996</v>
      </c>
      <c r="U18" s="29" t="s">
        <v>64</v>
      </c>
      <c r="V18" s="128">
        <v>5000</v>
      </c>
      <c r="W18" s="24">
        <f t="shared" ref="W18:W48" si="16">+T18*$X$17</f>
        <v>2.2404239999999995</v>
      </c>
      <c r="X18" s="24">
        <f t="shared" si="1"/>
        <v>0.80655263999999982</v>
      </c>
      <c r="Y18" s="24">
        <v>0.32</v>
      </c>
      <c r="Z18" s="24">
        <f t="shared" si="2"/>
        <v>3.3669766399999994</v>
      </c>
      <c r="AA18" s="88">
        <v>139</v>
      </c>
      <c r="AB18" s="24">
        <f t="shared" si="3"/>
        <v>119.82758620689656</v>
      </c>
      <c r="AC18" s="24">
        <f t="shared" si="4"/>
        <v>71.896551724137936</v>
      </c>
      <c r="AD18" s="27">
        <f t="shared" ref="AD18:AD49" si="17">Z18/AC18</f>
        <v>4.6830850148681047E-2</v>
      </c>
      <c r="AE18" s="27">
        <f t="shared" si="5"/>
        <v>0.95316914985131895</v>
      </c>
      <c r="AF18" s="28">
        <f t="shared" si="6"/>
        <v>0.4</v>
      </c>
      <c r="AG18" s="81" t="s">
        <v>284</v>
      </c>
      <c r="AH18" s="128" t="s">
        <v>67</v>
      </c>
      <c r="AI18" s="29">
        <v>6</v>
      </c>
      <c r="AJ18" s="29">
        <f t="shared" si="7"/>
        <v>144</v>
      </c>
      <c r="AK18" s="91" t="s">
        <v>1054</v>
      </c>
      <c r="AL18" s="290">
        <v>46252</v>
      </c>
      <c r="AN18" s="129">
        <f t="shared" si="8"/>
        <v>0.20800000000000002</v>
      </c>
      <c r="AO18" s="129">
        <f t="shared" si="9"/>
        <v>0.17931034482758623</v>
      </c>
      <c r="AP18" s="130">
        <f t="shared" si="10"/>
        <v>4.4980820307692291</v>
      </c>
      <c r="AQ18" s="130">
        <f t="shared" si="11"/>
        <v>-3.4980820307692291</v>
      </c>
      <c r="AR18" s="33">
        <f t="shared" si="12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3"/>
        <v>7</v>
      </c>
      <c r="BL18" s="4">
        <f t="shared" si="14"/>
        <v>0.77777777777777779</v>
      </c>
      <c r="BM18" s="295"/>
      <c r="BN18" s="295"/>
      <c r="BO18" s="295"/>
      <c r="BP18" s="295"/>
      <c r="BQ18" s="295"/>
      <c r="BR18" s="282" t="str">
        <f t="shared" si="15"/>
        <v>En Producción. Termina en 31/May</v>
      </c>
      <c r="BS18" s="284">
        <f t="shared" ref="BS18:BS75" si="18">+AL18</f>
        <v>46252</v>
      </c>
      <c r="BT18" s="282" t="s">
        <v>1055</v>
      </c>
      <c r="CJ18" s="367"/>
      <c r="CK18" s="363"/>
      <c r="CL18" s="363"/>
      <c r="CM18" s="363"/>
      <c r="CN18" s="371"/>
      <c r="CO18" s="278"/>
      <c r="CP18" s="367"/>
      <c r="CQ18" s="363"/>
      <c r="CR18" s="373"/>
      <c r="CS18" s="268"/>
      <c r="CT18" s="367"/>
      <c r="CU18" s="363"/>
      <c r="CV18" s="377"/>
      <c r="CW18" s="267"/>
      <c r="CX18" s="367"/>
      <c r="CY18" s="363"/>
      <c r="CZ18" s="377"/>
      <c r="DA18" s="267"/>
      <c r="DB18" s="367"/>
      <c r="DC18" s="363"/>
    </row>
    <row r="19" spans="1:107" ht="115.5">
      <c r="A19" s="75">
        <v>3</v>
      </c>
      <c r="B19" s="121">
        <v>46234</v>
      </c>
      <c r="C19" s="75" t="s">
        <v>76</v>
      </c>
      <c r="D19" s="75" t="s">
        <v>77</v>
      </c>
      <c r="E19" s="122">
        <v>7506110697664</v>
      </c>
      <c r="F19" s="91" t="s">
        <v>1058</v>
      </c>
      <c r="G19" s="81" t="s">
        <v>1059</v>
      </c>
      <c r="H19" s="131" t="s">
        <v>60</v>
      </c>
      <c r="I19" s="124" t="s">
        <v>801</v>
      </c>
      <c r="J19" s="75" t="s">
        <v>1052</v>
      </c>
      <c r="K19" s="81" t="s">
        <v>1053</v>
      </c>
      <c r="L19" s="75">
        <v>1</v>
      </c>
      <c r="M19" s="125">
        <f t="shared" si="0"/>
        <v>0.39200000000000002</v>
      </c>
      <c r="N19" s="125">
        <v>0.49</v>
      </c>
      <c r="O19" s="125">
        <v>0</v>
      </c>
      <c r="P19" s="125">
        <v>0</v>
      </c>
      <c r="Q19" s="126">
        <v>0.49</v>
      </c>
      <c r="R19" s="126">
        <v>0</v>
      </c>
      <c r="S19" s="126" t="s">
        <v>69</v>
      </c>
      <c r="T19" s="127">
        <v>0.57999999999999996</v>
      </c>
      <c r="U19" s="29" t="s">
        <v>64</v>
      </c>
      <c r="V19" s="128">
        <v>5000</v>
      </c>
      <c r="W19" s="24">
        <f t="shared" si="16"/>
        <v>2.2404239999999995</v>
      </c>
      <c r="X19" s="24">
        <f t="shared" si="1"/>
        <v>0.80655263999999982</v>
      </c>
      <c r="Y19" s="24">
        <v>0.32</v>
      </c>
      <c r="Z19" s="24">
        <f t="shared" si="2"/>
        <v>3.3669766399999994</v>
      </c>
      <c r="AA19" s="88">
        <v>139</v>
      </c>
      <c r="AB19" s="24">
        <f t="shared" si="3"/>
        <v>119.82758620689656</v>
      </c>
      <c r="AC19" s="24">
        <f t="shared" si="4"/>
        <v>71.896551724137936</v>
      </c>
      <c r="AD19" s="27">
        <f t="shared" si="17"/>
        <v>4.6830850148681047E-2</v>
      </c>
      <c r="AE19" s="27">
        <f t="shared" si="5"/>
        <v>0.95316914985131895</v>
      </c>
      <c r="AF19" s="28">
        <f t="shared" si="6"/>
        <v>0.4</v>
      </c>
      <c r="AG19" s="81" t="s">
        <v>284</v>
      </c>
      <c r="AH19" s="128" t="s">
        <v>67</v>
      </c>
      <c r="AI19" s="29">
        <v>6</v>
      </c>
      <c r="AJ19" s="29">
        <f t="shared" si="7"/>
        <v>144</v>
      </c>
      <c r="AK19" s="91" t="s">
        <v>1054</v>
      </c>
      <c r="AL19" s="290">
        <v>46252</v>
      </c>
      <c r="AN19" s="129">
        <f t="shared" si="8"/>
        <v>0.20800000000000002</v>
      </c>
      <c r="AO19" s="129">
        <f t="shared" si="9"/>
        <v>0.17931034482758623</v>
      </c>
      <c r="AP19" s="130">
        <f t="shared" si="10"/>
        <v>4.4980820307692291</v>
      </c>
      <c r="AQ19" s="130">
        <f t="shared" si="11"/>
        <v>-3.4980820307692291</v>
      </c>
      <c r="AR19" s="33">
        <f t="shared" si="12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3"/>
        <v>7</v>
      </c>
      <c r="BL19" s="4">
        <f t="shared" si="14"/>
        <v>0.77777777777777779</v>
      </c>
      <c r="BM19" s="295"/>
      <c r="BN19" s="295"/>
      <c r="BO19" s="295"/>
      <c r="BP19" s="295"/>
      <c r="BQ19" s="295"/>
      <c r="BR19" s="282" t="str">
        <f t="shared" si="15"/>
        <v>En Producción. Termina en 31/May</v>
      </c>
      <c r="BS19" s="284">
        <f t="shared" si="18"/>
        <v>46252</v>
      </c>
      <c r="BT19" s="282" t="s">
        <v>1055</v>
      </c>
      <c r="CJ19" s="367"/>
      <c r="CK19" s="363"/>
      <c r="CL19" s="363"/>
      <c r="CM19" s="363"/>
      <c r="CN19" s="371"/>
      <c r="CO19" s="278"/>
      <c r="CP19" s="367"/>
      <c r="CQ19" s="363"/>
      <c r="CR19" s="373"/>
      <c r="CS19" s="268"/>
      <c r="CT19" s="367"/>
      <c r="CU19" s="363"/>
      <c r="CV19" s="377"/>
      <c r="CW19" s="267"/>
      <c r="CX19" s="367"/>
      <c r="CY19" s="363"/>
      <c r="CZ19" s="377"/>
      <c r="DA19" s="267"/>
      <c r="DB19" s="367"/>
      <c r="DC19" s="363"/>
    </row>
    <row r="20" spans="1:107" ht="115.5">
      <c r="A20" s="75">
        <v>4</v>
      </c>
      <c r="B20" s="121">
        <v>46234</v>
      </c>
      <c r="C20" s="75" t="s">
        <v>76</v>
      </c>
      <c r="D20" s="75" t="s">
        <v>77</v>
      </c>
      <c r="E20" s="122">
        <v>7506110697671</v>
      </c>
      <c r="F20" s="91" t="s">
        <v>1060</v>
      </c>
      <c r="G20" s="81" t="s">
        <v>1061</v>
      </c>
      <c r="H20" s="131" t="s">
        <v>60</v>
      </c>
      <c r="I20" s="124" t="s">
        <v>801</v>
      </c>
      <c r="J20" s="75" t="s">
        <v>1052</v>
      </c>
      <c r="K20" s="81" t="s">
        <v>1053</v>
      </c>
      <c r="L20" s="75">
        <v>1</v>
      </c>
      <c r="M20" s="125">
        <f t="shared" si="0"/>
        <v>0.39200000000000002</v>
      </c>
      <c r="N20" s="125">
        <v>0.49</v>
      </c>
      <c r="O20" s="125">
        <v>0</v>
      </c>
      <c r="P20" s="125">
        <v>0</v>
      </c>
      <c r="Q20" s="126">
        <v>0.49</v>
      </c>
      <c r="R20" s="126">
        <v>0</v>
      </c>
      <c r="S20" s="126" t="s">
        <v>69</v>
      </c>
      <c r="T20" s="127">
        <v>0.57999999999999996</v>
      </c>
      <c r="U20" s="29" t="s">
        <v>64</v>
      </c>
      <c r="V20" s="128">
        <v>5000</v>
      </c>
      <c r="W20" s="24">
        <f t="shared" si="16"/>
        <v>2.2404239999999995</v>
      </c>
      <c r="X20" s="24">
        <f t="shared" si="1"/>
        <v>0.80655263999999982</v>
      </c>
      <c r="Y20" s="24">
        <v>0.32</v>
      </c>
      <c r="Z20" s="24">
        <f t="shared" si="2"/>
        <v>3.3669766399999994</v>
      </c>
      <c r="AA20" s="88">
        <v>139</v>
      </c>
      <c r="AB20" s="24">
        <f t="shared" si="3"/>
        <v>119.82758620689656</v>
      </c>
      <c r="AC20" s="24">
        <f t="shared" si="4"/>
        <v>71.896551724137936</v>
      </c>
      <c r="AD20" s="27">
        <f t="shared" si="17"/>
        <v>4.6830850148681047E-2</v>
      </c>
      <c r="AE20" s="27">
        <f t="shared" si="5"/>
        <v>0.95316914985131895</v>
      </c>
      <c r="AF20" s="28">
        <f t="shared" si="6"/>
        <v>0.4</v>
      </c>
      <c r="AG20" s="81" t="s">
        <v>284</v>
      </c>
      <c r="AH20" s="128" t="s">
        <v>67</v>
      </c>
      <c r="AI20" s="29">
        <v>6</v>
      </c>
      <c r="AJ20" s="29">
        <f t="shared" si="7"/>
        <v>144</v>
      </c>
      <c r="AK20" s="91" t="s">
        <v>1054</v>
      </c>
      <c r="AL20" s="290">
        <v>46252</v>
      </c>
      <c r="AN20" s="129">
        <f t="shared" si="8"/>
        <v>0.20800000000000002</v>
      </c>
      <c r="AO20" s="129">
        <f t="shared" si="9"/>
        <v>0.17931034482758623</v>
      </c>
      <c r="AP20" s="130">
        <f t="shared" si="10"/>
        <v>4.4980820307692291</v>
      </c>
      <c r="AQ20" s="130">
        <f t="shared" si="11"/>
        <v>-3.4980820307692291</v>
      </c>
      <c r="AR20" s="33">
        <f t="shared" si="12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>
        <v>1</v>
      </c>
      <c r="BH20" s="3"/>
      <c r="BI20" s="3"/>
      <c r="BJ20" s="3">
        <v>9</v>
      </c>
      <c r="BK20" s="3">
        <f t="shared" si="13"/>
        <v>7</v>
      </c>
      <c r="BL20" s="4">
        <f t="shared" si="14"/>
        <v>0.77777777777777779</v>
      </c>
      <c r="BM20" s="295"/>
      <c r="BN20" s="295"/>
      <c r="BO20" s="295"/>
      <c r="BP20" s="295"/>
      <c r="BQ20" s="295"/>
      <c r="BR20" s="282" t="str">
        <f t="shared" si="15"/>
        <v>En Producción. Termina en 31/May</v>
      </c>
      <c r="BS20" s="284">
        <f t="shared" si="18"/>
        <v>46252</v>
      </c>
      <c r="BT20" s="282" t="s">
        <v>1055</v>
      </c>
      <c r="CJ20" s="367"/>
      <c r="CK20" s="363"/>
      <c r="CL20" s="363"/>
      <c r="CM20" s="363"/>
      <c r="CN20" s="371"/>
      <c r="CO20" s="278"/>
      <c r="CP20" s="367"/>
      <c r="CQ20" s="363"/>
      <c r="CR20" s="373"/>
      <c r="CS20" s="268"/>
      <c r="CT20" s="367"/>
      <c r="CU20" s="363"/>
      <c r="CV20" s="377"/>
      <c r="CW20" s="267"/>
      <c r="CX20" s="367"/>
      <c r="CY20" s="363"/>
      <c r="CZ20" s="377"/>
      <c r="DA20" s="267"/>
      <c r="DB20" s="367"/>
      <c r="DC20" s="363"/>
    </row>
    <row r="21" spans="1:107" ht="76.5">
      <c r="A21" s="75">
        <v>5</v>
      </c>
      <c r="B21" s="121">
        <v>46234</v>
      </c>
      <c r="C21" s="75" t="s">
        <v>76</v>
      </c>
      <c r="D21" s="75" t="s">
        <v>77</v>
      </c>
      <c r="E21" s="122">
        <v>7506110697688</v>
      </c>
      <c r="F21" s="91" t="s">
        <v>1062</v>
      </c>
      <c r="G21" s="81" t="s">
        <v>1063</v>
      </c>
      <c r="H21" s="131" t="s">
        <v>60</v>
      </c>
      <c r="I21" s="124" t="s">
        <v>343</v>
      </c>
      <c r="J21" s="75" t="s">
        <v>1052</v>
      </c>
      <c r="K21" s="81" t="s">
        <v>1053</v>
      </c>
      <c r="L21" s="75">
        <v>1</v>
      </c>
      <c r="M21" s="125">
        <f t="shared" si="0"/>
        <v>0.39200000000000002</v>
      </c>
      <c r="N21" s="125">
        <v>0.49</v>
      </c>
      <c r="O21" s="125">
        <v>0</v>
      </c>
      <c r="P21" s="125">
        <v>0</v>
      </c>
      <c r="Q21" s="126">
        <v>0.7</v>
      </c>
      <c r="R21" s="126">
        <v>0.49</v>
      </c>
      <c r="S21" s="126" t="s">
        <v>69</v>
      </c>
      <c r="T21" s="133">
        <v>0.52500000000000002</v>
      </c>
      <c r="U21" s="29" t="s">
        <v>64</v>
      </c>
      <c r="V21" s="128">
        <v>5000</v>
      </c>
      <c r="W21" s="24">
        <f t="shared" si="16"/>
        <v>2.0279699999999998</v>
      </c>
      <c r="X21" s="24">
        <f t="shared" si="1"/>
        <v>0.73006919999999986</v>
      </c>
      <c r="Y21" s="24">
        <v>0.43</v>
      </c>
      <c r="Z21" s="24">
        <f t="shared" si="2"/>
        <v>3.1880391999999995</v>
      </c>
      <c r="AA21" s="88">
        <v>119</v>
      </c>
      <c r="AB21" s="24">
        <f t="shared" si="3"/>
        <v>102.58620689655173</v>
      </c>
      <c r="AC21" s="24">
        <f t="shared" si="4"/>
        <v>61.551724137931032</v>
      </c>
      <c r="AD21" s="27">
        <f t="shared" si="17"/>
        <v>5.1794474397759097E-2</v>
      </c>
      <c r="AE21" s="27">
        <f t="shared" si="5"/>
        <v>0.94820552560224092</v>
      </c>
      <c r="AF21" s="28">
        <f t="shared" si="6"/>
        <v>0.4</v>
      </c>
      <c r="AG21" s="81" t="s">
        <v>284</v>
      </c>
      <c r="AH21" s="128" t="s">
        <v>67</v>
      </c>
      <c r="AI21" s="29">
        <v>6</v>
      </c>
      <c r="AJ21" s="29">
        <f t="shared" si="7"/>
        <v>144</v>
      </c>
      <c r="AK21" s="91" t="s">
        <v>1064</v>
      </c>
      <c r="AL21" s="290">
        <v>46242</v>
      </c>
      <c r="AN21" s="129">
        <f t="shared" si="8"/>
        <v>0.27950000000000003</v>
      </c>
      <c r="AO21" s="129">
        <f t="shared" si="9"/>
        <v>0.24094827586206902</v>
      </c>
      <c r="AP21" s="130">
        <f t="shared" si="10"/>
        <v>3.0299830840787108</v>
      </c>
      <c r="AQ21" s="130">
        <f t="shared" si="11"/>
        <v>-2.0299830840787108</v>
      </c>
      <c r="AR21" s="33">
        <f t="shared" si="12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>
        <v>1</v>
      </c>
      <c r="BH21" s="3"/>
      <c r="BI21" s="3"/>
      <c r="BJ21" s="3">
        <v>9</v>
      </c>
      <c r="BK21" s="3">
        <f t="shared" si="13"/>
        <v>7</v>
      </c>
      <c r="BL21" s="4">
        <f t="shared" si="14"/>
        <v>0.77777777777777779</v>
      </c>
      <c r="BM21" s="295"/>
      <c r="BN21" s="295"/>
      <c r="BO21" s="295"/>
      <c r="BP21" s="295"/>
      <c r="BQ21" s="295"/>
      <c r="BR21" s="282" t="str">
        <f t="shared" si="15"/>
        <v>Producción termina 25/May</v>
      </c>
      <c r="BS21" s="284">
        <f t="shared" si="18"/>
        <v>46242</v>
      </c>
      <c r="BT21" s="282" t="s">
        <v>1065</v>
      </c>
      <c r="CJ21" s="367"/>
      <c r="CK21" s="363"/>
      <c r="CL21" s="363"/>
      <c r="CM21" s="363"/>
      <c r="CN21" s="371"/>
      <c r="CO21" s="278"/>
      <c r="CP21" s="367"/>
      <c r="CQ21" s="363"/>
      <c r="CR21" s="373"/>
      <c r="CS21" s="268"/>
      <c r="CT21" s="367"/>
      <c r="CU21" s="363"/>
      <c r="CV21" s="377"/>
      <c r="CW21" s="267"/>
      <c r="CX21" s="367"/>
      <c r="CY21" s="363"/>
      <c r="CZ21" s="377"/>
      <c r="DA21" s="267"/>
      <c r="DB21" s="367"/>
      <c r="DC21" s="363"/>
    </row>
    <row r="22" spans="1:107" ht="76.5">
      <c r="A22" s="75">
        <v>6</v>
      </c>
      <c r="B22" s="121">
        <v>46234</v>
      </c>
      <c r="C22" s="75" t="s">
        <v>76</v>
      </c>
      <c r="D22" s="75" t="s">
        <v>77</v>
      </c>
      <c r="E22" s="122">
        <v>7506110697695</v>
      </c>
      <c r="F22" s="91" t="s">
        <v>1066</v>
      </c>
      <c r="G22" s="81" t="s">
        <v>1067</v>
      </c>
      <c r="H22" s="131" t="s">
        <v>60</v>
      </c>
      <c r="I22" s="124" t="s">
        <v>343</v>
      </c>
      <c r="J22" s="75" t="s">
        <v>1052</v>
      </c>
      <c r="K22" s="81" t="s">
        <v>1053</v>
      </c>
      <c r="L22" s="75">
        <v>1</v>
      </c>
      <c r="M22" s="125">
        <f t="shared" si="0"/>
        <v>0.39200000000000002</v>
      </c>
      <c r="N22" s="125">
        <v>0.49</v>
      </c>
      <c r="O22" s="125">
        <v>0</v>
      </c>
      <c r="P22" s="125">
        <v>0</v>
      </c>
      <c r="Q22" s="126">
        <v>0.7</v>
      </c>
      <c r="R22" s="126">
        <v>0.49</v>
      </c>
      <c r="S22" s="126" t="s">
        <v>69</v>
      </c>
      <c r="T22" s="133">
        <v>0.52500000000000002</v>
      </c>
      <c r="U22" s="29" t="s">
        <v>64</v>
      </c>
      <c r="V22" s="128">
        <v>5000</v>
      </c>
      <c r="W22" s="24">
        <f t="shared" si="16"/>
        <v>2.0279699999999998</v>
      </c>
      <c r="X22" s="24">
        <f t="shared" si="1"/>
        <v>0.73006919999999986</v>
      </c>
      <c r="Y22" s="24">
        <v>0.43</v>
      </c>
      <c r="Z22" s="24">
        <f t="shared" si="2"/>
        <v>3.1880391999999995</v>
      </c>
      <c r="AA22" s="88">
        <v>119</v>
      </c>
      <c r="AB22" s="24">
        <f t="shared" si="3"/>
        <v>102.58620689655173</v>
      </c>
      <c r="AC22" s="24">
        <f t="shared" si="4"/>
        <v>61.551724137931032</v>
      </c>
      <c r="AD22" s="27">
        <f t="shared" si="17"/>
        <v>5.1794474397759097E-2</v>
      </c>
      <c r="AE22" s="27">
        <f t="shared" si="5"/>
        <v>0.94820552560224092</v>
      </c>
      <c r="AF22" s="28">
        <f t="shared" si="6"/>
        <v>0.4</v>
      </c>
      <c r="AG22" s="81" t="s">
        <v>284</v>
      </c>
      <c r="AH22" s="128" t="s">
        <v>67</v>
      </c>
      <c r="AI22" s="29">
        <v>6</v>
      </c>
      <c r="AJ22" s="29">
        <f t="shared" si="7"/>
        <v>144</v>
      </c>
      <c r="AK22" s="91" t="s">
        <v>1064</v>
      </c>
      <c r="AL22" s="290">
        <v>46242</v>
      </c>
      <c r="AN22" s="129">
        <f t="shared" si="8"/>
        <v>0.27950000000000003</v>
      </c>
      <c r="AO22" s="129">
        <f t="shared" si="9"/>
        <v>0.24094827586206902</v>
      </c>
      <c r="AP22" s="130">
        <f t="shared" si="10"/>
        <v>3.0299830840787108</v>
      </c>
      <c r="AQ22" s="130">
        <f t="shared" si="11"/>
        <v>-2.0299830840787108</v>
      </c>
      <c r="AR22" s="33">
        <f t="shared" si="12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/>
      <c r="BI22" s="3"/>
      <c r="BJ22" s="3">
        <v>9</v>
      </c>
      <c r="BK22" s="3">
        <f t="shared" si="13"/>
        <v>7</v>
      </c>
      <c r="BL22" s="4">
        <f t="shared" si="14"/>
        <v>0.77777777777777779</v>
      </c>
      <c r="BM22" s="295"/>
      <c r="BN22" s="295"/>
      <c r="BO22" s="295"/>
      <c r="BP22" s="295"/>
      <c r="BQ22" s="295"/>
      <c r="BR22" s="282" t="str">
        <f t="shared" si="15"/>
        <v>Producción termina 25/May</v>
      </c>
      <c r="BS22" s="284">
        <f t="shared" si="18"/>
        <v>46242</v>
      </c>
      <c r="BT22" s="282" t="s">
        <v>1065</v>
      </c>
      <c r="CJ22" s="367"/>
      <c r="CK22" s="363"/>
      <c r="CL22" s="363"/>
      <c r="CM22" s="363"/>
      <c r="CN22" s="371"/>
      <c r="CO22" s="278"/>
      <c r="CP22" s="367"/>
      <c r="CQ22" s="363"/>
      <c r="CR22" s="373"/>
      <c r="CS22" s="268"/>
      <c r="CT22" s="367"/>
      <c r="CU22" s="363"/>
      <c r="CV22" s="377"/>
      <c r="CW22" s="267"/>
      <c r="CX22" s="367"/>
      <c r="CY22" s="363"/>
      <c r="CZ22" s="377"/>
      <c r="DA22" s="267"/>
      <c r="DB22" s="367"/>
      <c r="DC22" s="363"/>
    </row>
    <row r="23" spans="1:107" ht="76.5">
      <c r="A23" s="75">
        <v>7</v>
      </c>
      <c r="B23" s="121">
        <v>46234</v>
      </c>
      <c r="C23" s="75" t="s">
        <v>76</v>
      </c>
      <c r="D23" s="75" t="s">
        <v>77</v>
      </c>
      <c r="E23" s="122">
        <v>7506110697701</v>
      </c>
      <c r="F23" s="91" t="s">
        <v>1068</v>
      </c>
      <c r="G23" s="81" t="s">
        <v>1069</v>
      </c>
      <c r="H23" s="131" t="s">
        <v>60</v>
      </c>
      <c r="I23" s="124" t="s">
        <v>343</v>
      </c>
      <c r="J23" s="75" t="s">
        <v>1052</v>
      </c>
      <c r="K23" s="81" t="s">
        <v>1053</v>
      </c>
      <c r="L23" s="75">
        <v>1</v>
      </c>
      <c r="M23" s="125">
        <f t="shared" si="0"/>
        <v>0.39200000000000002</v>
      </c>
      <c r="N23" s="125">
        <v>0.49</v>
      </c>
      <c r="O23" s="125">
        <v>0</v>
      </c>
      <c r="P23" s="125">
        <v>0</v>
      </c>
      <c r="Q23" s="126">
        <v>0.7</v>
      </c>
      <c r="R23" s="126">
        <v>0.49</v>
      </c>
      <c r="S23" s="126" t="s">
        <v>69</v>
      </c>
      <c r="T23" s="133">
        <v>0.52500000000000002</v>
      </c>
      <c r="U23" s="29" t="s">
        <v>64</v>
      </c>
      <c r="V23" s="128">
        <v>5000</v>
      </c>
      <c r="W23" s="24">
        <f t="shared" si="16"/>
        <v>2.0279699999999998</v>
      </c>
      <c r="X23" s="24">
        <f t="shared" si="1"/>
        <v>0.73006919999999986</v>
      </c>
      <c r="Y23" s="24">
        <v>0.43</v>
      </c>
      <c r="Z23" s="24">
        <f t="shared" si="2"/>
        <v>3.1880391999999995</v>
      </c>
      <c r="AA23" s="88">
        <v>119</v>
      </c>
      <c r="AB23" s="24">
        <f t="shared" si="3"/>
        <v>102.58620689655173</v>
      </c>
      <c r="AC23" s="24">
        <f t="shared" si="4"/>
        <v>61.551724137931032</v>
      </c>
      <c r="AD23" s="27">
        <f t="shared" si="17"/>
        <v>5.1794474397759097E-2</v>
      </c>
      <c r="AE23" s="27">
        <f t="shared" si="5"/>
        <v>0.94820552560224092</v>
      </c>
      <c r="AF23" s="28">
        <f t="shared" si="6"/>
        <v>0.4</v>
      </c>
      <c r="AG23" s="81" t="s">
        <v>284</v>
      </c>
      <c r="AH23" s="128" t="s">
        <v>67</v>
      </c>
      <c r="AI23" s="29">
        <v>6</v>
      </c>
      <c r="AJ23" s="29">
        <f t="shared" si="7"/>
        <v>144</v>
      </c>
      <c r="AK23" s="91" t="s">
        <v>1064</v>
      </c>
      <c r="AL23" s="290">
        <v>46242</v>
      </c>
      <c r="AN23" s="129">
        <f t="shared" si="8"/>
        <v>0.27950000000000003</v>
      </c>
      <c r="AO23" s="129">
        <f t="shared" si="9"/>
        <v>0.24094827586206902</v>
      </c>
      <c r="AP23" s="130">
        <f t="shared" si="10"/>
        <v>3.0299830840787108</v>
      </c>
      <c r="AQ23" s="130">
        <f t="shared" si="11"/>
        <v>-2.0299830840787108</v>
      </c>
      <c r="AR23" s="33">
        <f t="shared" si="12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/>
      <c r="BI23" s="3"/>
      <c r="BJ23" s="3">
        <v>9</v>
      </c>
      <c r="BK23" s="3">
        <f t="shared" si="13"/>
        <v>7</v>
      </c>
      <c r="BL23" s="4">
        <f t="shared" si="14"/>
        <v>0.77777777777777779</v>
      </c>
      <c r="BM23" s="295"/>
      <c r="BN23" s="295"/>
      <c r="BO23" s="295"/>
      <c r="BP23" s="295"/>
      <c r="BQ23" s="295"/>
      <c r="BR23" s="282" t="str">
        <f t="shared" si="15"/>
        <v>Producción termina 25/May</v>
      </c>
      <c r="BS23" s="284">
        <f t="shared" si="18"/>
        <v>46242</v>
      </c>
      <c r="BT23" s="282" t="s">
        <v>1065</v>
      </c>
      <c r="CJ23" s="367"/>
      <c r="CK23" s="363"/>
      <c r="CL23" s="363"/>
      <c r="CM23" s="363"/>
      <c r="CN23" s="371"/>
      <c r="CO23" s="278"/>
      <c r="CP23" s="367"/>
      <c r="CQ23" s="363"/>
      <c r="CR23" s="373"/>
      <c r="CS23" s="268"/>
      <c r="CT23" s="367"/>
      <c r="CU23" s="363"/>
      <c r="CV23" s="377"/>
      <c r="CW23" s="267"/>
      <c r="CX23" s="367"/>
      <c r="CY23" s="363"/>
      <c r="CZ23" s="377"/>
      <c r="DA23" s="267"/>
      <c r="DB23" s="367"/>
      <c r="DC23" s="363"/>
    </row>
    <row r="24" spans="1:107" ht="76.5">
      <c r="A24" s="75">
        <v>8</v>
      </c>
      <c r="B24" s="121">
        <v>46234</v>
      </c>
      <c r="C24" s="75" t="s">
        <v>76</v>
      </c>
      <c r="D24" s="75" t="s">
        <v>77</v>
      </c>
      <c r="E24" s="122">
        <v>7506110697718</v>
      </c>
      <c r="F24" s="91" t="s">
        <v>1070</v>
      </c>
      <c r="G24" s="81" t="s">
        <v>1071</v>
      </c>
      <c r="H24" s="131" t="s">
        <v>60</v>
      </c>
      <c r="I24" s="124" t="s">
        <v>343</v>
      </c>
      <c r="J24" s="75" t="s">
        <v>1052</v>
      </c>
      <c r="K24" s="81" t="s">
        <v>1053</v>
      </c>
      <c r="L24" s="75">
        <v>1</v>
      </c>
      <c r="M24" s="125">
        <f t="shared" si="0"/>
        <v>0.39200000000000002</v>
      </c>
      <c r="N24" s="125">
        <v>0.49</v>
      </c>
      <c r="O24" s="125">
        <v>0</v>
      </c>
      <c r="P24" s="125">
        <v>0</v>
      </c>
      <c r="Q24" s="126">
        <v>0.7</v>
      </c>
      <c r="R24" s="126">
        <v>0.49</v>
      </c>
      <c r="S24" s="126" t="s">
        <v>69</v>
      </c>
      <c r="T24" s="133">
        <v>0.52500000000000002</v>
      </c>
      <c r="U24" s="29" t="s">
        <v>64</v>
      </c>
      <c r="V24" s="128">
        <v>5000</v>
      </c>
      <c r="W24" s="24">
        <f t="shared" si="16"/>
        <v>2.0279699999999998</v>
      </c>
      <c r="X24" s="24">
        <f t="shared" si="1"/>
        <v>0.73006919999999986</v>
      </c>
      <c r="Y24" s="24">
        <v>0.43</v>
      </c>
      <c r="Z24" s="24">
        <f t="shared" si="2"/>
        <v>3.1880391999999995</v>
      </c>
      <c r="AA24" s="88">
        <v>119</v>
      </c>
      <c r="AB24" s="24">
        <f t="shared" si="3"/>
        <v>102.58620689655173</v>
      </c>
      <c r="AC24" s="24">
        <f t="shared" si="4"/>
        <v>61.551724137931032</v>
      </c>
      <c r="AD24" s="27">
        <f t="shared" si="17"/>
        <v>5.1794474397759097E-2</v>
      </c>
      <c r="AE24" s="27">
        <f t="shared" si="5"/>
        <v>0.94820552560224092</v>
      </c>
      <c r="AF24" s="28">
        <f t="shared" si="6"/>
        <v>0.4</v>
      </c>
      <c r="AG24" s="81" t="s">
        <v>284</v>
      </c>
      <c r="AH24" s="128" t="s">
        <v>67</v>
      </c>
      <c r="AI24" s="29">
        <v>6</v>
      </c>
      <c r="AJ24" s="29">
        <f t="shared" si="7"/>
        <v>144</v>
      </c>
      <c r="AK24" s="91" t="s">
        <v>1064</v>
      </c>
      <c r="AL24" s="290">
        <v>46242</v>
      </c>
      <c r="AN24" s="129">
        <f t="shared" si="8"/>
        <v>0.27950000000000003</v>
      </c>
      <c r="AO24" s="129">
        <f t="shared" si="9"/>
        <v>0.24094827586206902</v>
      </c>
      <c r="AP24" s="130">
        <f t="shared" si="10"/>
        <v>3.0299830840787108</v>
      </c>
      <c r="AQ24" s="130">
        <f t="shared" si="11"/>
        <v>-2.0299830840787108</v>
      </c>
      <c r="AR24" s="33">
        <f t="shared" si="12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/>
      <c r="BI24" s="3"/>
      <c r="BJ24" s="3">
        <v>9</v>
      </c>
      <c r="BK24" s="3">
        <f t="shared" si="13"/>
        <v>7</v>
      </c>
      <c r="BL24" s="4">
        <f t="shared" si="14"/>
        <v>0.77777777777777779</v>
      </c>
      <c r="BM24" s="295"/>
      <c r="BN24" s="295"/>
      <c r="BO24" s="295"/>
      <c r="BP24" s="295"/>
      <c r="BQ24" s="295"/>
      <c r="BR24" s="282" t="str">
        <f t="shared" si="15"/>
        <v>Producción termina 25/May</v>
      </c>
      <c r="BS24" s="284">
        <f t="shared" si="18"/>
        <v>46242</v>
      </c>
      <c r="BT24" s="282" t="s">
        <v>1065</v>
      </c>
      <c r="CJ24" s="367"/>
      <c r="CK24" s="363"/>
      <c r="CL24" s="363"/>
      <c r="CM24" s="363"/>
      <c r="CN24" s="371"/>
      <c r="CO24" s="278"/>
      <c r="CP24" s="367"/>
      <c r="CQ24" s="363"/>
      <c r="CR24" s="373"/>
      <c r="CS24" s="268"/>
      <c r="CT24" s="367"/>
      <c r="CU24" s="363"/>
      <c r="CV24" s="377"/>
      <c r="CW24" s="267"/>
      <c r="CX24" s="367"/>
      <c r="CY24" s="363"/>
      <c r="CZ24" s="377"/>
      <c r="DA24" s="267"/>
      <c r="DB24" s="367"/>
      <c r="DC24" s="363"/>
    </row>
    <row r="25" spans="1:107" ht="115.5">
      <c r="A25" s="75">
        <v>9</v>
      </c>
      <c r="B25" s="121">
        <v>46234</v>
      </c>
      <c r="C25" s="75" t="s">
        <v>76</v>
      </c>
      <c r="D25" s="75" t="s">
        <v>77</v>
      </c>
      <c r="E25" s="122">
        <v>7506110697725</v>
      </c>
      <c r="F25" s="91" t="s">
        <v>1072</v>
      </c>
      <c r="G25" s="81" t="s">
        <v>1073</v>
      </c>
      <c r="H25" s="131" t="s">
        <v>60</v>
      </c>
      <c r="I25" s="124" t="s">
        <v>1074</v>
      </c>
      <c r="J25" s="75" t="s">
        <v>1052</v>
      </c>
      <c r="K25" s="81" t="s">
        <v>1053</v>
      </c>
      <c r="L25" s="75">
        <v>1</v>
      </c>
      <c r="M25" s="125">
        <f t="shared" si="0"/>
        <v>0.35200000000000004</v>
      </c>
      <c r="N25" s="125">
        <v>0.44</v>
      </c>
      <c r="O25" s="125">
        <v>0</v>
      </c>
      <c r="P25" s="125">
        <v>0</v>
      </c>
      <c r="Q25" s="126">
        <f>+N25</f>
        <v>0.44</v>
      </c>
      <c r="R25" s="126">
        <v>0.44</v>
      </c>
      <c r="S25" s="126" t="s">
        <v>69</v>
      </c>
      <c r="T25" s="133">
        <v>0.53</v>
      </c>
      <c r="U25" s="29" t="s">
        <v>64</v>
      </c>
      <c r="V25" s="128">
        <v>10000</v>
      </c>
      <c r="W25" s="24">
        <f t="shared" si="16"/>
        <v>2.0472839999999999</v>
      </c>
      <c r="X25" s="24">
        <f t="shared" si="1"/>
        <v>0.73702223999999994</v>
      </c>
      <c r="Y25" s="24">
        <v>0.35</v>
      </c>
      <c r="Z25" s="24">
        <f t="shared" si="2"/>
        <v>3.1343062399999999</v>
      </c>
      <c r="AA25" s="88">
        <v>119</v>
      </c>
      <c r="AB25" s="24">
        <f t="shared" si="3"/>
        <v>102.58620689655173</v>
      </c>
      <c r="AC25" s="24">
        <f t="shared" si="4"/>
        <v>61.551724137931032</v>
      </c>
      <c r="AD25" s="27">
        <f t="shared" si="17"/>
        <v>5.0921501938375351E-2</v>
      </c>
      <c r="AE25" s="27">
        <f t="shared" si="5"/>
        <v>0.9490784980616247</v>
      </c>
      <c r="AF25" s="28">
        <f t="shared" si="6"/>
        <v>0.4</v>
      </c>
      <c r="AG25" s="81" t="s">
        <v>284</v>
      </c>
      <c r="AH25" s="128" t="s">
        <v>67</v>
      </c>
      <c r="AI25" s="29">
        <v>6</v>
      </c>
      <c r="AJ25" s="29">
        <f t="shared" si="7"/>
        <v>144</v>
      </c>
      <c r="AK25" s="91" t="s">
        <v>1054</v>
      </c>
      <c r="AL25" s="290">
        <v>46252</v>
      </c>
      <c r="AN25" s="129">
        <f t="shared" si="8"/>
        <v>0.22749999999999998</v>
      </c>
      <c r="AO25" s="129">
        <f t="shared" si="9"/>
        <v>0.1961206896551724</v>
      </c>
      <c r="AP25" s="130">
        <f t="shared" si="10"/>
        <v>3.7580035094505493</v>
      </c>
      <c r="AQ25" s="130">
        <f t="shared" si="11"/>
        <v>-2.7580035094505493</v>
      </c>
      <c r="AR25" s="33">
        <f t="shared" si="12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/>
      <c r="BI25" s="3"/>
      <c r="BJ25" s="3">
        <v>9</v>
      </c>
      <c r="BK25" s="3">
        <f t="shared" si="13"/>
        <v>7</v>
      </c>
      <c r="BL25" s="4">
        <f t="shared" si="14"/>
        <v>0.77777777777777779</v>
      </c>
      <c r="BM25" s="295"/>
      <c r="BN25" s="295"/>
      <c r="BO25" s="295"/>
      <c r="BP25" s="295"/>
      <c r="BQ25" s="295"/>
      <c r="BR25" s="282" t="str">
        <f t="shared" si="15"/>
        <v>En Producción. Termina en 31/May</v>
      </c>
      <c r="BS25" s="284">
        <f t="shared" si="18"/>
        <v>46252</v>
      </c>
      <c r="BT25" s="282" t="s">
        <v>1055</v>
      </c>
      <c r="CJ25" s="367"/>
      <c r="CK25" s="363"/>
      <c r="CL25" s="363"/>
      <c r="CM25" s="363"/>
      <c r="CN25" s="371"/>
      <c r="CO25" s="278"/>
      <c r="CP25" s="367"/>
      <c r="CQ25" s="363"/>
      <c r="CR25" s="373"/>
      <c r="CS25" s="268"/>
      <c r="CT25" s="367"/>
      <c r="CU25" s="363"/>
      <c r="CV25" s="377"/>
      <c r="CW25" s="267"/>
      <c r="CX25" s="367"/>
      <c r="CY25" s="363"/>
      <c r="CZ25" s="377"/>
      <c r="DA25" s="267"/>
      <c r="DB25" s="367"/>
      <c r="DC25" s="363"/>
    </row>
    <row r="26" spans="1:107" ht="115.5">
      <c r="A26" s="75">
        <v>10</v>
      </c>
      <c r="B26" s="121">
        <v>46234</v>
      </c>
      <c r="C26" s="75" t="s">
        <v>76</v>
      </c>
      <c r="D26" s="75" t="s">
        <v>77</v>
      </c>
      <c r="E26" s="122">
        <v>7506110697732</v>
      </c>
      <c r="F26" s="91" t="s">
        <v>1075</v>
      </c>
      <c r="G26" s="81" t="s">
        <v>1076</v>
      </c>
      <c r="H26" s="131" t="s">
        <v>60</v>
      </c>
      <c r="I26" s="124" t="s">
        <v>1074</v>
      </c>
      <c r="J26" s="75" t="s">
        <v>1052</v>
      </c>
      <c r="K26" s="81" t="s">
        <v>1053</v>
      </c>
      <c r="L26" s="75">
        <v>1</v>
      </c>
      <c r="M26" s="125">
        <f t="shared" si="0"/>
        <v>0.35200000000000004</v>
      </c>
      <c r="N26" s="125">
        <v>0.44</v>
      </c>
      <c r="O26" s="125">
        <v>0</v>
      </c>
      <c r="P26" s="125">
        <v>0</v>
      </c>
      <c r="Q26" s="126">
        <f>+N26</f>
        <v>0.44</v>
      </c>
      <c r="R26" s="126">
        <v>0.44</v>
      </c>
      <c r="S26" s="126" t="s">
        <v>69</v>
      </c>
      <c r="T26" s="133">
        <v>0.53</v>
      </c>
      <c r="U26" s="29" t="s">
        <v>64</v>
      </c>
      <c r="V26" s="128">
        <v>10000</v>
      </c>
      <c r="W26" s="24">
        <f t="shared" si="16"/>
        <v>2.0472839999999999</v>
      </c>
      <c r="X26" s="24">
        <f t="shared" si="1"/>
        <v>0.73702223999999994</v>
      </c>
      <c r="Y26" s="24">
        <v>0.35</v>
      </c>
      <c r="Z26" s="24">
        <f t="shared" si="2"/>
        <v>3.1343062399999999</v>
      </c>
      <c r="AA26" s="88">
        <v>119</v>
      </c>
      <c r="AB26" s="24">
        <f t="shared" si="3"/>
        <v>102.58620689655173</v>
      </c>
      <c r="AC26" s="24">
        <f t="shared" si="4"/>
        <v>61.551724137931032</v>
      </c>
      <c r="AD26" s="27">
        <f t="shared" si="17"/>
        <v>5.0921501938375351E-2</v>
      </c>
      <c r="AE26" s="27">
        <f t="shared" si="5"/>
        <v>0.9490784980616247</v>
      </c>
      <c r="AF26" s="28">
        <f t="shared" si="6"/>
        <v>0.4</v>
      </c>
      <c r="AG26" s="81" t="s">
        <v>284</v>
      </c>
      <c r="AH26" s="128" t="s">
        <v>67</v>
      </c>
      <c r="AI26" s="29">
        <v>6</v>
      </c>
      <c r="AJ26" s="29">
        <f t="shared" si="7"/>
        <v>144</v>
      </c>
      <c r="AK26" s="91" t="s">
        <v>1054</v>
      </c>
      <c r="AL26" s="290">
        <v>46252</v>
      </c>
      <c r="AN26" s="129">
        <f t="shared" si="8"/>
        <v>0.22749999999999998</v>
      </c>
      <c r="AO26" s="129">
        <f t="shared" si="9"/>
        <v>0.1961206896551724</v>
      </c>
      <c r="AP26" s="130">
        <f t="shared" si="10"/>
        <v>3.7580035094505493</v>
      </c>
      <c r="AQ26" s="130">
        <f t="shared" si="11"/>
        <v>-2.7580035094505493</v>
      </c>
      <c r="AR26" s="33">
        <f t="shared" si="12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>
        <v>1</v>
      </c>
      <c r="BH26" s="3"/>
      <c r="BI26" s="3"/>
      <c r="BJ26" s="3">
        <v>9</v>
      </c>
      <c r="BK26" s="3">
        <f t="shared" si="13"/>
        <v>7</v>
      </c>
      <c r="BL26" s="4">
        <f t="shared" si="14"/>
        <v>0.77777777777777779</v>
      </c>
      <c r="BM26" s="295"/>
      <c r="BN26" s="295"/>
      <c r="BO26" s="295"/>
      <c r="BP26" s="295"/>
      <c r="BQ26" s="295"/>
      <c r="BR26" s="282" t="str">
        <f t="shared" si="15"/>
        <v>En Producción. Termina en 31/May</v>
      </c>
      <c r="BS26" s="284">
        <f t="shared" si="18"/>
        <v>46252</v>
      </c>
      <c r="BT26" s="282" t="s">
        <v>1055</v>
      </c>
      <c r="CJ26" s="367"/>
      <c r="CK26" s="363"/>
      <c r="CL26" s="363"/>
      <c r="CM26" s="363"/>
      <c r="CN26" s="371"/>
      <c r="CO26" s="278"/>
      <c r="CP26" s="367"/>
      <c r="CQ26" s="363"/>
      <c r="CR26" s="373"/>
      <c r="CS26" s="268"/>
      <c r="CT26" s="367"/>
      <c r="CU26" s="363"/>
      <c r="CV26" s="377"/>
      <c r="CW26" s="267"/>
      <c r="CX26" s="367"/>
      <c r="CY26" s="363"/>
      <c r="CZ26" s="377"/>
      <c r="DA26" s="267"/>
      <c r="DB26" s="367"/>
      <c r="DC26" s="363"/>
    </row>
    <row r="27" spans="1:107" ht="115.5">
      <c r="A27" s="75">
        <v>11</v>
      </c>
      <c r="B27" s="121">
        <v>46234</v>
      </c>
      <c r="C27" s="75" t="s">
        <v>76</v>
      </c>
      <c r="D27" s="75" t="s">
        <v>77</v>
      </c>
      <c r="E27" s="122">
        <v>7506110697749</v>
      </c>
      <c r="F27" s="91" t="s">
        <v>1077</v>
      </c>
      <c r="G27" s="81" t="s">
        <v>1078</v>
      </c>
      <c r="H27" s="131" t="s">
        <v>60</v>
      </c>
      <c r="I27" s="124" t="s">
        <v>1074</v>
      </c>
      <c r="J27" s="75" t="s">
        <v>1052</v>
      </c>
      <c r="K27" s="81" t="s">
        <v>1053</v>
      </c>
      <c r="L27" s="75">
        <v>1</v>
      </c>
      <c r="M27" s="125">
        <f t="shared" si="0"/>
        <v>0.35200000000000004</v>
      </c>
      <c r="N27" s="125">
        <v>0.44</v>
      </c>
      <c r="O27" s="125">
        <v>0</v>
      </c>
      <c r="P27" s="125">
        <v>0</v>
      </c>
      <c r="Q27" s="126">
        <f>+N27</f>
        <v>0.44</v>
      </c>
      <c r="R27" s="126">
        <v>0.44</v>
      </c>
      <c r="S27" s="126" t="s">
        <v>69</v>
      </c>
      <c r="T27" s="133">
        <v>0.53</v>
      </c>
      <c r="U27" s="29" t="s">
        <v>64</v>
      </c>
      <c r="V27" s="128">
        <v>10000</v>
      </c>
      <c r="W27" s="24">
        <f t="shared" si="16"/>
        <v>2.0472839999999999</v>
      </c>
      <c r="X27" s="24">
        <f t="shared" si="1"/>
        <v>0.73702223999999994</v>
      </c>
      <c r="Y27" s="24">
        <v>0.35</v>
      </c>
      <c r="Z27" s="24">
        <f t="shared" si="2"/>
        <v>3.1343062399999999</v>
      </c>
      <c r="AA27" s="88">
        <v>119</v>
      </c>
      <c r="AB27" s="24">
        <f t="shared" si="3"/>
        <v>102.58620689655173</v>
      </c>
      <c r="AC27" s="24">
        <f t="shared" si="4"/>
        <v>61.551724137931032</v>
      </c>
      <c r="AD27" s="27">
        <f t="shared" si="17"/>
        <v>5.0921501938375351E-2</v>
      </c>
      <c r="AE27" s="27">
        <f t="shared" si="5"/>
        <v>0.9490784980616247</v>
      </c>
      <c r="AF27" s="28">
        <f t="shared" si="6"/>
        <v>0.4</v>
      </c>
      <c r="AG27" s="81" t="s">
        <v>284</v>
      </c>
      <c r="AH27" s="128" t="s">
        <v>67</v>
      </c>
      <c r="AI27" s="29">
        <v>6</v>
      </c>
      <c r="AJ27" s="29">
        <f t="shared" si="7"/>
        <v>144</v>
      </c>
      <c r="AK27" s="91" t="s">
        <v>1054</v>
      </c>
      <c r="AL27" s="290">
        <v>46252</v>
      </c>
      <c r="AN27" s="129">
        <f t="shared" si="8"/>
        <v>0.22749999999999998</v>
      </c>
      <c r="AO27" s="129">
        <f t="shared" si="9"/>
        <v>0.1961206896551724</v>
      </c>
      <c r="AP27" s="130">
        <f t="shared" si="10"/>
        <v>3.7580035094505493</v>
      </c>
      <c r="AQ27" s="130">
        <f t="shared" si="11"/>
        <v>-2.7580035094505493</v>
      </c>
      <c r="AR27" s="33">
        <f t="shared" si="12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>
        <v>1</v>
      </c>
      <c r="BH27" s="3"/>
      <c r="BI27" s="3"/>
      <c r="BJ27" s="3">
        <v>9</v>
      </c>
      <c r="BK27" s="3">
        <f t="shared" si="13"/>
        <v>7</v>
      </c>
      <c r="BL27" s="4">
        <f t="shared" si="14"/>
        <v>0.77777777777777779</v>
      </c>
      <c r="BM27" s="295"/>
      <c r="BN27" s="295"/>
      <c r="BO27" s="295"/>
      <c r="BP27" s="295"/>
      <c r="BQ27" s="295"/>
      <c r="BR27" s="282" t="str">
        <f t="shared" si="15"/>
        <v>En Producción. Termina en 31/May</v>
      </c>
      <c r="BS27" s="284">
        <f t="shared" si="18"/>
        <v>46252</v>
      </c>
      <c r="BT27" s="282" t="s">
        <v>1055</v>
      </c>
      <c r="CJ27" s="367"/>
      <c r="CK27" s="363"/>
      <c r="CL27" s="363"/>
      <c r="CM27" s="363"/>
      <c r="CN27" s="371"/>
      <c r="CO27" s="278"/>
      <c r="CP27" s="367"/>
      <c r="CQ27" s="363"/>
      <c r="CR27" s="373"/>
      <c r="CS27" s="268"/>
      <c r="CT27" s="367"/>
      <c r="CU27" s="363"/>
      <c r="CV27" s="377"/>
      <c r="CW27" s="267"/>
      <c r="CX27" s="367"/>
      <c r="CY27" s="363"/>
      <c r="CZ27" s="377"/>
      <c r="DA27" s="267"/>
      <c r="DB27" s="367"/>
      <c r="DC27" s="363"/>
    </row>
    <row r="28" spans="1:107" ht="115.5">
      <c r="A28" s="75">
        <v>12</v>
      </c>
      <c r="B28" s="121">
        <v>46234</v>
      </c>
      <c r="C28" s="75" t="s">
        <v>76</v>
      </c>
      <c r="D28" s="75" t="s">
        <v>77</v>
      </c>
      <c r="E28" s="122">
        <v>7506110697756</v>
      </c>
      <c r="F28" s="91" t="s">
        <v>1079</v>
      </c>
      <c r="G28" s="81" t="s">
        <v>1080</v>
      </c>
      <c r="H28" s="131" t="s">
        <v>60</v>
      </c>
      <c r="I28" s="124" t="s">
        <v>1074</v>
      </c>
      <c r="J28" s="75" t="s">
        <v>1052</v>
      </c>
      <c r="K28" s="81" t="s">
        <v>1053</v>
      </c>
      <c r="L28" s="75">
        <v>1</v>
      </c>
      <c r="M28" s="125">
        <f t="shared" si="0"/>
        <v>0.35200000000000004</v>
      </c>
      <c r="N28" s="125">
        <v>0.44</v>
      </c>
      <c r="O28" s="125">
        <v>0</v>
      </c>
      <c r="P28" s="125">
        <v>0</v>
      </c>
      <c r="Q28" s="126">
        <f>+N28</f>
        <v>0.44</v>
      </c>
      <c r="R28" s="126">
        <v>0.44</v>
      </c>
      <c r="S28" s="126" t="s">
        <v>69</v>
      </c>
      <c r="T28" s="133">
        <v>0.53</v>
      </c>
      <c r="U28" s="29" t="s">
        <v>64</v>
      </c>
      <c r="V28" s="128">
        <v>10000</v>
      </c>
      <c r="W28" s="24">
        <f t="shared" si="16"/>
        <v>2.0472839999999999</v>
      </c>
      <c r="X28" s="24">
        <f t="shared" si="1"/>
        <v>0.73702223999999994</v>
      </c>
      <c r="Y28" s="24">
        <v>0.35</v>
      </c>
      <c r="Z28" s="24">
        <f t="shared" si="2"/>
        <v>3.1343062399999999</v>
      </c>
      <c r="AA28" s="88">
        <v>119</v>
      </c>
      <c r="AB28" s="24">
        <f t="shared" si="3"/>
        <v>102.58620689655173</v>
      </c>
      <c r="AC28" s="24">
        <f t="shared" si="4"/>
        <v>61.551724137931032</v>
      </c>
      <c r="AD28" s="27">
        <f t="shared" si="17"/>
        <v>5.0921501938375351E-2</v>
      </c>
      <c r="AE28" s="27">
        <f t="shared" si="5"/>
        <v>0.9490784980616247</v>
      </c>
      <c r="AF28" s="28">
        <f t="shared" si="6"/>
        <v>0.4</v>
      </c>
      <c r="AG28" s="81" t="s">
        <v>284</v>
      </c>
      <c r="AH28" s="128" t="s">
        <v>67</v>
      </c>
      <c r="AI28" s="29">
        <v>6</v>
      </c>
      <c r="AJ28" s="29">
        <f t="shared" si="7"/>
        <v>144</v>
      </c>
      <c r="AK28" s="91" t="s">
        <v>1054</v>
      </c>
      <c r="AL28" s="290">
        <v>46252</v>
      </c>
      <c r="AN28" s="129">
        <f t="shared" si="8"/>
        <v>0.22749999999999998</v>
      </c>
      <c r="AO28" s="129">
        <f t="shared" si="9"/>
        <v>0.1961206896551724</v>
      </c>
      <c r="AP28" s="130">
        <f t="shared" si="10"/>
        <v>3.7580035094505493</v>
      </c>
      <c r="AQ28" s="130">
        <f t="shared" si="11"/>
        <v>-2.7580035094505493</v>
      </c>
      <c r="AR28" s="33">
        <f t="shared" si="12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>
        <v>1</v>
      </c>
      <c r="BH28" s="3"/>
      <c r="BI28" s="3"/>
      <c r="BJ28" s="3">
        <v>9</v>
      </c>
      <c r="BK28" s="3">
        <f t="shared" si="13"/>
        <v>7</v>
      </c>
      <c r="BL28" s="4">
        <f t="shared" si="14"/>
        <v>0.77777777777777779</v>
      </c>
      <c r="BM28" s="295"/>
      <c r="BN28" s="295"/>
      <c r="BO28" s="295"/>
      <c r="BP28" s="295"/>
      <c r="BQ28" s="295"/>
      <c r="BR28" s="282" t="str">
        <f t="shared" si="15"/>
        <v>En Producción. Termina en 31/May</v>
      </c>
      <c r="BS28" s="284">
        <f t="shared" si="18"/>
        <v>46252</v>
      </c>
      <c r="BT28" s="282" t="s">
        <v>1055</v>
      </c>
      <c r="CJ28" s="367"/>
      <c r="CK28" s="363"/>
      <c r="CL28" s="363"/>
      <c r="CM28" s="363"/>
      <c r="CN28" s="371"/>
      <c r="CO28" s="278"/>
      <c r="CP28" s="367"/>
      <c r="CQ28" s="363"/>
      <c r="CR28" s="373"/>
      <c r="CS28" s="268"/>
      <c r="CT28" s="367"/>
      <c r="CU28" s="363"/>
      <c r="CV28" s="377"/>
      <c r="CW28" s="267"/>
      <c r="CX28" s="367"/>
      <c r="CY28" s="363"/>
      <c r="CZ28" s="377"/>
      <c r="DA28" s="267"/>
      <c r="DB28" s="367"/>
      <c r="DC28" s="363"/>
    </row>
    <row r="29" spans="1:107" ht="115.5">
      <c r="A29" s="75">
        <v>13</v>
      </c>
      <c r="B29" s="121">
        <v>46234</v>
      </c>
      <c r="C29" s="75" t="s">
        <v>76</v>
      </c>
      <c r="D29" s="75" t="s">
        <v>77</v>
      </c>
      <c r="E29" s="122">
        <v>7506110697763</v>
      </c>
      <c r="F29" s="91" t="s">
        <v>1081</v>
      </c>
      <c r="G29" s="81" t="s">
        <v>1082</v>
      </c>
      <c r="H29" s="134" t="s">
        <v>60</v>
      </c>
      <c r="I29" s="124" t="s">
        <v>1083</v>
      </c>
      <c r="J29" s="75" t="s">
        <v>1052</v>
      </c>
      <c r="K29" s="81" t="s">
        <v>1053</v>
      </c>
      <c r="L29" s="75">
        <v>1</v>
      </c>
      <c r="M29" s="125">
        <f t="shared" si="0"/>
        <v>0.34400000000000003</v>
      </c>
      <c r="N29" s="125">
        <v>0.43</v>
      </c>
      <c r="O29" s="125">
        <v>0</v>
      </c>
      <c r="P29" s="126">
        <v>0.53</v>
      </c>
      <c r="Q29" s="126">
        <v>0</v>
      </c>
      <c r="R29" s="126">
        <v>0</v>
      </c>
      <c r="S29" s="126" t="s">
        <v>69</v>
      </c>
      <c r="T29" s="127">
        <v>0.53</v>
      </c>
      <c r="U29" s="29" t="s">
        <v>64</v>
      </c>
      <c r="V29" s="128">
        <v>30000</v>
      </c>
      <c r="W29" s="24">
        <f t="shared" si="16"/>
        <v>2.0472839999999999</v>
      </c>
      <c r="X29" s="24">
        <f>+W29*0.2</f>
        <v>0.40945680000000001</v>
      </c>
      <c r="Y29" s="24">
        <v>0.12</v>
      </c>
      <c r="Z29" s="24">
        <f t="shared" si="2"/>
        <v>2.5767407999999996</v>
      </c>
      <c r="AA29" s="88">
        <v>79</v>
      </c>
      <c r="AB29" s="24">
        <f t="shared" si="3"/>
        <v>68.103448275862078</v>
      </c>
      <c r="AC29" s="24">
        <f t="shared" si="4"/>
        <v>40.862068965517246</v>
      </c>
      <c r="AD29" s="27">
        <f t="shared" si="17"/>
        <v>6.305947949367087E-2</v>
      </c>
      <c r="AE29" s="27">
        <f t="shared" si="5"/>
        <v>0.93694052050632914</v>
      </c>
      <c r="AF29" s="28">
        <f t="shared" si="6"/>
        <v>0.4</v>
      </c>
      <c r="AG29" s="81" t="s">
        <v>284</v>
      </c>
      <c r="AH29" s="128" t="s">
        <v>67</v>
      </c>
      <c r="AI29" s="29">
        <v>24</v>
      </c>
      <c r="AJ29" s="29">
        <f>+AI29*40</f>
        <v>960</v>
      </c>
      <c r="AK29" s="91" t="s">
        <v>1084</v>
      </c>
      <c r="AL29" s="290">
        <v>46216</v>
      </c>
      <c r="AN29" s="129">
        <f t="shared" si="8"/>
        <v>7.8E-2</v>
      </c>
      <c r="AO29" s="129">
        <f t="shared" si="9"/>
        <v>6.7241379310344837E-2</v>
      </c>
      <c r="AP29" s="130">
        <f t="shared" si="10"/>
        <v>6.0893575384615382</v>
      </c>
      <c r="AQ29" s="130">
        <f t="shared" si="11"/>
        <v>-5.0893575384615382</v>
      </c>
      <c r="AR29" s="33">
        <f t="shared" si="12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>
        <v>1</v>
      </c>
      <c r="BH29" s="3"/>
      <c r="BI29" s="3"/>
      <c r="BJ29" s="3">
        <v>9</v>
      </c>
      <c r="BK29" s="3">
        <f t="shared" si="13"/>
        <v>7</v>
      </c>
      <c r="BL29" s="4">
        <f t="shared" si="14"/>
        <v>0.77777777777777779</v>
      </c>
      <c r="BM29" s="295"/>
      <c r="BN29" s="295"/>
      <c r="BO29" s="295"/>
      <c r="BP29" s="295"/>
      <c r="BQ29" s="295"/>
      <c r="BR29" s="282" t="str">
        <f>+AK29</f>
        <v>En espera de recolección</v>
      </c>
      <c r="BS29" s="284">
        <f t="shared" si="18"/>
        <v>46216</v>
      </c>
      <c r="BT29" s="282" t="s">
        <v>1065</v>
      </c>
      <c r="CJ29" s="367"/>
      <c r="CK29" s="363"/>
      <c r="CL29" s="363"/>
      <c r="CM29" s="363"/>
      <c r="CN29" s="371"/>
      <c r="CO29" s="278"/>
      <c r="CP29" s="367"/>
      <c r="CQ29" s="363"/>
      <c r="CR29" s="373"/>
      <c r="CS29" s="268"/>
      <c r="CT29" s="367"/>
      <c r="CU29" s="363"/>
      <c r="CV29" s="377"/>
      <c r="CW29" s="267"/>
      <c r="CX29" s="367"/>
      <c r="CY29" s="363"/>
      <c r="CZ29" s="377"/>
      <c r="DA29" s="267"/>
      <c r="DB29" s="367"/>
      <c r="DC29" s="363"/>
    </row>
    <row r="30" spans="1:107" ht="76.5">
      <c r="A30" s="75">
        <v>14</v>
      </c>
      <c r="B30" s="121">
        <v>46234</v>
      </c>
      <c r="C30" s="75" t="s">
        <v>76</v>
      </c>
      <c r="D30" s="75" t="s">
        <v>77</v>
      </c>
      <c r="E30" s="122">
        <v>7506110697770</v>
      </c>
      <c r="F30" s="91" t="s">
        <v>1085</v>
      </c>
      <c r="G30" s="81" t="s">
        <v>1086</v>
      </c>
      <c r="H30" s="134" t="s">
        <v>60</v>
      </c>
      <c r="I30" s="124" t="s">
        <v>1083</v>
      </c>
      <c r="J30" s="75" t="s">
        <v>1052</v>
      </c>
      <c r="K30" s="81" t="s">
        <v>1053</v>
      </c>
      <c r="L30" s="75">
        <v>1</v>
      </c>
      <c r="M30" s="125">
        <f t="shared" si="0"/>
        <v>0.34400000000000003</v>
      </c>
      <c r="N30" s="125">
        <v>0.43</v>
      </c>
      <c r="O30" s="125">
        <v>0</v>
      </c>
      <c r="P30" s="126">
        <v>0.53</v>
      </c>
      <c r="Q30" s="126">
        <v>0</v>
      </c>
      <c r="R30" s="126">
        <v>0</v>
      </c>
      <c r="S30" s="126" t="s">
        <v>69</v>
      </c>
      <c r="T30" s="127">
        <v>0.53</v>
      </c>
      <c r="U30" s="29" t="s">
        <v>64</v>
      </c>
      <c r="V30" s="128">
        <v>30000</v>
      </c>
      <c r="W30" s="24">
        <f t="shared" si="16"/>
        <v>2.0472839999999999</v>
      </c>
      <c r="X30" s="24">
        <f>+W30*0.2</f>
        <v>0.40945680000000001</v>
      </c>
      <c r="Y30" s="24">
        <v>0.12</v>
      </c>
      <c r="Z30" s="24">
        <f t="shared" si="2"/>
        <v>2.5767407999999996</v>
      </c>
      <c r="AA30" s="88">
        <v>79</v>
      </c>
      <c r="AB30" s="24">
        <f t="shared" si="3"/>
        <v>68.103448275862078</v>
      </c>
      <c r="AC30" s="24">
        <f t="shared" si="4"/>
        <v>40.862068965517246</v>
      </c>
      <c r="AD30" s="27">
        <f t="shared" si="17"/>
        <v>6.305947949367087E-2</v>
      </c>
      <c r="AE30" s="27">
        <f t="shared" si="5"/>
        <v>0.93694052050632914</v>
      </c>
      <c r="AF30" s="28">
        <f t="shared" si="6"/>
        <v>0.4</v>
      </c>
      <c r="AG30" s="81" t="s">
        <v>284</v>
      </c>
      <c r="AH30" s="128" t="s">
        <v>67</v>
      </c>
      <c r="AI30" s="29">
        <v>24</v>
      </c>
      <c r="AJ30" s="29">
        <f>+AI30*40</f>
        <v>960</v>
      </c>
      <c r="AK30" s="91" t="s">
        <v>1084</v>
      </c>
      <c r="AL30" s="290">
        <v>46216</v>
      </c>
      <c r="AN30" s="129">
        <f t="shared" si="8"/>
        <v>7.8E-2</v>
      </c>
      <c r="AO30" s="129">
        <f t="shared" si="9"/>
        <v>6.7241379310344837E-2</v>
      </c>
      <c r="AP30" s="130">
        <f t="shared" si="10"/>
        <v>6.0893575384615382</v>
      </c>
      <c r="AQ30" s="130">
        <f t="shared" si="11"/>
        <v>-5.0893575384615382</v>
      </c>
      <c r="AR30" s="33">
        <f t="shared" si="12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>
        <v>1</v>
      </c>
      <c r="BH30" s="3"/>
      <c r="BI30" s="3"/>
      <c r="BJ30" s="3">
        <v>9</v>
      </c>
      <c r="BK30" s="3">
        <f t="shared" si="13"/>
        <v>7</v>
      </c>
      <c r="BL30" s="4">
        <f t="shared" si="14"/>
        <v>0.77777777777777779</v>
      </c>
      <c r="BM30" s="295"/>
      <c r="BN30" s="295"/>
      <c r="BO30" s="295"/>
      <c r="BP30" s="295"/>
      <c r="BQ30" s="295"/>
      <c r="BR30" s="282" t="str">
        <f>+AK30</f>
        <v>En espera de recolección</v>
      </c>
      <c r="BS30" s="284">
        <f t="shared" si="18"/>
        <v>46216</v>
      </c>
      <c r="BT30" s="282" t="s">
        <v>1065</v>
      </c>
      <c r="CJ30" s="367"/>
      <c r="CK30" s="363"/>
      <c r="CL30" s="363"/>
      <c r="CM30" s="363"/>
      <c r="CN30" s="371"/>
      <c r="CO30" s="278"/>
      <c r="CP30" s="367"/>
      <c r="CQ30" s="363"/>
      <c r="CR30" s="373"/>
      <c r="CS30" s="268"/>
      <c r="CT30" s="367"/>
      <c r="CU30" s="363"/>
      <c r="CV30" s="377"/>
      <c r="CW30" s="267"/>
      <c r="CX30" s="367"/>
      <c r="CY30" s="363"/>
      <c r="CZ30" s="377"/>
      <c r="DA30" s="267"/>
      <c r="DB30" s="367"/>
      <c r="DC30" s="363"/>
    </row>
    <row r="31" spans="1:107" ht="153.75">
      <c r="A31" s="75">
        <v>17</v>
      </c>
      <c r="B31" s="121" t="s">
        <v>176</v>
      </c>
      <c r="C31" s="75" t="s">
        <v>277</v>
      </c>
      <c r="D31" s="75" t="s">
        <v>77</v>
      </c>
      <c r="E31" s="122">
        <v>7506110697800</v>
      </c>
      <c r="F31" s="91" t="s">
        <v>1087</v>
      </c>
      <c r="G31" s="81" t="s">
        <v>1088</v>
      </c>
      <c r="H31" s="131" t="s">
        <v>60</v>
      </c>
      <c r="I31" s="124" t="s">
        <v>1089</v>
      </c>
      <c r="J31" s="75" t="s">
        <v>1052</v>
      </c>
      <c r="K31" s="81" t="s">
        <v>1053</v>
      </c>
      <c r="L31" s="75">
        <v>1</v>
      </c>
      <c r="M31" s="125">
        <f t="shared" si="0"/>
        <v>0.35200000000000004</v>
      </c>
      <c r="N31" s="125">
        <v>0.44</v>
      </c>
      <c r="O31" s="125">
        <v>0</v>
      </c>
      <c r="P31" s="126">
        <v>0.51500000000000001</v>
      </c>
      <c r="Q31" s="126">
        <v>0.44</v>
      </c>
      <c r="R31" s="132"/>
      <c r="S31" s="126" t="s">
        <v>69</v>
      </c>
      <c r="T31" s="127">
        <v>0.61499999999999999</v>
      </c>
      <c r="U31" s="29" t="s">
        <v>64</v>
      </c>
      <c r="V31" s="128">
        <v>5000</v>
      </c>
      <c r="W31" s="24">
        <f t="shared" si="16"/>
        <v>2.3756219999999999</v>
      </c>
      <c r="X31" s="24">
        <f>+W31*0.36</f>
        <v>0.85522391999999992</v>
      </c>
      <c r="Y31" s="24">
        <v>0.22</v>
      </c>
      <c r="Z31" s="24">
        <f t="shared" si="2"/>
        <v>3.4508459199999999</v>
      </c>
      <c r="AA31" s="88">
        <v>119</v>
      </c>
      <c r="AB31" s="24">
        <f t="shared" si="3"/>
        <v>102.58620689655173</v>
      </c>
      <c r="AC31" s="24">
        <f t="shared" si="4"/>
        <v>61.551724137931032</v>
      </c>
      <c r="AD31" s="27">
        <f t="shared" si="17"/>
        <v>5.6064163406162465E-2</v>
      </c>
      <c r="AE31" s="27">
        <f t="shared" si="5"/>
        <v>0.94393583659383751</v>
      </c>
      <c r="AF31" s="28">
        <f t="shared" si="6"/>
        <v>0.4</v>
      </c>
      <c r="AG31" s="81" t="s">
        <v>284</v>
      </c>
      <c r="AH31" s="128" t="s">
        <v>67</v>
      </c>
      <c r="AI31" s="29">
        <v>6</v>
      </c>
      <c r="AJ31" s="29">
        <f t="shared" ref="AJ31:AJ53" si="19">+AI31*24</f>
        <v>144</v>
      </c>
      <c r="AK31" s="91" t="s">
        <v>1090</v>
      </c>
      <c r="AL31" s="290">
        <v>46298</v>
      </c>
      <c r="AM31" s="283"/>
      <c r="AN31" s="129">
        <f t="shared" si="8"/>
        <v>0.14300000000000002</v>
      </c>
      <c r="AO31" s="129">
        <f t="shared" si="9"/>
        <v>0.12327586206896554</v>
      </c>
      <c r="AP31" s="130">
        <f t="shared" si="10"/>
        <v>6.9374807496503479</v>
      </c>
      <c r="AQ31" s="130">
        <f t="shared" si="11"/>
        <v>-5.9374807496503479</v>
      </c>
      <c r="AR31" s="33">
        <f t="shared" si="12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>
        <v>1</v>
      </c>
      <c r="BH31" s="3"/>
      <c r="BI31" s="3"/>
      <c r="BJ31" s="3">
        <v>9</v>
      </c>
      <c r="BK31" s="3">
        <f t="shared" si="13"/>
        <v>7</v>
      </c>
      <c r="BL31" s="4">
        <f t="shared" si="14"/>
        <v>0.77777777777777779</v>
      </c>
      <c r="BM31" s="295"/>
      <c r="BN31" s="295"/>
      <c r="BO31" s="295"/>
      <c r="BP31" s="295"/>
      <c r="BQ31" s="295"/>
      <c r="BR31" s="282" t="str">
        <f t="shared" ref="BR31:BR34" si="20">+AK31</f>
        <v>En Producción. Aproximadamente terminan el 26/jul</v>
      </c>
      <c r="BS31" s="284">
        <f t="shared" si="18"/>
        <v>46298</v>
      </c>
      <c r="BT31" s="282" t="s">
        <v>1055</v>
      </c>
      <c r="CJ31" s="367"/>
      <c r="CK31" s="363"/>
      <c r="CL31" s="363"/>
      <c r="CM31" s="363"/>
      <c r="CN31" s="371"/>
      <c r="CO31" s="278"/>
      <c r="CP31" s="367"/>
      <c r="CQ31" s="363"/>
      <c r="CR31" s="373"/>
      <c r="CS31" s="268"/>
      <c r="CT31" s="367"/>
      <c r="CU31" s="363"/>
      <c r="CV31" s="377"/>
      <c r="CW31" s="267"/>
      <c r="CX31" s="367"/>
      <c r="CY31" s="363"/>
      <c r="CZ31" s="377"/>
      <c r="DA31" s="267"/>
      <c r="DB31" s="367"/>
      <c r="DC31" s="363"/>
    </row>
    <row r="32" spans="1:107" ht="153.75">
      <c r="A32" s="75">
        <v>18</v>
      </c>
      <c r="B32" s="121" t="s">
        <v>176</v>
      </c>
      <c r="C32" s="75" t="s">
        <v>277</v>
      </c>
      <c r="D32" s="75" t="s">
        <v>77</v>
      </c>
      <c r="E32" s="122">
        <v>7506110697817</v>
      </c>
      <c r="F32" s="91" t="s">
        <v>1091</v>
      </c>
      <c r="G32" s="81" t="s">
        <v>1092</v>
      </c>
      <c r="H32" s="131" t="s">
        <v>60</v>
      </c>
      <c r="I32" s="124" t="s">
        <v>1089</v>
      </c>
      <c r="J32" s="75" t="s">
        <v>1052</v>
      </c>
      <c r="K32" s="81" t="s">
        <v>1053</v>
      </c>
      <c r="L32" s="75">
        <v>1</v>
      </c>
      <c r="M32" s="125">
        <f t="shared" si="0"/>
        <v>0.35200000000000004</v>
      </c>
      <c r="N32" s="125">
        <v>0.44</v>
      </c>
      <c r="O32" s="125">
        <v>0</v>
      </c>
      <c r="P32" s="126">
        <v>0.51500000000000001</v>
      </c>
      <c r="Q32" s="126">
        <v>0.44</v>
      </c>
      <c r="R32" s="132"/>
      <c r="S32" s="126" t="s">
        <v>69</v>
      </c>
      <c r="T32" s="127">
        <v>0.61499999999999999</v>
      </c>
      <c r="U32" s="29" t="s">
        <v>64</v>
      </c>
      <c r="V32" s="128">
        <v>5000</v>
      </c>
      <c r="W32" s="24">
        <f t="shared" si="16"/>
        <v>2.3756219999999999</v>
      </c>
      <c r="X32" s="24">
        <f>+W32*0.36</f>
        <v>0.85522391999999992</v>
      </c>
      <c r="Y32" s="24">
        <v>0.22</v>
      </c>
      <c r="Z32" s="24">
        <f t="shared" si="2"/>
        <v>3.4508459199999999</v>
      </c>
      <c r="AA32" s="88">
        <v>119</v>
      </c>
      <c r="AB32" s="24">
        <f t="shared" si="3"/>
        <v>102.58620689655173</v>
      </c>
      <c r="AC32" s="24">
        <f t="shared" si="4"/>
        <v>61.551724137931032</v>
      </c>
      <c r="AD32" s="27">
        <f t="shared" si="17"/>
        <v>5.6064163406162465E-2</v>
      </c>
      <c r="AE32" s="27">
        <f t="shared" si="5"/>
        <v>0.94393583659383751</v>
      </c>
      <c r="AF32" s="28">
        <f t="shared" si="6"/>
        <v>0.4</v>
      </c>
      <c r="AG32" s="81" t="s">
        <v>284</v>
      </c>
      <c r="AH32" s="128" t="s">
        <v>67</v>
      </c>
      <c r="AI32" s="29">
        <v>6</v>
      </c>
      <c r="AJ32" s="29">
        <f t="shared" si="19"/>
        <v>144</v>
      </c>
      <c r="AK32" s="91" t="s">
        <v>1090</v>
      </c>
      <c r="AL32" s="290">
        <v>46298</v>
      </c>
      <c r="AN32" s="129">
        <f t="shared" si="8"/>
        <v>0.14300000000000002</v>
      </c>
      <c r="AO32" s="129">
        <f t="shared" si="9"/>
        <v>0.12327586206896554</v>
      </c>
      <c r="AP32" s="130">
        <f t="shared" si="10"/>
        <v>6.9374807496503479</v>
      </c>
      <c r="AQ32" s="130">
        <f t="shared" si="11"/>
        <v>-5.9374807496503479</v>
      </c>
      <c r="AR32" s="33">
        <f t="shared" si="12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>
        <v>1</v>
      </c>
      <c r="BH32" s="3"/>
      <c r="BI32" s="3"/>
      <c r="BJ32" s="3">
        <v>9</v>
      </c>
      <c r="BK32" s="3">
        <f t="shared" si="13"/>
        <v>7</v>
      </c>
      <c r="BL32" s="4">
        <f t="shared" si="14"/>
        <v>0.77777777777777779</v>
      </c>
      <c r="BM32" s="295"/>
      <c r="BN32" s="295"/>
      <c r="BO32" s="295"/>
      <c r="BP32" s="295"/>
      <c r="BQ32" s="295"/>
      <c r="BR32" s="282" t="str">
        <f t="shared" si="20"/>
        <v>En Producción. Aproximadamente terminan el 26/jul</v>
      </c>
      <c r="BS32" s="284">
        <f t="shared" si="18"/>
        <v>46298</v>
      </c>
      <c r="BT32" s="282" t="s">
        <v>1055</v>
      </c>
      <c r="CJ32" s="367"/>
      <c r="CK32" s="363"/>
      <c r="CL32" s="363"/>
      <c r="CM32" s="363"/>
      <c r="CN32" s="371"/>
      <c r="CO32" s="278"/>
      <c r="CP32" s="367"/>
      <c r="CQ32" s="363"/>
      <c r="CR32" s="373"/>
      <c r="CS32" s="268"/>
      <c r="CT32" s="367"/>
      <c r="CU32" s="363"/>
      <c r="CV32" s="377"/>
      <c r="CW32" s="267"/>
      <c r="CX32" s="367"/>
      <c r="CY32" s="363"/>
      <c r="CZ32" s="377"/>
      <c r="DA32" s="267"/>
      <c r="DB32" s="367"/>
      <c r="DC32" s="363"/>
    </row>
    <row r="33" spans="1:107" ht="153.75">
      <c r="A33" s="75">
        <v>19</v>
      </c>
      <c r="B33" s="121" t="s">
        <v>176</v>
      </c>
      <c r="C33" s="75" t="s">
        <v>277</v>
      </c>
      <c r="D33" s="75" t="s">
        <v>77</v>
      </c>
      <c r="E33" s="122">
        <v>7506110697824</v>
      </c>
      <c r="F33" s="91" t="s">
        <v>1093</v>
      </c>
      <c r="G33" s="135" t="s">
        <v>1094</v>
      </c>
      <c r="H33" s="131" t="s">
        <v>60</v>
      </c>
      <c r="I33" s="124" t="s">
        <v>1089</v>
      </c>
      <c r="J33" s="75" t="s">
        <v>1052</v>
      </c>
      <c r="K33" s="81" t="s">
        <v>1053</v>
      </c>
      <c r="L33" s="75">
        <v>1</v>
      </c>
      <c r="M33" s="125">
        <f t="shared" si="0"/>
        <v>0.35200000000000004</v>
      </c>
      <c r="N33" s="125">
        <v>0.44</v>
      </c>
      <c r="O33" s="125">
        <v>0</v>
      </c>
      <c r="P33" s="126">
        <v>0.51500000000000001</v>
      </c>
      <c r="Q33" s="126">
        <v>0.44</v>
      </c>
      <c r="R33" s="132"/>
      <c r="S33" s="126" t="s">
        <v>69</v>
      </c>
      <c r="T33" s="127">
        <v>0.61499999999999999</v>
      </c>
      <c r="U33" s="29" t="s">
        <v>64</v>
      </c>
      <c r="V33" s="128">
        <v>5000</v>
      </c>
      <c r="W33" s="24">
        <f t="shared" si="16"/>
        <v>2.3756219999999999</v>
      </c>
      <c r="X33" s="24">
        <f>+W33*0.36</f>
        <v>0.85522391999999992</v>
      </c>
      <c r="Y33" s="24">
        <v>0.22</v>
      </c>
      <c r="Z33" s="24">
        <f t="shared" si="2"/>
        <v>3.4508459199999999</v>
      </c>
      <c r="AA33" s="88">
        <v>119</v>
      </c>
      <c r="AB33" s="24">
        <f t="shared" si="3"/>
        <v>102.58620689655173</v>
      </c>
      <c r="AC33" s="24">
        <f t="shared" si="4"/>
        <v>61.551724137931032</v>
      </c>
      <c r="AD33" s="27">
        <f t="shared" si="17"/>
        <v>5.6064163406162465E-2</v>
      </c>
      <c r="AE33" s="27">
        <f t="shared" si="5"/>
        <v>0.94393583659383751</v>
      </c>
      <c r="AF33" s="28">
        <f t="shared" si="6"/>
        <v>0.4</v>
      </c>
      <c r="AG33" s="81" t="s">
        <v>284</v>
      </c>
      <c r="AH33" s="128" t="s">
        <v>67</v>
      </c>
      <c r="AI33" s="29">
        <v>6</v>
      </c>
      <c r="AJ33" s="29">
        <f t="shared" si="19"/>
        <v>144</v>
      </c>
      <c r="AK33" s="91" t="s">
        <v>1090</v>
      </c>
      <c r="AL33" s="290">
        <v>46298</v>
      </c>
      <c r="AN33" s="129">
        <f t="shared" si="8"/>
        <v>0.14300000000000002</v>
      </c>
      <c r="AO33" s="129">
        <f t="shared" si="9"/>
        <v>0.12327586206896554</v>
      </c>
      <c r="AP33" s="130">
        <f t="shared" si="10"/>
        <v>6.9374807496503479</v>
      </c>
      <c r="AQ33" s="130">
        <f t="shared" si="11"/>
        <v>-5.9374807496503479</v>
      </c>
      <c r="AR33" s="33">
        <f t="shared" si="12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>
        <v>1</v>
      </c>
      <c r="BH33" s="3"/>
      <c r="BI33" s="3"/>
      <c r="BJ33" s="3">
        <v>9</v>
      </c>
      <c r="BK33" s="3">
        <f t="shared" si="13"/>
        <v>7</v>
      </c>
      <c r="BL33" s="4">
        <f t="shared" si="14"/>
        <v>0.77777777777777779</v>
      </c>
      <c r="BM33" s="295"/>
      <c r="BN33" s="295"/>
      <c r="BO33" s="295"/>
      <c r="BP33" s="295"/>
      <c r="BQ33" s="295"/>
      <c r="BR33" s="282" t="str">
        <f t="shared" si="20"/>
        <v>En Producción. Aproximadamente terminan el 26/jul</v>
      </c>
      <c r="BS33" s="284">
        <f t="shared" si="18"/>
        <v>46298</v>
      </c>
      <c r="BT33" s="282" t="s">
        <v>1055</v>
      </c>
      <c r="CJ33" s="367"/>
      <c r="CK33" s="363"/>
      <c r="CL33" s="363"/>
      <c r="CM33" s="363"/>
      <c r="CN33" s="371"/>
      <c r="CO33" s="278"/>
      <c r="CP33" s="367"/>
      <c r="CQ33" s="363"/>
      <c r="CR33" s="373"/>
      <c r="CS33" s="268"/>
      <c r="CT33" s="367"/>
      <c r="CU33" s="363"/>
      <c r="CV33" s="377"/>
      <c r="CW33" s="267"/>
      <c r="CX33" s="367"/>
      <c r="CY33" s="363"/>
      <c r="CZ33" s="377"/>
      <c r="DA33" s="267"/>
      <c r="DB33" s="367"/>
      <c r="DC33" s="363"/>
    </row>
    <row r="34" spans="1:107" ht="153.75">
      <c r="A34" s="75">
        <v>20</v>
      </c>
      <c r="B34" s="121" t="s">
        <v>176</v>
      </c>
      <c r="C34" s="75" t="s">
        <v>277</v>
      </c>
      <c r="D34" s="75" t="s">
        <v>77</v>
      </c>
      <c r="E34" s="122">
        <v>7506110697831</v>
      </c>
      <c r="F34" s="91" t="s">
        <v>1095</v>
      </c>
      <c r="G34" s="81" t="s">
        <v>1096</v>
      </c>
      <c r="H34" s="131" t="s">
        <v>60</v>
      </c>
      <c r="I34" s="124" t="s">
        <v>1089</v>
      </c>
      <c r="J34" s="75" t="s">
        <v>1052</v>
      </c>
      <c r="K34" s="81" t="s">
        <v>1053</v>
      </c>
      <c r="L34" s="75">
        <v>1</v>
      </c>
      <c r="M34" s="125">
        <f t="shared" si="0"/>
        <v>0.35200000000000004</v>
      </c>
      <c r="N34" s="125">
        <v>0.44</v>
      </c>
      <c r="O34" s="125">
        <v>0</v>
      </c>
      <c r="P34" s="126">
        <v>0.51500000000000001</v>
      </c>
      <c r="Q34" s="126">
        <v>0.44</v>
      </c>
      <c r="R34" s="132"/>
      <c r="S34" s="126" t="s">
        <v>69</v>
      </c>
      <c r="T34" s="127">
        <v>0.61499999999999999</v>
      </c>
      <c r="U34" s="29" t="s">
        <v>64</v>
      </c>
      <c r="V34" s="128">
        <v>5000</v>
      </c>
      <c r="W34" s="24">
        <f t="shared" si="16"/>
        <v>2.3756219999999999</v>
      </c>
      <c r="X34" s="24">
        <f>+W34*0.36</f>
        <v>0.85522391999999992</v>
      </c>
      <c r="Y34" s="24">
        <v>0.22</v>
      </c>
      <c r="Z34" s="24">
        <f t="shared" si="2"/>
        <v>3.4508459199999999</v>
      </c>
      <c r="AA34" s="88">
        <v>119</v>
      </c>
      <c r="AB34" s="24">
        <f t="shared" si="3"/>
        <v>102.58620689655173</v>
      </c>
      <c r="AC34" s="24">
        <f t="shared" si="4"/>
        <v>61.551724137931032</v>
      </c>
      <c r="AD34" s="27">
        <f t="shared" si="17"/>
        <v>5.6064163406162465E-2</v>
      </c>
      <c r="AE34" s="27">
        <f t="shared" si="5"/>
        <v>0.94393583659383751</v>
      </c>
      <c r="AF34" s="28">
        <f t="shared" si="6"/>
        <v>0.4</v>
      </c>
      <c r="AG34" s="81" t="s">
        <v>284</v>
      </c>
      <c r="AH34" s="128" t="s">
        <v>67</v>
      </c>
      <c r="AI34" s="29">
        <v>6</v>
      </c>
      <c r="AJ34" s="29">
        <f t="shared" si="19"/>
        <v>144</v>
      </c>
      <c r="AK34" s="91" t="s">
        <v>1090</v>
      </c>
      <c r="AL34" s="290">
        <v>46298</v>
      </c>
      <c r="AN34" s="129">
        <f t="shared" si="8"/>
        <v>0.14300000000000002</v>
      </c>
      <c r="AO34" s="129">
        <f t="shared" si="9"/>
        <v>0.12327586206896554</v>
      </c>
      <c r="AP34" s="130">
        <f t="shared" si="10"/>
        <v>6.9374807496503479</v>
      </c>
      <c r="AQ34" s="130">
        <f t="shared" si="11"/>
        <v>-5.9374807496503479</v>
      </c>
      <c r="AR34" s="33">
        <f t="shared" si="12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>
        <v>1</v>
      </c>
      <c r="BH34" s="3"/>
      <c r="BI34" s="3"/>
      <c r="BJ34" s="3">
        <v>9</v>
      </c>
      <c r="BK34" s="3">
        <f t="shared" si="13"/>
        <v>7</v>
      </c>
      <c r="BL34" s="4">
        <f t="shared" si="14"/>
        <v>0.77777777777777779</v>
      </c>
      <c r="BM34" s="295"/>
      <c r="BN34" s="295"/>
      <c r="BO34" s="295"/>
      <c r="BP34" s="295"/>
      <c r="BQ34" s="295"/>
      <c r="BR34" s="282" t="str">
        <f t="shared" si="20"/>
        <v>En Producción. Aproximadamente terminan el 26/jul</v>
      </c>
      <c r="BS34" s="284">
        <f t="shared" si="18"/>
        <v>46298</v>
      </c>
      <c r="BT34" s="282" t="s">
        <v>1055</v>
      </c>
      <c r="CJ34" s="367"/>
      <c r="CK34" s="363"/>
      <c r="CL34" s="363"/>
      <c r="CM34" s="363"/>
      <c r="CN34" s="371"/>
      <c r="CO34" s="278"/>
      <c r="CP34" s="367"/>
      <c r="CQ34" s="363"/>
      <c r="CR34" s="373"/>
      <c r="CS34" s="268"/>
      <c r="CT34" s="367"/>
      <c r="CU34" s="363"/>
      <c r="CV34" s="377"/>
      <c r="CW34" s="267"/>
      <c r="CX34" s="367"/>
      <c r="CY34" s="363"/>
      <c r="CZ34" s="377"/>
      <c r="DA34" s="267"/>
      <c r="DB34" s="367"/>
      <c r="DC34" s="363"/>
    </row>
    <row r="35" spans="1:107" ht="115.5">
      <c r="A35" s="75">
        <v>81</v>
      </c>
      <c r="B35" s="121">
        <v>46234</v>
      </c>
      <c r="C35" s="75" t="s">
        <v>76</v>
      </c>
      <c r="D35" s="75" t="s">
        <v>77</v>
      </c>
      <c r="E35" s="122">
        <v>7506110697848</v>
      </c>
      <c r="F35" s="91" t="s">
        <v>1097</v>
      </c>
      <c r="G35" s="81" t="s">
        <v>1098</v>
      </c>
      <c r="H35" s="131" t="s">
        <v>60</v>
      </c>
      <c r="I35" s="124" t="s">
        <v>492</v>
      </c>
      <c r="J35" s="75" t="s">
        <v>1052</v>
      </c>
      <c r="K35" s="81" t="s">
        <v>1053</v>
      </c>
      <c r="L35" s="75">
        <v>1</v>
      </c>
      <c r="M35" s="125">
        <v>0.5</v>
      </c>
      <c r="N35" s="125">
        <v>0.5</v>
      </c>
      <c r="O35" s="125">
        <v>0</v>
      </c>
      <c r="P35" s="125">
        <v>0</v>
      </c>
      <c r="Q35" s="136">
        <v>0.7</v>
      </c>
      <c r="R35" s="126">
        <v>0</v>
      </c>
      <c r="S35" s="126" t="s">
        <v>69</v>
      </c>
      <c r="T35" s="127">
        <v>0.77500000000000002</v>
      </c>
      <c r="U35" s="29" t="s">
        <v>64</v>
      </c>
      <c r="V35" s="128">
        <v>5000</v>
      </c>
      <c r="W35" s="24">
        <f t="shared" si="16"/>
        <v>2.9936699999999998</v>
      </c>
      <c r="X35" s="24">
        <f t="shared" ref="X35:X57" si="21">+W35*0.25</f>
        <v>0.74841749999999996</v>
      </c>
      <c r="Y35" s="24">
        <v>0.68</v>
      </c>
      <c r="Z35" s="24">
        <f t="shared" si="2"/>
        <v>4.4220874999999999</v>
      </c>
      <c r="AA35" s="88">
        <v>149</v>
      </c>
      <c r="AB35" s="24">
        <f t="shared" si="3"/>
        <v>128.44827586206898</v>
      </c>
      <c r="AC35" s="24">
        <f t="shared" si="4"/>
        <v>77.068965517241381</v>
      </c>
      <c r="AD35" s="27">
        <f t="shared" si="17"/>
        <v>5.7378316554809843E-2</v>
      </c>
      <c r="AE35" s="27">
        <f t="shared" si="5"/>
        <v>0.94262168344519015</v>
      </c>
      <c r="AF35" s="28">
        <f t="shared" si="6"/>
        <v>0.4</v>
      </c>
      <c r="AG35" s="81" t="s">
        <v>284</v>
      </c>
      <c r="AH35" s="128" t="s">
        <v>67</v>
      </c>
      <c r="AI35" s="29">
        <v>6</v>
      </c>
      <c r="AJ35" s="29">
        <f t="shared" si="19"/>
        <v>144</v>
      </c>
      <c r="AK35" s="91" t="s">
        <v>1054</v>
      </c>
      <c r="AL35" s="290">
        <v>46261</v>
      </c>
      <c r="AN35" s="129">
        <f t="shared" si="8"/>
        <v>0.44200000000000006</v>
      </c>
      <c r="AO35" s="129">
        <f t="shared" si="9"/>
        <v>0.38103448275862078</v>
      </c>
      <c r="AP35" s="130">
        <f t="shared" si="10"/>
        <v>1.9641726244343884</v>
      </c>
      <c r="AQ35" s="130">
        <f t="shared" si="11"/>
        <v>-0.96417262443438845</v>
      </c>
      <c r="AR35" s="33">
        <f t="shared" si="12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>
        <v>1</v>
      </c>
      <c r="BH35" s="3"/>
      <c r="BI35" s="3"/>
      <c r="BJ35" s="3">
        <v>9</v>
      </c>
      <c r="BK35" s="3">
        <f t="shared" si="13"/>
        <v>7</v>
      </c>
      <c r="BL35" s="4">
        <f t="shared" si="14"/>
        <v>0.77777777777777779</v>
      </c>
      <c r="BM35" s="295"/>
      <c r="BN35" s="295"/>
      <c r="BO35" s="295"/>
      <c r="BP35" s="295"/>
      <c r="BQ35" s="295"/>
      <c r="BR35" s="282" t="str">
        <f t="shared" si="15"/>
        <v>En Producción. Termina en 31/May</v>
      </c>
      <c r="BS35" s="284">
        <f t="shared" si="18"/>
        <v>46261</v>
      </c>
      <c r="BT35" s="282" t="s">
        <v>1055</v>
      </c>
      <c r="CJ35" s="367"/>
      <c r="CK35" s="363"/>
      <c r="CL35" s="363"/>
      <c r="CM35" s="363"/>
      <c r="CN35" s="371"/>
      <c r="CO35" s="278"/>
      <c r="CP35" s="367"/>
      <c r="CQ35" s="363"/>
      <c r="CR35" s="373"/>
      <c r="CS35" s="268"/>
      <c r="CT35" s="367"/>
      <c r="CU35" s="363"/>
      <c r="CV35" s="377"/>
      <c r="CW35" s="267"/>
      <c r="CX35" s="367"/>
      <c r="CY35" s="363"/>
      <c r="CZ35" s="377"/>
      <c r="DA35" s="267"/>
      <c r="DB35" s="367"/>
      <c r="DC35" s="363"/>
    </row>
    <row r="36" spans="1:107" ht="115.5">
      <c r="A36" s="75">
        <v>82</v>
      </c>
      <c r="B36" s="121">
        <v>46234</v>
      </c>
      <c r="C36" s="75" t="s">
        <v>76</v>
      </c>
      <c r="D36" s="75" t="s">
        <v>77</v>
      </c>
      <c r="E36" s="122">
        <v>7506110697855</v>
      </c>
      <c r="F36" s="91" t="s">
        <v>1099</v>
      </c>
      <c r="G36" s="81" t="s">
        <v>1100</v>
      </c>
      <c r="H36" s="131" t="s">
        <v>60</v>
      </c>
      <c r="I36" s="124" t="s">
        <v>492</v>
      </c>
      <c r="J36" s="75" t="s">
        <v>1052</v>
      </c>
      <c r="K36" s="81" t="s">
        <v>1053</v>
      </c>
      <c r="L36" s="75">
        <v>1</v>
      </c>
      <c r="M36" s="125">
        <v>0.5</v>
      </c>
      <c r="N36" s="125">
        <v>0.5</v>
      </c>
      <c r="O36" s="125">
        <v>0</v>
      </c>
      <c r="P36" s="125">
        <v>0</v>
      </c>
      <c r="Q36" s="136">
        <v>0.7</v>
      </c>
      <c r="R36" s="126">
        <v>0</v>
      </c>
      <c r="S36" s="126" t="s">
        <v>69</v>
      </c>
      <c r="T36" s="127">
        <v>0.77500000000000002</v>
      </c>
      <c r="U36" s="29" t="s">
        <v>64</v>
      </c>
      <c r="V36" s="128">
        <v>5000</v>
      </c>
      <c r="W36" s="24">
        <f t="shared" si="16"/>
        <v>2.9936699999999998</v>
      </c>
      <c r="X36" s="24">
        <f t="shared" si="21"/>
        <v>0.74841749999999996</v>
      </c>
      <c r="Y36" s="24">
        <v>0.68</v>
      </c>
      <c r="Z36" s="24">
        <f t="shared" si="2"/>
        <v>4.4220874999999999</v>
      </c>
      <c r="AA36" s="88">
        <v>149</v>
      </c>
      <c r="AB36" s="24">
        <f t="shared" si="3"/>
        <v>128.44827586206898</v>
      </c>
      <c r="AC36" s="24">
        <f t="shared" si="4"/>
        <v>77.068965517241381</v>
      </c>
      <c r="AD36" s="27">
        <f t="shared" si="17"/>
        <v>5.7378316554809843E-2</v>
      </c>
      <c r="AE36" s="27">
        <f t="shared" si="5"/>
        <v>0.94262168344519015</v>
      </c>
      <c r="AF36" s="28">
        <f t="shared" si="6"/>
        <v>0.4</v>
      </c>
      <c r="AG36" s="81" t="s">
        <v>284</v>
      </c>
      <c r="AH36" s="128" t="s">
        <v>67</v>
      </c>
      <c r="AI36" s="29">
        <v>6</v>
      </c>
      <c r="AJ36" s="29">
        <f t="shared" si="19"/>
        <v>144</v>
      </c>
      <c r="AK36" s="91" t="s">
        <v>1054</v>
      </c>
      <c r="AL36" s="290">
        <v>46261</v>
      </c>
      <c r="AN36" s="129">
        <f t="shared" si="8"/>
        <v>0.44200000000000006</v>
      </c>
      <c r="AO36" s="129">
        <f t="shared" si="9"/>
        <v>0.38103448275862078</v>
      </c>
      <c r="AP36" s="130">
        <f t="shared" si="10"/>
        <v>1.9641726244343884</v>
      </c>
      <c r="AQ36" s="130">
        <f t="shared" si="11"/>
        <v>-0.96417262443438845</v>
      </c>
      <c r="AR36" s="33">
        <f t="shared" si="12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>
        <v>1</v>
      </c>
      <c r="BH36" s="3"/>
      <c r="BI36" s="3"/>
      <c r="BJ36" s="3">
        <v>9</v>
      </c>
      <c r="BK36" s="3">
        <f t="shared" si="13"/>
        <v>7</v>
      </c>
      <c r="BL36" s="4">
        <f t="shared" si="14"/>
        <v>0.77777777777777779</v>
      </c>
      <c r="BM36" s="295"/>
      <c r="BN36" s="295"/>
      <c r="BO36" s="295"/>
      <c r="BP36" s="295"/>
      <c r="BQ36" s="295"/>
      <c r="BR36" s="282" t="str">
        <f t="shared" si="15"/>
        <v>En Producción. Termina en 31/May</v>
      </c>
      <c r="BS36" s="284">
        <f t="shared" si="18"/>
        <v>46261</v>
      </c>
      <c r="BT36" s="282" t="s">
        <v>1055</v>
      </c>
      <c r="CJ36" s="367"/>
      <c r="CK36" s="363"/>
      <c r="CL36" s="363"/>
      <c r="CM36" s="363"/>
      <c r="CN36" s="371"/>
      <c r="CO36" s="278"/>
      <c r="CP36" s="367"/>
      <c r="CQ36" s="363"/>
      <c r="CR36" s="373"/>
      <c r="CS36" s="268"/>
      <c r="CT36" s="367"/>
      <c r="CU36" s="363"/>
      <c r="CV36" s="377"/>
      <c r="CW36" s="267"/>
      <c r="CX36" s="367"/>
      <c r="CY36" s="363"/>
      <c r="CZ36" s="377"/>
      <c r="DA36" s="267"/>
      <c r="DB36" s="367"/>
      <c r="DC36" s="363"/>
    </row>
    <row r="37" spans="1:107" ht="115.5">
      <c r="A37" s="75">
        <v>81</v>
      </c>
      <c r="B37" s="121">
        <v>46234</v>
      </c>
      <c r="C37" s="75" t="s">
        <v>76</v>
      </c>
      <c r="D37" s="75" t="s">
        <v>77</v>
      </c>
      <c r="E37" s="122">
        <v>7506110697862</v>
      </c>
      <c r="F37" s="91" t="s">
        <v>1101</v>
      </c>
      <c r="G37" s="81" t="s">
        <v>1102</v>
      </c>
      <c r="H37" s="131" t="s">
        <v>60</v>
      </c>
      <c r="I37" s="124" t="s">
        <v>492</v>
      </c>
      <c r="J37" s="75" t="s">
        <v>1052</v>
      </c>
      <c r="K37" s="81" t="s">
        <v>1053</v>
      </c>
      <c r="L37" s="75">
        <v>1</v>
      </c>
      <c r="M37" s="125">
        <v>0.5</v>
      </c>
      <c r="N37" s="125">
        <v>0.5</v>
      </c>
      <c r="O37" s="125">
        <v>0</v>
      </c>
      <c r="P37" s="125">
        <v>0</v>
      </c>
      <c r="Q37" s="136">
        <v>0.7</v>
      </c>
      <c r="R37" s="126">
        <v>0</v>
      </c>
      <c r="S37" s="126" t="s">
        <v>69</v>
      </c>
      <c r="T37" s="127">
        <v>0.77500000000000002</v>
      </c>
      <c r="U37" s="29" t="s">
        <v>64</v>
      </c>
      <c r="V37" s="128">
        <v>5000</v>
      </c>
      <c r="W37" s="24">
        <f t="shared" si="16"/>
        <v>2.9936699999999998</v>
      </c>
      <c r="X37" s="24">
        <f t="shared" si="21"/>
        <v>0.74841749999999996</v>
      </c>
      <c r="Y37" s="24">
        <v>0.68</v>
      </c>
      <c r="Z37" s="24">
        <f t="shared" si="2"/>
        <v>4.4220874999999999</v>
      </c>
      <c r="AA37" s="88">
        <v>149</v>
      </c>
      <c r="AB37" s="24">
        <f t="shared" si="3"/>
        <v>128.44827586206898</v>
      </c>
      <c r="AC37" s="24">
        <f t="shared" si="4"/>
        <v>77.068965517241381</v>
      </c>
      <c r="AD37" s="27">
        <f t="shared" si="17"/>
        <v>5.7378316554809843E-2</v>
      </c>
      <c r="AE37" s="27">
        <f t="shared" si="5"/>
        <v>0.94262168344519015</v>
      </c>
      <c r="AF37" s="28">
        <f t="shared" si="6"/>
        <v>0.4</v>
      </c>
      <c r="AG37" s="81" t="s">
        <v>284</v>
      </c>
      <c r="AH37" s="128" t="s">
        <v>67</v>
      </c>
      <c r="AI37" s="29">
        <v>6</v>
      </c>
      <c r="AJ37" s="29">
        <f t="shared" si="19"/>
        <v>144</v>
      </c>
      <c r="AK37" s="91" t="s">
        <v>1054</v>
      </c>
      <c r="AL37" s="290">
        <v>46261</v>
      </c>
      <c r="AN37" s="129">
        <f t="shared" si="8"/>
        <v>0.44200000000000006</v>
      </c>
      <c r="AO37" s="129">
        <f t="shared" si="9"/>
        <v>0.38103448275862078</v>
      </c>
      <c r="AP37" s="130">
        <f t="shared" si="10"/>
        <v>1.9641726244343884</v>
      </c>
      <c r="AQ37" s="130">
        <f t="shared" si="11"/>
        <v>-0.96417262443438845</v>
      </c>
      <c r="AR37" s="33">
        <f t="shared" si="12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>
        <v>1</v>
      </c>
      <c r="BH37" s="3"/>
      <c r="BI37" s="3"/>
      <c r="BJ37" s="3">
        <v>9</v>
      </c>
      <c r="BK37" s="3">
        <f t="shared" si="13"/>
        <v>7</v>
      </c>
      <c r="BL37" s="4">
        <f t="shared" si="14"/>
        <v>0.77777777777777779</v>
      </c>
      <c r="BM37" s="295"/>
      <c r="BN37" s="295"/>
      <c r="BO37" s="295"/>
      <c r="BP37" s="295"/>
      <c r="BQ37" s="295"/>
      <c r="BR37" s="282" t="str">
        <f t="shared" si="15"/>
        <v>En Producción. Termina en 31/May</v>
      </c>
      <c r="BS37" s="284">
        <f t="shared" si="18"/>
        <v>46261</v>
      </c>
      <c r="BT37" s="282" t="s">
        <v>1055</v>
      </c>
      <c r="CJ37" s="367"/>
      <c r="CK37" s="363"/>
      <c r="CL37" s="363"/>
      <c r="CM37" s="363"/>
      <c r="CN37" s="371"/>
      <c r="CO37" s="278"/>
      <c r="CP37" s="367"/>
      <c r="CQ37" s="363"/>
      <c r="CR37" s="373"/>
      <c r="CS37" s="268"/>
      <c r="CT37" s="367"/>
      <c r="CU37" s="363"/>
      <c r="CV37" s="377"/>
      <c r="CW37" s="267"/>
      <c r="CX37" s="367"/>
      <c r="CY37" s="363"/>
      <c r="CZ37" s="377"/>
      <c r="DA37" s="267"/>
      <c r="DB37" s="367"/>
      <c r="DC37" s="363"/>
    </row>
    <row r="38" spans="1:107" ht="115.5">
      <c r="A38" s="75">
        <v>82</v>
      </c>
      <c r="B38" s="121">
        <v>46234</v>
      </c>
      <c r="C38" s="75" t="s">
        <v>76</v>
      </c>
      <c r="D38" s="75" t="s">
        <v>77</v>
      </c>
      <c r="E38" s="122">
        <v>7506110697879</v>
      </c>
      <c r="F38" s="91" t="s">
        <v>1103</v>
      </c>
      <c r="G38" s="81" t="s">
        <v>1104</v>
      </c>
      <c r="H38" s="131" t="s">
        <v>60</v>
      </c>
      <c r="I38" s="124" t="s">
        <v>492</v>
      </c>
      <c r="J38" s="75" t="s">
        <v>1052</v>
      </c>
      <c r="K38" s="81" t="s">
        <v>1053</v>
      </c>
      <c r="L38" s="75">
        <v>1</v>
      </c>
      <c r="M38" s="125">
        <v>0.5</v>
      </c>
      <c r="N38" s="125">
        <v>0.5</v>
      </c>
      <c r="O38" s="125">
        <v>0</v>
      </c>
      <c r="P38" s="125">
        <v>0</v>
      </c>
      <c r="Q38" s="126">
        <v>0.7</v>
      </c>
      <c r="R38" s="126">
        <v>0</v>
      </c>
      <c r="S38" s="126" t="s">
        <v>69</v>
      </c>
      <c r="T38" s="127">
        <v>0.77500000000000002</v>
      </c>
      <c r="U38" s="29" t="s">
        <v>64</v>
      </c>
      <c r="V38" s="128">
        <v>5000</v>
      </c>
      <c r="W38" s="24">
        <f t="shared" si="16"/>
        <v>2.9936699999999998</v>
      </c>
      <c r="X38" s="24">
        <f t="shared" si="21"/>
        <v>0.74841749999999996</v>
      </c>
      <c r="Y38" s="24">
        <v>0.68</v>
      </c>
      <c r="Z38" s="24">
        <f t="shared" si="2"/>
        <v>4.4220874999999999</v>
      </c>
      <c r="AA38" s="88">
        <v>149</v>
      </c>
      <c r="AB38" s="24">
        <f t="shared" si="3"/>
        <v>128.44827586206898</v>
      </c>
      <c r="AC38" s="24">
        <f t="shared" si="4"/>
        <v>77.068965517241381</v>
      </c>
      <c r="AD38" s="27">
        <f t="shared" si="17"/>
        <v>5.7378316554809843E-2</v>
      </c>
      <c r="AE38" s="27">
        <f t="shared" si="5"/>
        <v>0.94262168344519015</v>
      </c>
      <c r="AF38" s="28">
        <f t="shared" si="6"/>
        <v>0.4</v>
      </c>
      <c r="AG38" s="81" t="s">
        <v>284</v>
      </c>
      <c r="AH38" s="128" t="s">
        <v>67</v>
      </c>
      <c r="AI38" s="29">
        <v>6</v>
      </c>
      <c r="AJ38" s="29">
        <f t="shared" si="19"/>
        <v>144</v>
      </c>
      <c r="AK38" s="91" t="s">
        <v>1054</v>
      </c>
      <c r="AL38" s="290">
        <v>46261</v>
      </c>
      <c r="AN38" s="129">
        <f t="shared" si="8"/>
        <v>0.44200000000000006</v>
      </c>
      <c r="AO38" s="129">
        <f t="shared" si="9"/>
        <v>0.38103448275862078</v>
      </c>
      <c r="AP38" s="130">
        <f t="shared" si="10"/>
        <v>1.9641726244343884</v>
      </c>
      <c r="AQ38" s="130">
        <f t="shared" si="11"/>
        <v>-0.96417262443438845</v>
      </c>
      <c r="AR38" s="33">
        <f t="shared" si="12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>
        <v>1</v>
      </c>
      <c r="BH38" s="3"/>
      <c r="BI38" s="3"/>
      <c r="BJ38" s="3">
        <v>9</v>
      </c>
      <c r="BK38" s="3">
        <f t="shared" si="13"/>
        <v>7</v>
      </c>
      <c r="BL38" s="4">
        <f t="shared" si="14"/>
        <v>0.77777777777777779</v>
      </c>
      <c r="BM38" s="295"/>
      <c r="BN38" s="295"/>
      <c r="BO38" s="295"/>
      <c r="BP38" s="295"/>
      <c r="BQ38" s="295"/>
      <c r="BR38" s="282" t="str">
        <f t="shared" si="15"/>
        <v>En Producción. Termina en 31/May</v>
      </c>
      <c r="BS38" s="284">
        <f t="shared" si="18"/>
        <v>46261</v>
      </c>
      <c r="BT38" s="282" t="s">
        <v>1055</v>
      </c>
      <c r="CJ38" s="367"/>
      <c r="CK38" s="363"/>
      <c r="CL38" s="363"/>
      <c r="CM38" s="363"/>
      <c r="CN38" s="371"/>
      <c r="CO38" s="278"/>
      <c r="CP38" s="367"/>
      <c r="CQ38" s="363"/>
      <c r="CR38" s="373"/>
      <c r="CS38" s="268"/>
      <c r="CT38" s="367"/>
      <c r="CU38" s="363"/>
      <c r="CV38" s="377"/>
      <c r="CW38" s="267"/>
      <c r="CX38" s="367"/>
      <c r="CY38" s="363"/>
      <c r="CZ38" s="377"/>
      <c r="DA38" s="267"/>
      <c r="DB38" s="367"/>
      <c r="DC38" s="363"/>
    </row>
    <row r="39" spans="1:107" ht="76.5">
      <c r="A39" s="75">
        <v>27</v>
      </c>
      <c r="B39" s="121">
        <v>46234</v>
      </c>
      <c r="C39" s="75" t="s">
        <v>76</v>
      </c>
      <c r="D39" s="75" t="s">
        <v>77</v>
      </c>
      <c r="E39" s="122">
        <v>7506110697909</v>
      </c>
      <c r="F39" s="91" t="s">
        <v>1105</v>
      </c>
      <c r="G39" s="81" t="s">
        <v>1106</v>
      </c>
      <c r="H39" s="131"/>
      <c r="I39" s="124" t="s">
        <v>946</v>
      </c>
      <c r="J39" s="75" t="s">
        <v>1052</v>
      </c>
      <c r="K39" s="81" t="s">
        <v>1053</v>
      </c>
      <c r="L39" s="75">
        <v>1</v>
      </c>
      <c r="M39" s="125">
        <f t="shared" ref="M39:M75" si="22">+N39*0.8</f>
        <v>0.31200000000000006</v>
      </c>
      <c r="N39" s="125">
        <v>0.39</v>
      </c>
      <c r="O39" s="125">
        <v>0</v>
      </c>
      <c r="P39" s="125">
        <v>0</v>
      </c>
      <c r="Q39" s="126">
        <v>0.39</v>
      </c>
      <c r="R39" s="126">
        <v>0.85</v>
      </c>
      <c r="S39" s="126" t="s">
        <v>69</v>
      </c>
      <c r="T39" s="127">
        <v>0.47</v>
      </c>
      <c r="U39" s="29" t="s">
        <v>64</v>
      </c>
      <c r="V39" s="128">
        <v>5000</v>
      </c>
      <c r="W39" s="24">
        <f t="shared" si="16"/>
        <v>1.8155159999999997</v>
      </c>
      <c r="X39" s="24">
        <f t="shared" si="21"/>
        <v>0.45387899999999992</v>
      </c>
      <c r="Y39" s="24">
        <v>0.27</v>
      </c>
      <c r="Z39" s="24">
        <f t="shared" si="2"/>
        <v>2.5393949999999998</v>
      </c>
      <c r="AA39" s="88">
        <v>89</v>
      </c>
      <c r="AB39" s="24">
        <f t="shared" si="3"/>
        <v>76.724137931034491</v>
      </c>
      <c r="AC39" s="24">
        <f t="shared" si="4"/>
        <v>46.03448275862069</v>
      </c>
      <c r="AD39" s="27">
        <f t="shared" si="17"/>
        <v>5.5162887640449437E-2</v>
      </c>
      <c r="AE39" s="27">
        <f t="shared" si="5"/>
        <v>0.94483711235955059</v>
      </c>
      <c r="AF39" s="28">
        <f t="shared" si="6"/>
        <v>0.4</v>
      </c>
      <c r="AG39" s="81" t="s">
        <v>284</v>
      </c>
      <c r="AH39" s="128" t="s">
        <v>67</v>
      </c>
      <c r="AI39" s="29">
        <v>6</v>
      </c>
      <c r="AJ39" s="29">
        <f t="shared" si="19"/>
        <v>144</v>
      </c>
      <c r="AK39" s="91" t="s">
        <v>1064</v>
      </c>
      <c r="AL39" s="290">
        <v>46261</v>
      </c>
      <c r="AN39" s="129">
        <f t="shared" si="8"/>
        <v>0.17550000000000002</v>
      </c>
      <c r="AO39" s="129">
        <f t="shared" si="9"/>
        <v>0.1512931034482759</v>
      </c>
      <c r="AP39" s="130">
        <f t="shared" si="10"/>
        <v>2.9999979487179473</v>
      </c>
      <c r="AQ39" s="130">
        <f t="shared" si="11"/>
        <v>-1.9999979487179473</v>
      </c>
      <c r="AR39" s="33">
        <f t="shared" si="12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>
        <v>1</v>
      </c>
      <c r="BH39" s="3"/>
      <c r="BI39" s="3"/>
      <c r="BJ39" s="3">
        <v>9</v>
      </c>
      <c r="BK39" s="3">
        <f t="shared" si="13"/>
        <v>7</v>
      </c>
      <c r="BL39" s="4">
        <f t="shared" si="14"/>
        <v>0.77777777777777779</v>
      </c>
      <c r="BM39" s="295"/>
      <c r="BN39" s="295"/>
      <c r="BO39" s="295"/>
      <c r="BP39" s="295"/>
      <c r="BQ39" s="295"/>
      <c r="BR39" s="282" t="str">
        <f t="shared" si="15"/>
        <v>Producción termina 25/May</v>
      </c>
      <c r="BS39" s="284">
        <f t="shared" si="18"/>
        <v>46261</v>
      </c>
      <c r="BT39" s="282" t="s">
        <v>1055</v>
      </c>
      <c r="CJ39" s="367"/>
      <c r="CK39" s="363"/>
      <c r="CL39" s="363"/>
      <c r="CM39" s="363"/>
      <c r="CN39" s="371"/>
      <c r="CO39" s="278"/>
      <c r="CP39" s="367"/>
      <c r="CQ39" s="363"/>
      <c r="CR39" s="373"/>
      <c r="CS39" s="268"/>
      <c r="CT39" s="367"/>
      <c r="CU39" s="363"/>
      <c r="CV39" s="377"/>
      <c r="CW39" s="267"/>
      <c r="CX39" s="367"/>
      <c r="CY39" s="363"/>
      <c r="CZ39" s="377"/>
      <c r="DA39" s="267"/>
      <c r="DB39" s="367"/>
      <c r="DC39" s="363"/>
    </row>
    <row r="40" spans="1:107" ht="76.5">
      <c r="A40" s="75">
        <v>29</v>
      </c>
      <c r="B40" s="121">
        <v>46234</v>
      </c>
      <c r="C40" s="75" t="s">
        <v>76</v>
      </c>
      <c r="D40" s="75" t="s">
        <v>77</v>
      </c>
      <c r="E40" s="122">
        <v>7506110697923</v>
      </c>
      <c r="F40" s="91" t="s">
        <v>1107</v>
      </c>
      <c r="G40" s="81" t="s">
        <v>1108</v>
      </c>
      <c r="H40" s="131" t="s">
        <v>60</v>
      </c>
      <c r="I40" s="124" t="s">
        <v>367</v>
      </c>
      <c r="J40" s="75" t="s">
        <v>1052</v>
      </c>
      <c r="K40" s="81" t="s">
        <v>1053</v>
      </c>
      <c r="L40" s="75">
        <v>1</v>
      </c>
      <c r="M40" s="125">
        <f t="shared" si="22"/>
        <v>0.35200000000000004</v>
      </c>
      <c r="N40" s="125">
        <v>0.44</v>
      </c>
      <c r="O40" s="125">
        <v>0</v>
      </c>
      <c r="P40" s="125">
        <v>0</v>
      </c>
      <c r="Q40" s="126">
        <v>0.44</v>
      </c>
      <c r="R40" s="126">
        <v>0</v>
      </c>
      <c r="S40" s="126" t="s">
        <v>69</v>
      </c>
      <c r="T40" s="133">
        <v>0.77</v>
      </c>
      <c r="U40" s="29" t="s">
        <v>64</v>
      </c>
      <c r="V40" s="128">
        <v>5000</v>
      </c>
      <c r="W40" s="24">
        <f t="shared" si="16"/>
        <v>2.9743559999999998</v>
      </c>
      <c r="X40" s="24">
        <f t="shared" si="21"/>
        <v>0.74358899999999994</v>
      </c>
      <c r="Y40" s="24">
        <v>0.01</v>
      </c>
      <c r="Z40" s="24">
        <f t="shared" si="2"/>
        <v>3.7279449999999996</v>
      </c>
      <c r="AA40" s="88">
        <v>119</v>
      </c>
      <c r="AB40" s="24">
        <f t="shared" si="3"/>
        <v>102.58620689655173</v>
      </c>
      <c r="AC40" s="24">
        <f t="shared" si="4"/>
        <v>61.551724137931032</v>
      </c>
      <c r="AD40" s="27">
        <f t="shared" si="17"/>
        <v>6.056605322128851E-2</v>
      </c>
      <c r="AE40" s="27">
        <f t="shared" si="5"/>
        <v>0.9394339467787115</v>
      </c>
      <c r="AF40" s="28">
        <f t="shared" si="6"/>
        <v>0.4</v>
      </c>
      <c r="AG40" s="81" t="s">
        <v>284</v>
      </c>
      <c r="AH40" s="128" t="s">
        <v>67</v>
      </c>
      <c r="AI40" s="29">
        <v>6</v>
      </c>
      <c r="AJ40" s="29">
        <f t="shared" si="19"/>
        <v>144</v>
      </c>
      <c r="AK40" s="91" t="s">
        <v>1109</v>
      </c>
      <c r="AL40" s="290">
        <v>46242</v>
      </c>
      <c r="AN40" s="129">
        <f t="shared" si="8"/>
        <v>6.5000000000000006E-3</v>
      </c>
      <c r="AO40" s="129">
        <f t="shared" si="9"/>
        <v>5.6034482758620698E-3</v>
      </c>
      <c r="AP40" s="130">
        <f t="shared" si="10"/>
        <v>132.70203692307689</v>
      </c>
      <c r="AQ40" s="130">
        <f t="shared" si="11"/>
        <v>-131.70203692307689</v>
      </c>
      <c r="AR40" s="33">
        <f t="shared" si="12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>
        <v>1</v>
      </c>
      <c r="BH40" s="3"/>
      <c r="BI40" s="3"/>
      <c r="BJ40" s="3">
        <v>9</v>
      </c>
      <c r="BK40" s="3">
        <f t="shared" si="13"/>
        <v>7</v>
      </c>
      <c r="BL40" s="4">
        <f t="shared" si="14"/>
        <v>0.77777777777777779</v>
      </c>
      <c r="BM40" s="295"/>
      <c r="BN40" s="295"/>
      <c r="BO40" s="295"/>
      <c r="BP40" s="295"/>
      <c r="BQ40" s="295"/>
      <c r="BR40" s="282" t="str">
        <f t="shared" si="15"/>
        <v>Producción termina 31/May</v>
      </c>
      <c r="BS40" s="284">
        <f t="shared" si="18"/>
        <v>46242</v>
      </c>
      <c r="BT40" s="282" t="s">
        <v>1055</v>
      </c>
      <c r="CJ40" s="367"/>
      <c r="CK40" s="363"/>
      <c r="CL40" s="363"/>
      <c r="CM40" s="363"/>
      <c r="CN40" s="371"/>
      <c r="CO40" s="278"/>
      <c r="CP40" s="367"/>
      <c r="CQ40" s="363"/>
      <c r="CR40" s="373"/>
      <c r="CS40" s="268"/>
      <c r="CT40" s="367"/>
      <c r="CU40" s="363"/>
      <c r="CV40" s="377"/>
      <c r="CW40" s="267"/>
      <c r="CX40" s="367"/>
      <c r="CY40" s="363"/>
      <c r="CZ40" s="377"/>
      <c r="DA40" s="267"/>
      <c r="DB40" s="367"/>
      <c r="DC40" s="363"/>
    </row>
    <row r="41" spans="1:107" ht="76.5">
      <c r="A41" s="75">
        <v>33</v>
      </c>
      <c r="B41" s="121">
        <v>46234</v>
      </c>
      <c r="C41" s="75" t="s">
        <v>76</v>
      </c>
      <c r="D41" s="75" t="s">
        <v>77</v>
      </c>
      <c r="E41" s="122">
        <v>7506110697961</v>
      </c>
      <c r="F41" s="91" t="s">
        <v>1110</v>
      </c>
      <c r="G41" s="81" t="s">
        <v>1111</v>
      </c>
      <c r="H41" s="131" t="s">
        <v>60</v>
      </c>
      <c r="I41" s="81"/>
      <c r="J41" s="75" t="s">
        <v>1052</v>
      </c>
      <c r="K41" s="81" t="s">
        <v>1053</v>
      </c>
      <c r="L41" s="75">
        <v>1</v>
      </c>
      <c r="M41" s="125">
        <f t="shared" si="22"/>
        <v>0.35200000000000004</v>
      </c>
      <c r="N41" s="125">
        <v>0.44</v>
      </c>
      <c r="O41" s="125">
        <v>0</v>
      </c>
      <c r="P41" s="137">
        <v>0.49</v>
      </c>
      <c r="Q41" s="126">
        <v>0.44</v>
      </c>
      <c r="R41" s="126">
        <v>0.55000000000000004</v>
      </c>
      <c r="S41" s="126" t="s">
        <v>69</v>
      </c>
      <c r="T41" s="127">
        <v>0.47</v>
      </c>
      <c r="U41" s="29" t="s">
        <v>64</v>
      </c>
      <c r="V41" s="128">
        <v>10000</v>
      </c>
      <c r="W41" s="24">
        <f t="shared" si="16"/>
        <v>1.8155159999999997</v>
      </c>
      <c r="X41" s="24">
        <f t="shared" si="21"/>
        <v>0.45387899999999992</v>
      </c>
      <c r="Y41" s="24">
        <v>0.21</v>
      </c>
      <c r="Z41" s="24">
        <f t="shared" si="2"/>
        <v>2.4793949999999993</v>
      </c>
      <c r="AA41" s="88">
        <v>99</v>
      </c>
      <c r="AB41" s="24">
        <f t="shared" si="3"/>
        <v>85.344827586206904</v>
      </c>
      <c r="AC41" s="24">
        <f t="shared" si="4"/>
        <v>51.206896551724142</v>
      </c>
      <c r="AD41" s="27">
        <f t="shared" si="17"/>
        <v>4.8419161616161596E-2</v>
      </c>
      <c r="AE41" s="27">
        <f t="shared" si="5"/>
        <v>0.95158083838383845</v>
      </c>
      <c r="AF41" s="28">
        <f t="shared" si="6"/>
        <v>0.4</v>
      </c>
      <c r="AG41" s="81" t="s">
        <v>284</v>
      </c>
      <c r="AH41" s="128" t="s">
        <v>67</v>
      </c>
      <c r="AI41" s="29">
        <v>6</v>
      </c>
      <c r="AJ41" s="29">
        <f t="shared" si="19"/>
        <v>144</v>
      </c>
      <c r="AK41" s="91" t="s">
        <v>1064</v>
      </c>
      <c r="AL41" s="290">
        <v>46242</v>
      </c>
      <c r="AN41" s="129">
        <f t="shared" si="8"/>
        <v>0.13650000000000001</v>
      </c>
      <c r="AO41" s="129">
        <f t="shared" si="9"/>
        <v>0.11767241379310346</v>
      </c>
      <c r="AP41" s="130">
        <f t="shared" si="10"/>
        <v>3.8571402197802187</v>
      </c>
      <c r="AQ41" s="130">
        <f t="shared" si="11"/>
        <v>-2.8571402197802187</v>
      </c>
      <c r="AR41" s="33">
        <f t="shared" si="12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>
        <v>1</v>
      </c>
      <c r="BH41" s="3"/>
      <c r="BI41" s="3"/>
      <c r="BJ41" s="3">
        <v>9</v>
      </c>
      <c r="BK41" s="3">
        <f t="shared" si="13"/>
        <v>7</v>
      </c>
      <c r="BL41" s="4">
        <f t="shared" si="14"/>
        <v>0.77777777777777779</v>
      </c>
      <c r="BM41" s="295"/>
      <c r="BN41" s="295"/>
      <c r="BO41" s="295"/>
      <c r="BP41" s="295"/>
      <c r="BQ41" s="295"/>
      <c r="BR41" s="282" t="str">
        <f t="shared" si="15"/>
        <v>Producción termina 25/May</v>
      </c>
      <c r="BS41" s="284">
        <f t="shared" si="18"/>
        <v>46242</v>
      </c>
      <c r="BT41" s="282" t="s">
        <v>1055</v>
      </c>
      <c r="CJ41" s="367"/>
      <c r="CK41" s="363"/>
      <c r="CL41" s="363"/>
      <c r="CM41" s="363"/>
      <c r="CN41" s="371"/>
      <c r="CO41" s="278"/>
      <c r="CP41" s="367"/>
      <c r="CQ41" s="363"/>
      <c r="CR41" s="373"/>
      <c r="CS41" s="268"/>
      <c r="CT41" s="367"/>
      <c r="CU41" s="363"/>
      <c r="CV41" s="377"/>
      <c r="CW41" s="267"/>
      <c r="CX41" s="367"/>
      <c r="CY41" s="363"/>
      <c r="CZ41" s="377"/>
      <c r="DA41" s="267"/>
      <c r="DB41" s="367"/>
      <c r="DC41" s="363"/>
    </row>
    <row r="42" spans="1:107" ht="76.5">
      <c r="A42" s="75">
        <v>34</v>
      </c>
      <c r="B42" s="121">
        <v>46234</v>
      </c>
      <c r="C42" s="75" t="s">
        <v>76</v>
      </c>
      <c r="D42" s="75" t="s">
        <v>77</v>
      </c>
      <c r="E42" s="122">
        <v>7506110697978</v>
      </c>
      <c r="F42" s="91" t="s">
        <v>1112</v>
      </c>
      <c r="G42" s="81" t="s">
        <v>1113</v>
      </c>
      <c r="H42" s="131" t="s">
        <v>60</v>
      </c>
      <c r="I42" s="81"/>
      <c r="J42" s="75" t="s">
        <v>1052</v>
      </c>
      <c r="K42" s="81" t="s">
        <v>1053</v>
      </c>
      <c r="L42" s="75">
        <v>1</v>
      </c>
      <c r="M42" s="125">
        <f t="shared" si="22"/>
        <v>0.35200000000000004</v>
      </c>
      <c r="N42" s="125">
        <v>0.44</v>
      </c>
      <c r="O42" s="125">
        <v>0</v>
      </c>
      <c r="P42" s="137">
        <v>0.49</v>
      </c>
      <c r="Q42" s="126">
        <v>0.44</v>
      </c>
      <c r="R42" s="126">
        <v>0.55000000000000004</v>
      </c>
      <c r="S42" s="126" t="s">
        <v>69</v>
      </c>
      <c r="T42" s="127">
        <v>0.47</v>
      </c>
      <c r="U42" s="29" t="s">
        <v>64</v>
      </c>
      <c r="V42" s="128">
        <v>10000</v>
      </c>
      <c r="W42" s="24">
        <f t="shared" si="16"/>
        <v>1.8155159999999997</v>
      </c>
      <c r="X42" s="24">
        <f t="shared" si="21"/>
        <v>0.45387899999999992</v>
      </c>
      <c r="Y42" s="24">
        <v>0.21</v>
      </c>
      <c r="Z42" s="24">
        <f t="shared" si="2"/>
        <v>2.4793949999999993</v>
      </c>
      <c r="AA42" s="88">
        <v>99</v>
      </c>
      <c r="AB42" s="24">
        <f t="shared" si="3"/>
        <v>85.344827586206904</v>
      </c>
      <c r="AC42" s="24">
        <f t="shared" si="4"/>
        <v>51.206896551724142</v>
      </c>
      <c r="AD42" s="27">
        <f t="shared" si="17"/>
        <v>4.8419161616161596E-2</v>
      </c>
      <c r="AE42" s="27">
        <f t="shared" si="5"/>
        <v>0.95158083838383845</v>
      </c>
      <c r="AF42" s="28">
        <f t="shared" si="6"/>
        <v>0.4</v>
      </c>
      <c r="AG42" s="81" t="s">
        <v>284</v>
      </c>
      <c r="AH42" s="128" t="s">
        <v>67</v>
      </c>
      <c r="AI42" s="29">
        <v>6</v>
      </c>
      <c r="AJ42" s="29">
        <f t="shared" si="19"/>
        <v>144</v>
      </c>
      <c r="AK42" s="91" t="s">
        <v>1064</v>
      </c>
      <c r="AL42" s="290">
        <v>46242</v>
      </c>
      <c r="AN42" s="129">
        <f t="shared" si="8"/>
        <v>0.13650000000000001</v>
      </c>
      <c r="AO42" s="129">
        <f t="shared" si="9"/>
        <v>0.11767241379310346</v>
      </c>
      <c r="AP42" s="130">
        <f t="shared" si="10"/>
        <v>3.8571402197802187</v>
      </c>
      <c r="AQ42" s="130">
        <f t="shared" si="11"/>
        <v>-2.8571402197802187</v>
      </c>
      <c r="AR42" s="33">
        <f t="shared" si="12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>
        <v>1</v>
      </c>
      <c r="BH42" s="3"/>
      <c r="BI42" s="3"/>
      <c r="BJ42" s="3">
        <v>9</v>
      </c>
      <c r="BK42" s="3">
        <f t="shared" si="13"/>
        <v>7</v>
      </c>
      <c r="BL42" s="4">
        <f t="shared" si="14"/>
        <v>0.77777777777777779</v>
      </c>
      <c r="BM42" s="295"/>
      <c r="BN42" s="295"/>
      <c r="BO42" s="295"/>
      <c r="BP42" s="295"/>
      <c r="BQ42" s="295"/>
      <c r="BR42" s="282" t="str">
        <f t="shared" si="15"/>
        <v>Producción termina 25/May</v>
      </c>
      <c r="BS42" s="284">
        <f t="shared" si="18"/>
        <v>46242</v>
      </c>
      <c r="BT42" s="282" t="s">
        <v>1055</v>
      </c>
      <c r="CJ42" s="367"/>
      <c r="CK42" s="363"/>
      <c r="CL42" s="363"/>
      <c r="CM42" s="363"/>
      <c r="CN42" s="371"/>
      <c r="CO42" s="278"/>
      <c r="CP42" s="367"/>
      <c r="CQ42" s="363"/>
      <c r="CR42" s="373"/>
      <c r="CS42" s="268"/>
      <c r="CT42" s="367"/>
      <c r="CU42" s="363"/>
      <c r="CV42" s="377"/>
      <c r="CW42" s="267"/>
      <c r="CX42" s="367"/>
      <c r="CY42" s="363"/>
      <c r="CZ42" s="377"/>
      <c r="DA42" s="267"/>
      <c r="DB42" s="367"/>
      <c r="DC42" s="363"/>
    </row>
    <row r="43" spans="1:107" ht="76.5">
      <c r="A43" s="75">
        <v>35</v>
      </c>
      <c r="B43" s="121">
        <v>46234</v>
      </c>
      <c r="C43" s="75" t="s">
        <v>76</v>
      </c>
      <c r="D43" s="75" t="s">
        <v>77</v>
      </c>
      <c r="E43" s="122">
        <v>7506110697985</v>
      </c>
      <c r="F43" s="91" t="s">
        <v>1114</v>
      </c>
      <c r="G43" s="81" t="s">
        <v>1115</v>
      </c>
      <c r="H43" s="131" t="s">
        <v>60</v>
      </c>
      <c r="I43" s="81"/>
      <c r="J43" s="75" t="s">
        <v>1052</v>
      </c>
      <c r="K43" s="81" t="s">
        <v>1053</v>
      </c>
      <c r="L43" s="75">
        <v>1</v>
      </c>
      <c r="M43" s="125">
        <f t="shared" si="22"/>
        <v>0.27200000000000002</v>
      </c>
      <c r="N43" s="125">
        <v>0.34</v>
      </c>
      <c r="O43" s="125">
        <v>0</v>
      </c>
      <c r="P43" s="125">
        <v>0</v>
      </c>
      <c r="Q43" s="126">
        <v>0.9</v>
      </c>
      <c r="R43" s="126">
        <v>0.55000000000000004</v>
      </c>
      <c r="S43" s="126" t="s">
        <v>69</v>
      </c>
      <c r="T43" s="127">
        <v>0.47</v>
      </c>
      <c r="U43" s="29" t="s">
        <v>64</v>
      </c>
      <c r="V43" s="128">
        <v>5000</v>
      </c>
      <c r="W43" s="24">
        <f t="shared" si="16"/>
        <v>1.8155159999999997</v>
      </c>
      <c r="X43" s="24">
        <f t="shared" si="21"/>
        <v>0.45387899999999992</v>
      </c>
      <c r="Y43" s="24">
        <v>0.26</v>
      </c>
      <c r="Z43" s="24">
        <f t="shared" si="2"/>
        <v>2.5293949999999996</v>
      </c>
      <c r="AA43" s="88">
        <v>99</v>
      </c>
      <c r="AB43" s="24">
        <f t="shared" si="3"/>
        <v>85.344827586206904</v>
      </c>
      <c r="AC43" s="24">
        <f t="shared" si="4"/>
        <v>51.206896551724142</v>
      </c>
      <c r="AD43" s="27">
        <f t="shared" si="17"/>
        <v>4.9395592592592581E-2</v>
      </c>
      <c r="AE43" s="27">
        <f t="shared" si="5"/>
        <v>0.95060440740740737</v>
      </c>
      <c r="AF43" s="28">
        <f t="shared" si="6"/>
        <v>0.4</v>
      </c>
      <c r="AG43" s="81" t="s">
        <v>284</v>
      </c>
      <c r="AH43" s="128" t="s">
        <v>67</v>
      </c>
      <c r="AI43" s="29">
        <v>6</v>
      </c>
      <c r="AJ43" s="29">
        <f t="shared" si="19"/>
        <v>144</v>
      </c>
      <c r="AK43" s="91" t="s">
        <v>1064</v>
      </c>
      <c r="AL43" s="290">
        <v>46242</v>
      </c>
      <c r="AN43" s="129">
        <f t="shared" si="8"/>
        <v>0.16900000000000001</v>
      </c>
      <c r="AO43" s="129">
        <f t="shared" si="9"/>
        <v>0.14568965517241381</v>
      </c>
      <c r="AP43" s="130">
        <f t="shared" si="10"/>
        <v>3.1153824852070997</v>
      </c>
      <c r="AQ43" s="130">
        <f t="shared" si="11"/>
        <v>-2.1153824852070997</v>
      </c>
      <c r="AR43" s="33">
        <f t="shared" si="12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>
        <v>1</v>
      </c>
      <c r="BH43" s="3"/>
      <c r="BI43" s="3"/>
      <c r="BJ43" s="3">
        <v>9</v>
      </c>
      <c r="BK43" s="3">
        <f t="shared" si="13"/>
        <v>7</v>
      </c>
      <c r="BL43" s="4">
        <f t="shared" si="14"/>
        <v>0.77777777777777779</v>
      </c>
      <c r="BM43" s="295"/>
      <c r="BN43" s="295"/>
      <c r="BO43" s="295"/>
      <c r="BP43" s="295"/>
      <c r="BQ43" s="295"/>
      <c r="BR43" s="282" t="str">
        <f t="shared" si="15"/>
        <v>Producción termina 25/May</v>
      </c>
      <c r="BS43" s="284">
        <f t="shared" si="18"/>
        <v>46242</v>
      </c>
      <c r="BT43" s="282" t="s">
        <v>1055</v>
      </c>
      <c r="CJ43" s="367"/>
      <c r="CK43" s="363"/>
      <c r="CL43" s="363"/>
      <c r="CM43" s="363"/>
      <c r="CN43" s="371"/>
      <c r="CO43" s="278"/>
      <c r="CP43" s="367"/>
      <c r="CQ43" s="363"/>
      <c r="CR43" s="373"/>
      <c r="CS43" s="268"/>
      <c r="CT43" s="367"/>
      <c r="CU43" s="363"/>
      <c r="CV43" s="377"/>
      <c r="CW43" s="267"/>
      <c r="CX43" s="367"/>
      <c r="CY43" s="363"/>
      <c r="CZ43" s="377"/>
      <c r="DA43" s="267"/>
      <c r="DB43" s="367"/>
      <c r="DC43" s="363"/>
    </row>
    <row r="44" spans="1:107" ht="76.5">
      <c r="A44" s="75">
        <v>36</v>
      </c>
      <c r="B44" s="121">
        <v>46234</v>
      </c>
      <c r="C44" s="75" t="s">
        <v>76</v>
      </c>
      <c r="D44" s="75" t="s">
        <v>77</v>
      </c>
      <c r="E44" s="122">
        <v>7506110697992</v>
      </c>
      <c r="F44" s="91" t="s">
        <v>1116</v>
      </c>
      <c r="G44" s="81" t="s">
        <v>1117</v>
      </c>
      <c r="H44" s="131" t="s">
        <v>60</v>
      </c>
      <c r="I44" s="81"/>
      <c r="J44" s="75" t="s">
        <v>1052</v>
      </c>
      <c r="K44" s="81" t="s">
        <v>1053</v>
      </c>
      <c r="L44" s="75">
        <v>1</v>
      </c>
      <c r="M44" s="125">
        <f t="shared" si="22"/>
        <v>0.27200000000000002</v>
      </c>
      <c r="N44" s="125">
        <v>0.34</v>
      </c>
      <c r="O44" s="125">
        <v>0</v>
      </c>
      <c r="P44" s="125">
        <v>0</v>
      </c>
      <c r="Q44" s="126">
        <v>0.44</v>
      </c>
      <c r="R44" s="126">
        <v>0.55000000000000004</v>
      </c>
      <c r="S44" s="126" t="s">
        <v>69</v>
      </c>
      <c r="T44" s="127">
        <v>0.47</v>
      </c>
      <c r="U44" s="29" t="s">
        <v>64</v>
      </c>
      <c r="V44" s="128">
        <v>5000</v>
      </c>
      <c r="W44" s="24">
        <f t="shared" si="16"/>
        <v>1.8155159999999997</v>
      </c>
      <c r="X44" s="24">
        <f t="shared" si="21"/>
        <v>0.45387899999999992</v>
      </c>
      <c r="Y44" s="24">
        <v>0.26</v>
      </c>
      <c r="Z44" s="24">
        <f t="shared" si="2"/>
        <v>2.5293949999999996</v>
      </c>
      <c r="AA44" s="88">
        <v>99</v>
      </c>
      <c r="AB44" s="24">
        <f t="shared" si="3"/>
        <v>85.344827586206904</v>
      </c>
      <c r="AC44" s="24">
        <f t="shared" si="4"/>
        <v>51.206896551724142</v>
      </c>
      <c r="AD44" s="27">
        <f t="shared" si="17"/>
        <v>4.9395592592592581E-2</v>
      </c>
      <c r="AE44" s="27">
        <f t="shared" si="5"/>
        <v>0.95060440740740737</v>
      </c>
      <c r="AF44" s="28">
        <f t="shared" si="6"/>
        <v>0.4</v>
      </c>
      <c r="AG44" s="81" t="s">
        <v>284</v>
      </c>
      <c r="AH44" s="128" t="s">
        <v>67</v>
      </c>
      <c r="AI44" s="29">
        <v>6</v>
      </c>
      <c r="AJ44" s="29">
        <f t="shared" si="19"/>
        <v>144</v>
      </c>
      <c r="AK44" s="91" t="s">
        <v>1064</v>
      </c>
      <c r="AL44" s="290">
        <v>46242</v>
      </c>
      <c r="AN44" s="129">
        <f t="shared" si="8"/>
        <v>0.16900000000000001</v>
      </c>
      <c r="AO44" s="129">
        <f t="shared" si="9"/>
        <v>0.14568965517241381</v>
      </c>
      <c r="AP44" s="130">
        <f t="shared" si="10"/>
        <v>3.1153824852070997</v>
      </c>
      <c r="AQ44" s="130">
        <f t="shared" si="11"/>
        <v>-2.1153824852070997</v>
      </c>
      <c r="AR44" s="33">
        <f t="shared" si="12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>
        <v>1</v>
      </c>
      <c r="BH44" s="3"/>
      <c r="BI44" s="3"/>
      <c r="BJ44" s="3">
        <v>9</v>
      </c>
      <c r="BK44" s="3">
        <f t="shared" si="13"/>
        <v>7</v>
      </c>
      <c r="BL44" s="4">
        <f t="shared" si="14"/>
        <v>0.77777777777777779</v>
      </c>
      <c r="BM44" s="295"/>
      <c r="BN44" s="295"/>
      <c r="BO44" s="295"/>
      <c r="BP44" s="295"/>
      <c r="BQ44" s="295"/>
      <c r="BR44" s="282" t="str">
        <f t="shared" si="15"/>
        <v>Producción termina 25/May</v>
      </c>
      <c r="BS44" s="284">
        <f t="shared" si="18"/>
        <v>46242</v>
      </c>
      <c r="BT44" s="282" t="s">
        <v>1055</v>
      </c>
      <c r="CJ44" s="367"/>
      <c r="CK44" s="363"/>
      <c r="CL44" s="363"/>
      <c r="CM44" s="363"/>
      <c r="CN44" s="371"/>
      <c r="CO44" s="278"/>
      <c r="CP44" s="367"/>
      <c r="CQ44" s="363"/>
      <c r="CR44" s="373"/>
      <c r="CS44" s="268"/>
      <c r="CT44" s="367"/>
      <c r="CU44" s="363"/>
      <c r="CV44" s="374"/>
      <c r="CW44" s="341"/>
      <c r="CX44" s="367"/>
      <c r="CY44" s="363"/>
      <c r="CZ44" s="374"/>
      <c r="DA44" s="341"/>
      <c r="DB44" s="367"/>
      <c r="DC44" s="363"/>
    </row>
    <row r="45" spans="1:107" ht="115.5">
      <c r="A45" s="75">
        <v>37</v>
      </c>
      <c r="B45" s="121">
        <v>46234</v>
      </c>
      <c r="C45" s="75" t="s">
        <v>76</v>
      </c>
      <c r="D45" s="75" t="s">
        <v>77</v>
      </c>
      <c r="E45" s="122">
        <v>7506110698005</v>
      </c>
      <c r="F45" s="91" t="s">
        <v>1118</v>
      </c>
      <c r="G45" s="81" t="s">
        <v>1119</v>
      </c>
      <c r="H45" s="131" t="s">
        <v>60</v>
      </c>
      <c r="I45" s="81"/>
      <c r="J45" s="75" t="s">
        <v>1052</v>
      </c>
      <c r="K45" s="81" t="s">
        <v>1053</v>
      </c>
      <c r="L45" s="75">
        <v>1</v>
      </c>
      <c r="M45" s="125">
        <f t="shared" si="22"/>
        <v>0.18400000000000002</v>
      </c>
      <c r="N45" s="125">
        <v>0.23</v>
      </c>
      <c r="O45" s="125">
        <v>0</v>
      </c>
      <c r="P45" s="125">
        <v>0</v>
      </c>
      <c r="Q45" s="126">
        <v>0.28000000000000003</v>
      </c>
      <c r="R45" s="126">
        <v>0</v>
      </c>
      <c r="S45" s="126" t="s">
        <v>69</v>
      </c>
      <c r="T45" s="127">
        <v>0.32</v>
      </c>
      <c r="U45" s="29" t="s">
        <v>64</v>
      </c>
      <c r="V45" s="128">
        <v>5000</v>
      </c>
      <c r="W45" s="24">
        <f t="shared" si="16"/>
        <v>1.2360959999999999</v>
      </c>
      <c r="X45" s="24">
        <f t="shared" si="21"/>
        <v>0.30902399999999997</v>
      </c>
      <c r="Y45" s="24">
        <v>0.03</v>
      </c>
      <c r="Z45" s="24">
        <f t="shared" si="2"/>
        <v>1.5751199999999999</v>
      </c>
      <c r="AA45" s="88">
        <v>39</v>
      </c>
      <c r="AB45" s="24">
        <f t="shared" si="3"/>
        <v>33.620689655172413</v>
      </c>
      <c r="AC45" s="24">
        <f t="shared" si="4"/>
        <v>20.172413793103448</v>
      </c>
      <c r="AD45" s="27">
        <f t="shared" si="17"/>
        <v>7.8082871794871792E-2</v>
      </c>
      <c r="AE45" s="27">
        <f t="shared" si="5"/>
        <v>0.92191712820512817</v>
      </c>
      <c r="AF45" s="28">
        <f t="shared" si="6"/>
        <v>0.4</v>
      </c>
      <c r="AG45" s="81" t="s">
        <v>865</v>
      </c>
      <c r="AH45" s="128" t="s">
        <v>67</v>
      </c>
      <c r="AI45" s="29">
        <v>6</v>
      </c>
      <c r="AJ45" s="29">
        <f t="shared" si="19"/>
        <v>144</v>
      </c>
      <c r="AK45" s="91" t="s">
        <v>1054</v>
      </c>
      <c r="AL45" s="290">
        <v>46252</v>
      </c>
      <c r="AN45" s="129">
        <f t="shared" si="8"/>
        <v>1.95E-2</v>
      </c>
      <c r="AO45" s="129">
        <f t="shared" si="9"/>
        <v>1.6810344827586209E-2</v>
      </c>
      <c r="AP45" s="130">
        <f t="shared" si="10"/>
        <v>18.382966153846148</v>
      </c>
      <c r="AQ45" s="130">
        <f t="shared" si="11"/>
        <v>-17.382966153846148</v>
      </c>
      <c r="AR45" s="33">
        <f t="shared" si="12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>
        <v>1</v>
      </c>
      <c r="BH45" s="3"/>
      <c r="BI45" s="3"/>
      <c r="BJ45" s="3">
        <v>9</v>
      </c>
      <c r="BK45" s="3">
        <f t="shared" si="13"/>
        <v>7</v>
      </c>
      <c r="BL45" s="4">
        <f t="shared" si="14"/>
        <v>0.77777777777777779</v>
      </c>
      <c r="BM45" s="295"/>
      <c r="BN45" s="295"/>
      <c r="BO45" s="295"/>
      <c r="BP45" s="295"/>
      <c r="BQ45" s="295"/>
      <c r="BR45" s="282" t="str">
        <f t="shared" si="15"/>
        <v>En Producción. Termina en 31/May</v>
      </c>
      <c r="BS45" s="284">
        <f t="shared" si="18"/>
        <v>46252</v>
      </c>
      <c r="BT45" s="282" t="s">
        <v>1055</v>
      </c>
      <c r="CJ45" s="367"/>
      <c r="CK45" s="363"/>
      <c r="CL45" s="363"/>
      <c r="CM45" s="363"/>
      <c r="CN45" s="371"/>
      <c r="CO45" s="278"/>
      <c r="CP45" s="367"/>
      <c r="CQ45" s="363"/>
      <c r="CR45" s="373"/>
      <c r="CS45" s="268"/>
      <c r="CT45" s="367"/>
      <c r="CU45" s="363"/>
      <c r="CV45" s="377"/>
      <c r="CW45" s="267"/>
      <c r="CX45" s="367"/>
      <c r="CY45" s="363"/>
      <c r="CZ45" s="377"/>
      <c r="DA45" s="267"/>
      <c r="DB45" s="367"/>
      <c r="DC45" s="363"/>
    </row>
    <row r="46" spans="1:107" ht="115.5">
      <c r="A46" s="75">
        <v>38</v>
      </c>
      <c r="B46" s="121">
        <v>46234</v>
      </c>
      <c r="C46" s="75" t="s">
        <v>76</v>
      </c>
      <c r="D46" s="75" t="s">
        <v>77</v>
      </c>
      <c r="E46" s="122">
        <v>7506110698012</v>
      </c>
      <c r="F46" s="91" t="s">
        <v>1120</v>
      </c>
      <c r="G46" s="81" t="s">
        <v>1121</v>
      </c>
      <c r="H46" s="131" t="s">
        <v>60</v>
      </c>
      <c r="I46" s="81"/>
      <c r="J46" s="75" t="s">
        <v>1052</v>
      </c>
      <c r="K46" s="81" t="s">
        <v>1053</v>
      </c>
      <c r="L46" s="75">
        <v>1</v>
      </c>
      <c r="M46" s="125">
        <f t="shared" si="22"/>
        <v>0.18400000000000002</v>
      </c>
      <c r="N46" s="125">
        <v>0.23</v>
      </c>
      <c r="O46" s="125">
        <v>0</v>
      </c>
      <c r="P46" s="125">
        <v>0</v>
      </c>
      <c r="Q46" s="126">
        <v>0.28000000000000003</v>
      </c>
      <c r="R46" s="126">
        <v>0</v>
      </c>
      <c r="S46" s="126" t="s">
        <v>69</v>
      </c>
      <c r="T46" s="127">
        <v>0.32</v>
      </c>
      <c r="U46" s="29" t="s">
        <v>64</v>
      </c>
      <c r="V46" s="128">
        <v>5000</v>
      </c>
      <c r="W46" s="24">
        <f t="shared" si="16"/>
        <v>1.2360959999999999</v>
      </c>
      <c r="X46" s="24">
        <f t="shared" si="21"/>
        <v>0.30902399999999997</v>
      </c>
      <c r="Y46" s="24">
        <v>0.03</v>
      </c>
      <c r="Z46" s="24">
        <f t="shared" si="2"/>
        <v>1.5751199999999999</v>
      </c>
      <c r="AA46" s="88">
        <v>39</v>
      </c>
      <c r="AB46" s="24">
        <f t="shared" si="3"/>
        <v>33.620689655172413</v>
      </c>
      <c r="AC46" s="24">
        <f t="shared" si="4"/>
        <v>20.172413793103448</v>
      </c>
      <c r="AD46" s="27">
        <f t="shared" si="17"/>
        <v>7.8082871794871792E-2</v>
      </c>
      <c r="AE46" s="27">
        <f t="shared" si="5"/>
        <v>0.92191712820512817</v>
      </c>
      <c r="AF46" s="28">
        <f t="shared" si="6"/>
        <v>0.4</v>
      </c>
      <c r="AG46" s="81" t="s">
        <v>865</v>
      </c>
      <c r="AH46" s="128" t="s">
        <v>67</v>
      </c>
      <c r="AI46" s="29">
        <v>6</v>
      </c>
      <c r="AJ46" s="29">
        <f t="shared" si="19"/>
        <v>144</v>
      </c>
      <c r="AK46" s="91" t="s">
        <v>1054</v>
      </c>
      <c r="AL46" s="290">
        <v>46252</v>
      </c>
      <c r="AN46" s="129">
        <f t="shared" si="8"/>
        <v>1.95E-2</v>
      </c>
      <c r="AO46" s="129">
        <f t="shared" si="9"/>
        <v>1.6810344827586209E-2</v>
      </c>
      <c r="AP46" s="130">
        <f t="shared" si="10"/>
        <v>18.382966153846148</v>
      </c>
      <c r="AQ46" s="130">
        <f t="shared" si="11"/>
        <v>-17.382966153846148</v>
      </c>
      <c r="AR46" s="33">
        <f t="shared" si="12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>
        <v>1</v>
      </c>
      <c r="BH46" s="3"/>
      <c r="BI46" s="3"/>
      <c r="BJ46" s="3">
        <v>9</v>
      </c>
      <c r="BK46" s="3">
        <f t="shared" si="13"/>
        <v>7</v>
      </c>
      <c r="BL46" s="4">
        <f t="shared" si="14"/>
        <v>0.77777777777777779</v>
      </c>
      <c r="BM46" s="295"/>
      <c r="BN46" s="295"/>
      <c r="BO46" s="295"/>
      <c r="BP46" s="295"/>
      <c r="BQ46" s="295"/>
      <c r="BR46" s="282" t="str">
        <f t="shared" si="15"/>
        <v>En Producción. Termina en 31/May</v>
      </c>
      <c r="BS46" s="284">
        <f t="shared" si="18"/>
        <v>46252</v>
      </c>
      <c r="BT46" s="282" t="s">
        <v>1055</v>
      </c>
      <c r="CJ46" s="367"/>
      <c r="CK46" s="363"/>
      <c r="CL46" s="363"/>
      <c r="CM46" s="363"/>
      <c r="CN46" s="371"/>
      <c r="CO46" s="278"/>
      <c r="CP46" s="367"/>
      <c r="CQ46" s="363"/>
      <c r="CR46" s="373"/>
      <c r="CS46" s="268"/>
      <c r="CT46" s="367"/>
      <c r="CU46" s="363"/>
      <c r="CV46" s="377"/>
      <c r="CW46" s="267"/>
      <c r="CX46" s="367"/>
      <c r="CY46" s="363"/>
      <c r="CZ46" s="377"/>
      <c r="DA46" s="267"/>
      <c r="DB46" s="367"/>
      <c r="DC46" s="363"/>
    </row>
    <row r="47" spans="1:107" ht="115.5">
      <c r="A47" s="75">
        <v>39</v>
      </c>
      <c r="B47" s="121">
        <v>46234</v>
      </c>
      <c r="C47" s="75" t="s">
        <v>76</v>
      </c>
      <c r="D47" s="75" t="s">
        <v>77</v>
      </c>
      <c r="E47" s="122">
        <v>7506110698029</v>
      </c>
      <c r="F47" s="91" t="s">
        <v>1122</v>
      </c>
      <c r="G47" s="138" t="s">
        <v>1123</v>
      </c>
      <c r="H47" s="131" t="s">
        <v>60</v>
      </c>
      <c r="I47" s="138"/>
      <c r="J47" s="75" t="s">
        <v>1052</v>
      </c>
      <c r="K47" s="81" t="s">
        <v>1053</v>
      </c>
      <c r="L47" s="75">
        <v>1</v>
      </c>
      <c r="M47" s="125">
        <f t="shared" si="22"/>
        <v>0.15200000000000002</v>
      </c>
      <c r="N47" s="125">
        <v>0.19</v>
      </c>
      <c r="O47" s="125">
        <v>0</v>
      </c>
      <c r="P47" s="125">
        <v>0</v>
      </c>
      <c r="Q47" s="126">
        <v>0.25</v>
      </c>
      <c r="R47" s="126">
        <v>0</v>
      </c>
      <c r="S47" s="126" t="s">
        <v>69</v>
      </c>
      <c r="T47" s="127">
        <v>0.32</v>
      </c>
      <c r="U47" s="29" t="s">
        <v>64</v>
      </c>
      <c r="V47" s="128">
        <v>5000</v>
      </c>
      <c r="W47" s="24">
        <f t="shared" si="16"/>
        <v>1.2360959999999999</v>
      </c>
      <c r="X47" s="24">
        <f t="shared" si="21"/>
        <v>0.30902399999999997</v>
      </c>
      <c r="Y47" s="24">
        <v>0.03</v>
      </c>
      <c r="Z47" s="24">
        <f t="shared" si="2"/>
        <v>1.5751199999999999</v>
      </c>
      <c r="AA47" s="88">
        <v>39</v>
      </c>
      <c r="AB47" s="24">
        <f t="shared" si="3"/>
        <v>33.620689655172413</v>
      </c>
      <c r="AC47" s="24">
        <f t="shared" si="4"/>
        <v>20.172413793103448</v>
      </c>
      <c r="AD47" s="27">
        <f t="shared" si="17"/>
        <v>7.8082871794871792E-2</v>
      </c>
      <c r="AE47" s="27">
        <f t="shared" si="5"/>
        <v>0.92191712820512817</v>
      </c>
      <c r="AF47" s="28">
        <f t="shared" si="6"/>
        <v>0.4</v>
      </c>
      <c r="AG47" s="81" t="s">
        <v>865</v>
      </c>
      <c r="AH47" s="128" t="s">
        <v>67</v>
      </c>
      <c r="AI47" s="29">
        <v>6</v>
      </c>
      <c r="AJ47" s="29">
        <f t="shared" si="19"/>
        <v>144</v>
      </c>
      <c r="AK47" s="91" t="s">
        <v>1054</v>
      </c>
      <c r="AL47" s="290">
        <v>46252</v>
      </c>
      <c r="AN47" s="129">
        <f t="shared" si="8"/>
        <v>1.95E-2</v>
      </c>
      <c r="AO47" s="129">
        <f t="shared" si="9"/>
        <v>1.6810344827586209E-2</v>
      </c>
      <c r="AP47" s="130">
        <f t="shared" si="10"/>
        <v>18.382966153846148</v>
      </c>
      <c r="AQ47" s="130">
        <f t="shared" si="11"/>
        <v>-17.382966153846148</v>
      </c>
      <c r="AR47" s="33">
        <f t="shared" si="12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>
        <v>1</v>
      </c>
      <c r="BH47" s="3"/>
      <c r="BI47" s="3"/>
      <c r="BJ47" s="3">
        <v>9</v>
      </c>
      <c r="BK47" s="3">
        <f t="shared" si="13"/>
        <v>7</v>
      </c>
      <c r="BL47" s="4">
        <f t="shared" si="14"/>
        <v>0.77777777777777779</v>
      </c>
      <c r="BM47" s="295"/>
      <c r="BN47" s="295"/>
      <c r="BO47" s="295"/>
      <c r="BP47" s="295"/>
      <c r="BQ47" s="295"/>
      <c r="BR47" s="282" t="str">
        <f t="shared" si="15"/>
        <v>En Producción. Termina en 31/May</v>
      </c>
      <c r="BS47" s="284">
        <f t="shared" si="18"/>
        <v>46252</v>
      </c>
      <c r="BT47" s="282" t="s">
        <v>1055</v>
      </c>
      <c r="CJ47" s="367"/>
      <c r="CK47" s="363"/>
      <c r="CL47" s="363"/>
      <c r="CM47" s="363"/>
      <c r="CN47" s="371"/>
      <c r="CO47" s="278"/>
      <c r="CP47" s="367"/>
      <c r="CQ47" s="363"/>
      <c r="CR47" s="373"/>
      <c r="CS47" s="268"/>
      <c r="CT47" s="367"/>
      <c r="CU47" s="363"/>
      <c r="CV47" s="377"/>
      <c r="CW47" s="267"/>
      <c r="CX47" s="367"/>
      <c r="CY47" s="363"/>
      <c r="CZ47" s="377"/>
      <c r="DA47" s="267"/>
      <c r="DB47" s="367"/>
      <c r="DC47" s="363"/>
    </row>
    <row r="48" spans="1:107" ht="115.5">
      <c r="A48" s="75">
        <v>40</v>
      </c>
      <c r="B48" s="121">
        <v>46234</v>
      </c>
      <c r="C48" s="75" t="s">
        <v>76</v>
      </c>
      <c r="D48" s="75" t="s">
        <v>77</v>
      </c>
      <c r="E48" s="122">
        <v>7506110698036</v>
      </c>
      <c r="F48" s="91" t="s">
        <v>1124</v>
      </c>
      <c r="G48" s="138" t="s">
        <v>1125</v>
      </c>
      <c r="H48" s="131" t="s">
        <v>60</v>
      </c>
      <c r="I48" s="138"/>
      <c r="J48" s="75" t="s">
        <v>1052</v>
      </c>
      <c r="K48" s="81" t="s">
        <v>1053</v>
      </c>
      <c r="L48" s="75">
        <v>1</v>
      </c>
      <c r="M48" s="125">
        <f t="shared" si="22"/>
        <v>0.15200000000000002</v>
      </c>
      <c r="N48" s="125">
        <v>0.19</v>
      </c>
      <c r="O48" s="125">
        <v>0</v>
      </c>
      <c r="P48" s="125">
        <v>0</v>
      </c>
      <c r="Q48" s="126">
        <v>0.25</v>
      </c>
      <c r="R48" s="126">
        <v>0</v>
      </c>
      <c r="S48" s="126" t="s">
        <v>69</v>
      </c>
      <c r="T48" s="127">
        <v>0.32</v>
      </c>
      <c r="U48" s="29" t="s">
        <v>64</v>
      </c>
      <c r="V48" s="128">
        <v>5000</v>
      </c>
      <c r="W48" s="24">
        <f t="shared" si="16"/>
        <v>1.2360959999999999</v>
      </c>
      <c r="X48" s="24">
        <f t="shared" si="21"/>
        <v>0.30902399999999997</v>
      </c>
      <c r="Y48" s="24">
        <v>0.03</v>
      </c>
      <c r="Z48" s="24">
        <f t="shared" si="2"/>
        <v>1.5751199999999999</v>
      </c>
      <c r="AA48" s="88">
        <v>39</v>
      </c>
      <c r="AB48" s="24">
        <f t="shared" si="3"/>
        <v>33.620689655172413</v>
      </c>
      <c r="AC48" s="24">
        <f t="shared" si="4"/>
        <v>20.172413793103448</v>
      </c>
      <c r="AD48" s="27">
        <f t="shared" si="17"/>
        <v>7.8082871794871792E-2</v>
      </c>
      <c r="AE48" s="27">
        <f t="shared" si="5"/>
        <v>0.92191712820512817</v>
      </c>
      <c r="AF48" s="28">
        <f t="shared" si="6"/>
        <v>0.4</v>
      </c>
      <c r="AG48" s="81" t="s">
        <v>865</v>
      </c>
      <c r="AH48" s="128" t="s">
        <v>67</v>
      </c>
      <c r="AI48" s="29">
        <v>6</v>
      </c>
      <c r="AJ48" s="29">
        <f t="shared" si="19"/>
        <v>144</v>
      </c>
      <c r="AK48" s="91" t="s">
        <v>1054</v>
      </c>
      <c r="AL48" s="290">
        <v>46252</v>
      </c>
      <c r="AN48" s="129">
        <f t="shared" si="8"/>
        <v>1.95E-2</v>
      </c>
      <c r="AO48" s="129">
        <f t="shared" si="9"/>
        <v>1.6810344827586209E-2</v>
      </c>
      <c r="AP48" s="130">
        <f t="shared" si="10"/>
        <v>18.382966153846148</v>
      </c>
      <c r="AQ48" s="130">
        <f t="shared" si="11"/>
        <v>-17.382966153846148</v>
      </c>
      <c r="AR48" s="33">
        <f t="shared" si="12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>
        <v>1</v>
      </c>
      <c r="BH48" s="3"/>
      <c r="BI48" s="3"/>
      <c r="BJ48" s="3">
        <v>9</v>
      </c>
      <c r="BK48" s="3">
        <f t="shared" si="13"/>
        <v>7</v>
      </c>
      <c r="BL48" s="4">
        <f t="shared" si="14"/>
        <v>0.77777777777777779</v>
      </c>
      <c r="BM48" s="295"/>
      <c r="BN48" s="295"/>
      <c r="BO48" s="295"/>
      <c r="BP48" s="295"/>
      <c r="BQ48" s="295"/>
      <c r="BR48" s="282" t="str">
        <f t="shared" si="15"/>
        <v>En Producción. Termina en 31/May</v>
      </c>
      <c r="BS48" s="284">
        <f t="shared" si="18"/>
        <v>46252</v>
      </c>
      <c r="BT48" s="282" t="s">
        <v>1055</v>
      </c>
      <c r="CJ48" s="367"/>
      <c r="CK48" s="363"/>
      <c r="CL48" s="363"/>
      <c r="CM48" s="363"/>
      <c r="CN48" s="371"/>
      <c r="CO48" s="278"/>
      <c r="CP48" s="367"/>
      <c r="CQ48" s="363"/>
      <c r="CR48" s="373"/>
      <c r="CS48" s="268"/>
      <c r="CT48" s="367"/>
      <c r="CU48" s="363"/>
      <c r="CV48" s="377"/>
      <c r="CW48" s="267"/>
      <c r="CX48" s="367"/>
      <c r="CY48" s="363"/>
      <c r="CZ48" s="377"/>
      <c r="DA48" s="267"/>
      <c r="DB48" s="367"/>
      <c r="DC48" s="363"/>
    </row>
    <row r="49" spans="1:107" ht="115.5">
      <c r="A49" s="75">
        <v>41</v>
      </c>
      <c r="B49" s="121">
        <v>46234</v>
      </c>
      <c r="C49" s="75" t="s">
        <v>76</v>
      </c>
      <c r="D49" s="75" t="s">
        <v>77</v>
      </c>
      <c r="E49" s="122">
        <v>7506110698043</v>
      </c>
      <c r="F49" s="91" t="s">
        <v>1126</v>
      </c>
      <c r="G49" s="138" t="s">
        <v>1127</v>
      </c>
      <c r="H49" s="131" t="s">
        <v>60</v>
      </c>
      <c r="I49" s="138"/>
      <c r="J49" s="75" t="s">
        <v>1052</v>
      </c>
      <c r="K49" s="81" t="s">
        <v>1053</v>
      </c>
      <c r="L49" s="75">
        <v>1</v>
      </c>
      <c r="M49" s="125">
        <f t="shared" si="22"/>
        <v>0.15200000000000002</v>
      </c>
      <c r="N49" s="125">
        <v>0.19</v>
      </c>
      <c r="O49" s="125">
        <v>0</v>
      </c>
      <c r="P49" s="125">
        <v>0</v>
      </c>
      <c r="Q49" s="126">
        <v>0.25</v>
      </c>
      <c r="R49" s="126">
        <v>0</v>
      </c>
      <c r="S49" s="126" t="s">
        <v>69</v>
      </c>
      <c r="T49" s="127">
        <v>0.32</v>
      </c>
      <c r="U49" s="29" t="s">
        <v>64</v>
      </c>
      <c r="V49" s="128">
        <v>5000</v>
      </c>
      <c r="W49" s="24">
        <f t="shared" ref="W49:W75" si="23">+T49*$X$17</f>
        <v>1.2360959999999999</v>
      </c>
      <c r="X49" s="24">
        <f t="shared" si="21"/>
        <v>0.30902399999999997</v>
      </c>
      <c r="Y49" s="24">
        <v>0.03</v>
      </c>
      <c r="Z49" s="24">
        <f t="shared" ref="Z49:Z67" si="24">Y49+X49+W49</f>
        <v>1.5751199999999999</v>
      </c>
      <c r="AA49" s="88">
        <v>39</v>
      </c>
      <c r="AB49" s="24">
        <f t="shared" ref="AB49:AB75" si="25">(AA49/1.16)</f>
        <v>33.620689655172413</v>
      </c>
      <c r="AC49" s="24">
        <f t="shared" ref="AC49:AC67" si="26">(AA49/1.16)*0.6</f>
        <v>20.172413793103448</v>
      </c>
      <c r="AD49" s="27">
        <f t="shared" si="17"/>
        <v>7.8082871794871792E-2</v>
      </c>
      <c r="AE49" s="27">
        <f t="shared" ref="AE49:AE75" si="27">1-(Z49/AC49)</f>
        <v>0.92191712820512817</v>
      </c>
      <c r="AF49" s="28">
        <f t="shared" ref="AF49:AF75" si="28">1-(AC49/(AA49/1.16))</f>
        <v>0.4</v>
      </c>
      <c r="AG49" s="81" t="s">
        <v>865</v>
      </c>
      <c r="AH49" s="128" t="s">
        <v>67</v>
      </c>
      <c r="AI49" s="29">
        <v>6</v>
      </c>
      <c r="AJ49" s="29">
        <f t="shared" si="19"/>
        <v>144</v>
      </c>
      <c r="AK49" s="91" t="s">
        <v>1054</v>
      </c>
      <c r="AL49" s="290">
        <v>46252</v>
      </c>
      <c r="AN49" s="129">
        <f t="shared" si="8"/>
        <v>1.95E-2</v>
      </c>
      <c r="AO49" s="129">
        <f t="shared" ref="AO49:AO75" si="29">AN49/1.16</f>
        <v>1.6810344827586209E-2</v>
      </c>
      <c r="AP49" s="130">
        <f t="shared" ref="AP49:AP75" si="30">X49/AO49</f>
        <v>18.382966153846148</v>
      </c>
      <c r="AQ49" s="130">
        <f t="shared" ref="AQ49:AQ75" si="31">1-(X49/AO49)</f>
        <v>-17.382966153846148</v>
      </c>
      <c r="AR49" s="33">
        <f t="shared" ref="AR49:AR75" si="32">1-(AO49/(AN49/1.16))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>
        <v>1</v>
      </c>
      <c r="BH49" s="3"/>
      <c r="BI49" s="3"/>
      <c r="BJ49" s="3">
        <v>9</v>
      </c>
      <c r="BK49" s="3">
        <f t="shared" ref="BK49:BK75" si="33">SUM(BA49:BI49)</f>
        <v>7</v>
      </c>
      <c r="BL49" s="4">
        <f t="shared" ref="BL49:BL75" si="34">+BK49/BJ49</f>
        <v>0.77777777777777779</v>
      </c>
      <c r="BM49" s="295"/>
      <c r="BN49" s="295"/>
      <c r="BO49" s="295"/>
      <c r="BP49" s="295"/>
      <c r="BQ49" s="295"/>
      <c r="BR49" s="282" t="str">
        <f t="shared" si="15"/>
        <v>En Producción. Termina en 31/May</v>
      </c>
      <c r="BS49" s="284">
        <f t="shared" si="18"/>
        <v>46252</v>
      </c>
      <c r="BT49" s="282" t="s">
        <v>1055</v>
      </c>
      <c r="CJ49" s="367"/>
      <c r="CK49" s="363"/>
      <c r="CL49" s="363"/>
      <c r="CM49" s="363"/>
      <c r="CN49" s="371"/>
      <c r="CO49" s="278"/>
      <c r="CP49" s="367"/>
      <c r="CQ49" s="363"/>
      <c r="CR49" s="373"/>
      <c r="CS49" s="268"/>
      <c r="CT49" s="367"/>
      <c r="CU49" s="363"/>
      <c r="CV49" s="377"/>
      <c r="CW49" s="267"/>
      <c r="CX49" s="367"/>
      <c r="CY49" s="363"/>
      <c r="CZ49" s="377"/>
      <c r="DA49" s="267"/>
      <c r="DB49" s="367"/>
      <c r="DC49" s="363"/>
    </row>
    <row r="50" spans="1:107" ht="115.5">
      <c r="A50" s="75">
        <v>42</v>
      </c>
      <c r="B50" s="121">
        <v>46234</v>
      </c>
      <c r="C50" s="75" t="s">
        <v>76</v>
      </c>
      <c r="D50" s="75" t="s">
        <v>77</v>
      </c>
      <c r="E50" s="122">
        <v>7506110698050</v>
      </c>
      <c r="F50" s="91" t="s">
        <v>1128</v>
      </c>
      <c r="G50" s="139" t="s">
        <v>1129</v>
      </c>
      <c r="H50" s="131" t="s">
        <v>60</v>
      </c>
      <c r="I50" s="139"/>
      <c r="J50" s="75" t="s">
        <v>1052</v>
      </c>
      <c r="K50" s="81" t="s">
        <v>1053</v>
      </c>
      <c r="L50" s="75">
        <v>1</v>
      </c>
      <c r="M50" s="125">
        <f t="shared" si="22"/>
        <v>0.15200000000000002</v>
      </c>
      <c r="N50" s="125">
        <v>0.19</v>
      </c>
      <c r="O50" s="125">
        <v>0</v>
      </c>
      <c r="P50" s="125">
        <v>0</v>
      </c>
      <c r="Q50" s="126">
        <v>0.25</v>
      </c>
      <c r="R50" s="126">
        <v>0</v>
      </c>
      <c r="S50" s="126" t="s">
        <v>69</v>
      </c>
      <c r="T50" s="127">
        <v>0.32</v>
      </c>
      <c r="U50" s="29" t="s">
        <v>64</v>
      </c>
      <c r="V50" s="128">
        <v>5000</v>
      </c>
      <c r="W50" s="24">
        <f t="shared" si="23"/>
        <v>1.2360959999999999</v>
      </c>
      <c r="X50" s="24">
        <f t="shared" si="21"/>
        <v>0.30902399999999997</v>
      </c>
      <c r="Y50" s="24">
        <v>0.03</v>
      </c>
      <c r="Z50" s="24">
        <f t="shared" si="24"/>
        <v>1.5751199999999999</v>
      </c>
      <c r="AA50" s="88">
        <v>39</v>
      </c>
      <c r="AB50" s="24">
        <f t="shared" si="25"/>
        <v>33.620689655172413</v>
      </c>
      <c r="AC50" s="24">
        <f t="shared" si="26"/>
        <v>20.172413793103448</v>
      </c>
      <c r="AD50" s="27">
        <f t="shared" ref="AD50:AD75" si="35">Z50/AC50</f>
        <v>7.8082871794871792E-2</v>
      </c>
      <c r="AE50" s="27">
        <f t="shared" si="27"/>
        <v>0.92191712820512817</v>
      </c>
      <c r="AF50" s="28">
        <f t="shared" si="28"/>
        <v>0.4</v>
      </c>
      <c r="AG50" s="81" t="s">
        <v>865</v>
      </c>
      <c r="AH50" s="128" t="s">
        <v>67</v>
      </c>
      <c r="AI50" s="29">
        <v>6</v>
      </c>
      <c r="AJ50" s="29">
        <f t="shared" si="19"/>
        <v>144</v>
      </c>
      <c r="AK50" s="91" t="s">
        <v>1054</v>
      </c>
      <c r="AL50" s="290">
        <v>46252</v>
      </c>
      <c r="AN50" s="129">
        <f t="shared" si="8"/>
        <v>1.95E-2</v>
      </c>
      <c r="AO50" s="129">
        <f t="shared" si="29"/>
        <v>1.6810344827586209E-2</v>
      </c>
      <c r="AP50" s="130">
        <f t="shared" si="30"/>
        <v>18.382966153846148</v>
      </c>
      <c r="AQ50" s="130">
        <f t="shared" si="31"/>
        <v>-17.382966153846148</v>
      </c>
      <c r="AR50" s="33">
        <f t="shared" si="32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>
        <v>1</v>
      </c>
      <c r="BH50" s="3"/>
      <c r="BI50" s="3"/>
      <c r="BJ50" s="3">
        <v>9</v>
      </c>
      <c r="BK50" s="3">
        <f t="shared" si="33"/>
        <v>7</v>
      </c>
      <c r="BL50" s="4">
        <f t="shared" si="34"/>
        <v>0.77777777777777779</v>
      </c>
      <c r="BM50" s="295"/>
      <c r="BN50" s="295"/>
      <c r="BO50" s="295"/>
      <c r="BP50" s="295"/>
      <c r="BQ50" s="295"/>
      <c r="BR50" s="282" t="str">
        <f t="shared" si="15"/>
        <v>En Producción. Termina en 31/May</v>
      </c>
      <c r="BS50" s="284">
        <f t="shared" si="18"/>
        <v>46252</v>
      </c>
      <c r="BT50" s="282" t="s">
        <v>1055</v>
      </c>
      <c r="CJ50" s="367"/>
      <c r="CK50" s="363"/>
      <c r="CL50" s="363"/>
      <c r="CM50" s="363"/>
      <c r="CN50" s="371"/>
      <c r="CO50" s="278"/>
      <c r="CP50" s="367"/>
      <c r="CQ50" s="363"/>
      <c r="CR50" s="373"/>
      <c r="CS50" s="268"/>
      <c r="CT50" s="367"/>
      <c r="CU50" s="363"/>
      <c r="CV50" s="377"/>
      <c r="CW50" s="267"/>
      <c r="CX50" s="367"/>
      <c r="CY50" s="363"/>
      <c r="CZ50" s="377"/>
      <c r="DA50" s="267"/>
      <c r="DB50" s="367"/>
      <c r="DC50" s="363"/>
    </row>
    <row r="51" spans="1:107" ht="115.5">
      <c r="A51" s="75">
        <v>43</v>
      </c>
      <c r="B51" s="121">
        <v>46234</v>
      </c>
      <c r="C51" s="75" t="s">
        <v>76</v>
      </c>
      <c r="D51" s="75" t="s">
        <v>77</v>
      </c>
      <c r="E51" s="122">
        <v>7506110698067</v>
      </c>
      <c r="F51" s="91" t="s">
        <v>1130</v>
      </c>
      <c r="G51" s="139" t="s">
        <v>1131</v>
      </c>
      <c r="H51" s="131" t="s">
        <v>60</v>
      </c>
      <c r="I51" s="139"/>
      <c r="J51" s="75" t="s">
        <v>1052</v>
      </c>
      <c r="K51" s="81" t="s">
        <v>1053</v>
      </c>
      <c r="L51" s="75">
        <v>1</v>
      </c>
      <c r="M51" s="125">
        <f t="shared" si="22"/>
        <v>0.15200000000000002</v>
      </c>
      <c r="N51" s="125">
        <v>0.19</v>
      </c>
      <c r="O51" s="125">
        <v>0</v>
      </c>
      <c r="P51" s="125">
        <v>0</v>
      </c>
      <c r="Q51" s="126">
        <v>0.25</v>
      </c>
      <c r="R51" s="126">
        <v>0</v>
      </c>
      <c r="S51" s="126" t="s">
        <v>69</v>
      </c>
      <c r="T51" s="127">
        <v>0.32</v>
      </c>
      <c r="U51" s="29" t="s">
        <v>64</v>
      </c>
      <c r="V51" s="128">
        <v>5000</v>
      </c>
      <c r="W51" s="24">
        <f t="shared" si="23"/>
        <v>1.2360959999999999</v>
      </c>
      <c r="X51" s="24">
        <f t="shared" si="21"/>
        <v>0.30902399999999997</v>
      </c>
      <c r="Y51" s="24">
        <v>0.03</v>
      </c>
      <c r="Z51" s="24">
        <f t="shared" si="24"/>
        <v>1.5751199999999999</v>
      </c>
      <c r="AA51" s="88">
        <v>39</v>
      </c>
      <c r="AB51" s="24">
        <f t="shared" si="25"/>
        <v>33.620689655172413</v>
      </c>
      <c r="AC51" s="24">
        <f t="shared" si="26"/>
        <v>20.172413793103448</v>
      </c>
      <c r="AD51" s="27">
        <f t="shared" si="35"/>
        <v>7.8082871794871792E-2</v>
      </c>
      <c r="AE51" s="27">
        <f t="shared" si="27"/>
        <v>0.92191712820512817</v>
      </c>
      <c r="AF51" s="28">
        <f t="shared" si="28"/>
        <v>0.4</v>
      </c>
      <c r="AG51" s="81" t="s">
        <v>865</v>
      </c>
      <c r="AH51" s="128" t="s">
        <v>67</v>
      </c>
      <c r="AI51" s="29">
        <v>6</v>
      </c>
      <c r="AJ51" s="29">
        <f t="shared" si="19"/>
        <v>144</v>
      </c>
      <c r="AK51" s="91" t="s">
        <v>1054</v>
      </c>
      <c r="AL51" s="290">
        <v>46252</v>
      </c>
      <c r="AN51" s="129">
        <f t="shared" si="8"/>
        <v>1.95E-2</v>
      </c>
      <c r="AO51" s="129">
        <f t="shared" si="29"/>
        <v>1.6810344827586209E-2</v>
      </c>
      <c r="AP51" s="130">
        <f t="shared" si="30"/>
        <v>18.382966153846148</v>
      </c>
      <c r="AQ51" s="130">
        <f t="shared" si="31"/>
        <v>-17.382966153846148</v>
      </c>
      <c r="AR51" s="33">
        <f t="shared" si="32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>
        <v>1</v>
      </c>
      <c r="BH51" s="3"/>
      <c r="BI51" s="3"/>
      <c r="BJ51" s="3">
        <v>9</v>
      </c>
      <c r="BK51" s="3">
        <f t="shared" si="33"/>
        <v>7</v>
      </c>
      <c r="BL51" s="4">
        <f t="shared" si="34"/>
        <v>0.77777777777777779</v>
      </c>
      <c r="BM51" s="295"/>
      <c r="BN51" s="295"/>
      <c r="BO51" s="295"/>
      <c r="BP51" s="295"/>
      <c r="BQ51" s="295"/>
      <c r="BR51" s="282" t="str">
        <f t="shared" si="15"/>
        <v>En Producción. Termina en 31/May</v>
      </c>
      <c r="BS51" s="284">
        <f t="shared" si="18"/>
        <v>46252</v>
      </c>
      <c r="BT51" s="282" t="s">
        <v>1055</v>
      </c>
      <c r="CJ51" s="367"/>
      <c r="CK51" s="363"/>
      <c r="CL51" s="363"/>
      <c r="CM51" s="363"/>
      <c r="CN51" s="371"/>
      <c r="CO51" s="278"/>
      <c r="CP51" s="367"/>
      <c r="CQ51" s="363"/>
      <c r="CR51" s="373"/>
      <c r="CS51" s="268"/>
      <c r="CT51" s="367"/>
      <c r="CU51" s="363"/>
      <c r="CV51" s="377"/>
      <c r="CW51" s="267"/>
      <c r="CX51" s="367"/>
      <c r="CY51" s="363"/>
      <c r="CZ51" s="377"/>
      <c r="DA51" s="267"/>
      <c r="DB51" s="367"/>
      <c r="DC51" s="363"/>
    </row>
    <row r="52" spans="1:107" ht="115.5">
      <c r="A52" s="75">
        <v>44</v>
      </c>
      <c r="B52" s="121">
        <v>46234</v>
      </c>
      <c r="C52" s="75" t="s">
        <v>76</v>
      </c>
      <c r="D52" s="75" t="s">
        <v>77</v>
      </c>
      <c r="E52" s="122">
        <v>7506110698074</v>
      </c>
      <c r="F52" s="91" t="s">
        <v>1132</v>
      </c>
      <c r="G52" s="139" t="s">
        <v>1133</v>
      </c>
      <c r="H52" s="131" t="s">
        <v>60</v>
      </c>
      <c r="I52" s="139"/>
      <c r="J52" s="75" t="s">
        <v>1052</v>
      </c>
      <c r="K52" s="81" t="s">
        <v>1053</v>
      </c>
      <c r="L52" s="75">
        <v>1</v>
      </c>
      <c r="M52" s="125">
        <f t="shared" si="22"/>
        <v>0.15200000000000002</v>
      </c>
      <c r="N52" s="125">
        <v>0.19</v>
      </c>
      <c r="O52" s="125">
        <v>0</v>
      </c>
      <c r="P52" s="125">
        <v>0</v>
      </c>
      <c r="Q52" s="126">
        <v>0.25</v>
      </c>
      <c r="R52" s="126">
        <v>0</v>
      </c>
      <c r="S52" s="126" t="s">
        <v>69</v>
      </c>
      <c r="T52" s="127">
        <v>0.32</v>
      </c>
      <c r="U52" s="29" t="s">
        <v>64</v>
      </c>
      <c r="V52" s="128">
        <v>5000</v>
      </c>
      <c r="W52" s="24">
        <f t="shared" si="23"/>
        <v>1.2360959999999999</v>
      </c>
      <c r="X52" s="24">
        <f t="shared" si="21"/>
        <v>0.30902399999999997</v>
      </c>
      <c r="Y52" s="24">
        <v>0.03</v>
      </c>
      <c r="Z52" s="24">
        <f t="shared" si="24"/>
        <v>1.5751199999999999</v>
      </c>
      <c r="AA52" s="88">
        <v>39</v>
      </c>
      <c r="AB52" s="24">
        <f t="shared" si="25"/>
        <v>33.620689655172413</v>
      </c>
      <c r="AC52" s="24">
        <f t="shared" si="26"/>
        <v>20.172413793103448</v>
      </c>
      <c r="AD52" s="27">
        <f t="shared" si="35"/>
        <v>7.8082871794871792E-2</v>
      </c>
      <c r="AE52" s="27">
        <f t="shared" si="27"/>
        <v>0.92191712820512817</v>
      </c>
      <c r="AF52" s="28">
        <f t="shared" si="28"/>
        <v>0.4</v>
      </c>
      <c r="AG52" s="81" t="s">
        <v>865</v>
      </c>
      <c r="AH52" s="128" t="s">
        <v>67</v>
      </c>
      <c r="AI52" s="29">
        <v>6</v>
      </c>
      <c r="AJ52" s="29">
        <f t="shared" si="19"/>
        <v>144</v>
      </c>
      <c r="AK52" s="91" t="s">
        <v>1054</v>
      </c>
      <c r="AL52" s="290">
        <v>46252</v>
      </c>
      <c r="AN52" s="129">
        <f t="shared" si="8"/>
        <v>1.95E-2</v>
      </c>
      <c r="AO52" s="129">
        <f t="shared" si="29"/>
        <v>1.6810344827586209E-2</v>
      </c>
      <c r="AP52" s="130">
        <f t="shared" si="30"/>
        <v>18.382966153846148</v>
      </c>
      <c r="AQ52" s="130">
        <f t="shared" si="31"/>
        <v>-17.382966153846148</v>
      </c>
      <c r="AR52" s="33">
        <f t="shared" si="32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>
        <v>1</v>
      </c>
      <c r="BH52" s="3"/>
      <c r="BI52" s="3"/>
      <c r="BJ52" s="3">
        <v>9</v>
      </c>
      <c r="BK52" s="3">
        <f t="shared" si="33"/>
        <v>7</v>
      </c>
      <c r="BL52" s="4">
        <f t="shared" si="34"/>
        <v>0.77777777777777779</v>
      </c>
      <c r="BM52" s="295"/>
      <c r="BN52" s="295"/>
      <c r="BO52" s="295"/>
      <c r="BP52" s="295"/>
      <c r="BQ52" s="295"/>
      <c r="BR52" s="282" t="str">
        <f t="shared" si="15"/>
        <v>En Producción. Termina en 31/May</v>
      </c>
      <c r="BS52" s="284">
        <f t="shared" si="18"/>
        <v>46252</v>
      </c>
      <c r="BT52" s="282" t="s">
        <v>1055</v>
      </c>
      <c r="CJ52" s="367"/>
      <c r="CK52" s="363"/>
      <c r="CL52" s="363"/>
      <c r="CM52" s="363"/>
      <c r="CN52" s="371"/>
      <c r="CO52" s="278"/>
      <c r="CP52" s="367"/>
      <c r="CQ52" s="363"/>
      <c r="CR52" s="373"/>
      <c r="CS52" s="268"/>
      <c r="CT52" s="367"/>
      <c r="CU52" s="363"/>
      <c r="CV52" s="377"/>
      <c r="CW52" s="267"/>
      <c r="CX52" s="367"/>
      <c r="CY52" s="363"/>
      <c r="CZ52" s="377"/>
      <c r="DA52" s="267"/>
      <c r="DB52" s="367"/>
      <c r="DC52" s="363"/>
    </row>
    <row r="53" spans="1:107" ht="115.5">
      <c r="A53" s="75">
        <v>45</v>
      </c>
      <c r="B53" s="121">
        <v>46234</v>
      </c>
      <c r="C53" s="75" t="s">
        <v>76</v>
      </c>
      <c r="D53" s="75" t="s">
        <v>77</v>
      </c>
      <c r="E53" s="122">
        <v>7506110698081</v>
      </c>
      <c r="F53" s="91" t="s">
        <v>1134</v>
      </c>
      <c r="G53" s="139" t="s">
        <v>1135</v>
      </c>
      <c r="H53" s="131" t="s">
        <v>60</v>
      </c>
      <c r="I53" s="139"/>
      <c r="J53" s="75" t="s">
        <v>1052</v>
      </c>
      <c r="K53" s="81" t="s">
        <v>1053</v>
      </c>
      <c r="L53" s="75">
        <v>1</v>
      </c>
      <c r="M53" s="125">
        <f t="shared" si="22"/>
        <v>0.15200000000000002</v>
      </c>
      <c r="N53" s="125">
        <v>0.19</v>
      </c>
      <c r="O53" s="125">
        <v>0</v>
      </c>
      <c r="P53" s="125">
        <v>0</v>
      </c>
      <c r="Q53" s="126">
        <v>0.25</v>
      </c>
      <c r="R53" s="126">
        <v>0</v>
      </c>
      <c r="S53" s="126" t="s">
        <v>69</v>
      </c>
      <c r="T53" s="127">
        <v>0.32</v>
      </c>
      <c r="U53" s="29" t="s">
        <v>64</v>
      </c>
      <c r="V53" s="128">
        <v>5000</v>
      </c>
      <c r="W53" s="24">
        <f t="shared" si="23"/>
        <v>1.2360959999999999</v>
      </c>
      <c r="X53" s="24">
        <f t="shared" si="21"/>
        <v>0.30902399999999997</v>
      </c>
      <c r="Y53" s="24">
        <v>0.03</v>
      </c>
      <c r="Z53" s="24">
        <f t="shared" si="24"/>
        <v>1.5751199999999999</v>
      </c>
      <c r="AA53" s="88">
        <v>39</v>
      </c>
      <c r="AB53" s="24">
        <f t="shared" si="25"/>
        <v>33.620689655172413</v>
      </c>
      <c r="AC53" s="24">
        <f t="shared" si="26"/>
        <v>20.172413793103448</v>
      </c>
      <c r="AD53" s="27">
        <f t="shared" si="35"/>
        <v>7.8082871794871792E-2</v>
      </c>
      <c r="AE53" s="27">
        <f t="shared" si="27"/>
        <v>0.92191712820512817</v>
      </c>
      <c r="AF53" s="28">
        <f t="shared" si="28"/>
        <v>0.4</v>
      </c>
      <c r="AG53" s="81" t="s">
        <v>865</v>
      </c>
      <c r="AH53" s="128" t="s">
        <v>67</v>
      </c>
      <c r="AI53" s="29">
        <v>6</v>
      </c>
      <c r="AJ53" s="29">
        <f t="shared" si="19"/>
        <v>144</v>
      </c>
      <c r="AK53" s="91" t="s">
        <v>1054</v>
      </c>
      <c r="AL53" s="290">
        <v>46252</v>
      </c>
      <c r="AN53" s="129">
        <f t="shared" si="8"/>
        <v>1.95E-2</v>
      </c>
      <c r="AO53" s="129">
        <f t="shared" si="29"/>
        <v>1.6810344827586209E-2</v>
      </c>
      <c r="AP53" s="130">
        <f t="shared" si="30"/>
        <v>18.382966153846148</v>
      </c>
      <c r="AQ53" s="130">
        <f t="shared" si="31"/>
        <v>-17.382966153846148</v>
      </c>
      <c r="AR53" s="33">
        <f t="shared" si="32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>
        <v>1</v>
      </c>
      <c r="BH53" s="3"/>
      <c r="BI53" s="3"/>
      <c r="BJ53" s="3">
        <v>9</v>
      </c>
      <c r="BK53" s="3">
        <f t="shared" si="33"/>
        <v>7</v>
      </c>
      <c r="BL53" s="4">
        <f t="shared" si="34"/>
        <v>0.77777777777777779</v>
      </c>
      <c r="BM53" s="295"/>
      <c r="BN53" s="295"/>
      <c r="BO53" s="295"/>
      <c r="BP53" s="295"/>
      <c r="BQ53" s="295"/>
      <c r="BR53" s="282" t="str">
        <f t="shared" si="15"/>
        <v>En Producción. Termina en 31/May</v>
      </c>
      <c r="BS53" s="284">
        <f t="shared" si="18"/>
        <v>46252</v>
      </c>
      <c r="BT53" s="282" t="s">
        <v>1055</v>
      </c>
      <c r="CJ53" s="367"/>
      <c r="CK53" s="363"/>
      <c r="CL53" s="363"/>
      <c r="CM53" s="363"/>
      <c r="CN53" s="371"/>
      <c r="CO53" s="278"/>
      <c r="CP53" s="367"/>
      <c r="CQ53" s="363"/>
      <c r="CR53" s="373"/>
      <c r="CS53" s="268"/>
      <c r="CT53" s="367"/>
      <c r="CU53" s="363"/>
      <c r="CV53" s="377"/>
      <c r="CW53" s="267"/>
      <c r="CX53" s="367"/>
      <c r="CY53" s="363"/>
      <c r="CZ53" s="377"/>
      <c r="DA53" s="267"/>
      <c r="DB53" s="367"/>
      <c r="DC53" s="363"/>
    </row>
    <row r="54" spans="1:107" ht="65.099999999999994">
      <c r="A54" s="75">
        <v>48</v>
      </c>
      <c r="B54" s="121">
        <v>46234</v>
      </c>
      <c r="C54" s="75" t="s">
        <v>76</v>
      </c>
      <c r="D54" s="75" t="s">
        <v>77</v>
      </c>
      <c r="E54" s="122">
        <v>7506110698111</v>
      </c>
      <c r="F54" s="91" t="s">
        <v>1136</v>
      </c>
      <c r="G54" s="81" t="s">
        <v>1137</v>
      </c>
      <c r="H54" s="131" t="s">
        <v>60</v>
      </c>
      <c r="I54" s="81"/>
      <c r="J54" s="75" t="s">
        <v>1052</v>
      </c>
      <c r="K54" s="140" t="s">
        <v>583</v>
      </c>
      <c r="L54" s="75">
        <v>1</v>
      </c>
      <c r="M54" s="125">
        <f t="shared" si="22"/>
        <v>0.15200000000000002</v>
      </c>
      <c r="N54" s="125">
        <v>0.19</v>
      </c>
      <c r="O54" s="125">
        <v>0</v>
      </c>
      <c r="P54" s="125">
        <v>0</v>
      </c>
      <c r="Q54" s="126">
        <v>0.19</v>
      </c>
      <c r="R54" s="126">
        <v>0.27500000000000002</v>
      </c>
      <c r="S54" s="126" t="s">
        <v>69</v>
      </c>
      <c r="T54" s="127">
        <v>0.32</v>
      </c>
      <c r="U54" s="29" t="s">
        <v>64</v>
      </c>
      <c r="V54" s="128">
        <v>5000</v>
      </c>
      <c r="W54" s="24">
        <f t="shared" si="23"/>
        <v>1.2360959999999999</v>
      </c>
      <c r="X54" s="24">
        <f t="shared" si="21"/>
        <v>0.30902399999999997</v>
      </c>
      <c r="Y54" s="24">
        <v>1.74</v>
      </c>
      <c r="Z54" s="24">
        <f t="shared" si="24"/>
        <v>3.28512</v>
      </c>
      <c r="AA54" s="88">
        <v>39</v>
      </c>
      <c r="AB54" s="24">
        <f t="shared" si="25"/>
        <v>33.620689655172413</v>
      </c>
      <c r="AC54" s="24">
        <f t="shared" si="26"/>
        <v>20.172413793103448</v>
      </c>
      <c r="AD54" s="27">
        <f t="shared" si="35"/>
        <v>0.16285210256410257</v>
      </c>
      <c r="AE54" s="27">
        <f t="shared" si="27"/>
        <v>0.83714789743589746</v>
      </c>
      <c r="AF54" s="28">
        <f t="shared" si="28"/>
        <v>0.4</v>
      </c>
      <c r="AG54" s="81" t="s">
        <v>1138</v>
      </c>
      <c r="AH54" s="128" t="s">
        <v>67</v>
      </c>
      <c r="AI54" s="29">
        <v>24</v>
      </c>
      <c r="AJ54" s="29">
        <f>+AI54*12</f>
        <v>288</v>
      </c>
      <c r="AK54" s="91" t="s">
        <v>1064</v>
      </c>
      <c r="AL54" s="290">
        <v>46232</v>
      </c>
      <c r="AN54" s="129">
        <v>29</v>
      </c>
      <c r="AO54" s="129">
        <f t="shared" si="29"/>
        <v>25</v>
      </c>
      <c r="AP54" s="130">
        <f t="shared" si="30"/>
        <v>1.2360959999999999E-2</v>
      </c>
      <c r="AQ54" s="130">
        <f t="shared" si="31"/>
        <v>0.98763904000000002</v>
      </c>
      <c r="AR54" s="33">
        <f t="shared" si="32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>
        <v>1</v>
      </c>
      <c r="BH54" s="3"/>
      <c r="BI54" s="3"/>
      <c r="BJ54" s="3">
        <v>9</v>
      </c>
      <c r="BK54" s="3">
        <f t="shared" si="33"/>
        <v>7</v>
      </c>
      <c r="BL54" s="4">
        <f t="shared" si="34"/>
        <v>0.77777777777777779</v>
      </c>
      <c r="BM54" s="295"/>
      <c r="BN54" s="295"/>
      <c r="BO54" s="295"/>
      <c r="BP54" s="295"/>
      <c r="BQ54" s="295"/>
      <c r="BR54" s="282" t="str">
        <f t="shared" si="15"/>
        <v>Producción termina 25/May</v>
      </c>
      <c r="BS54" s="284">
        <f t="shared" si="18"/>
        <v>46232</v>
      </c>
      <c r="BT54" s="282" t="s">
        <v>1055</v>
      </c>
      <c r="CJ54" s="367"/>
      <c r="CK54" s="363"/>
      <c r="CL54" s="363"/>
      <c r="CM54" s="363"/>
      <c r="CN54" s="371"/>
      <c r="CO54" s="278"/>
      <c r="CP54" s="367"/>
      <c r="CQ54" s="363"/>
      <c r="CR54" s="373"/>
      <c r="CS54" s="268"/>
      <c r="CT54" s="367"/>
      <c r="CU54" s="363"/>
      <c r="CV54" s="377"/>
      <c r="CW54" s="267"/>
      <c r="CX54" s="367"/>
      <c r="CY54" s="363"/>
      <c r="CZ54" s="377"/>
      <c r="DA54" s="267"/>
      <c r="DB54" s="367"/>
      <c r="DC54" s="363"/>
    </row>
    <row r="55" spans="1:107" ht="65.099999999999994">
      <c r="A55" s="75">
        <v>49</v>
      </c>
      <c r="B55" s="121">
        <v>46234</v>
      </c>
      <c r="C55" s="75" t="s">
        <v>76</v>
      </c>
      <c r="D55" s="75" t="s">
        <v>77</v>
      </c>
      <c r="E55" s="122">
        <v>7506110698128</v>
      </c>
      <c r="F55" s="91" t="s">
        <v>1139</v>
      </c>
      <c r="G55" s="81" t="s">
        <v>1140</v>
      </c>
      <c r="H55" s="131" t="s">
        <v>60</v>
      </c>
      <c r="I55" s="81"/>
      <c r="J55" s="75" t="s">
        <v>1052</v>
      </c>
      <c r="K55" s="140" t="s">
        <v>583</v>
      </c>
      <c r="L55" s="75">
        <v>1</v>
      </c>
      <c r="M55" s="125">
        <f t="shared" si="22"/>
        <v>0.15200000000000002</v>
      </c>
      <c r="N55" s="125">
        <v>0.19</v>
      </c>
      <c r="O55" s="125">
        <v>0</v>
      </c>
      <c r="P55" s="125">
        <v>0</v>
      </c>
      <c r="Q55" s="126">
        <v>0.19</v>
      </c>
      <c r="R55" s="126">
        <v>0.27500000000000002</v>
      </c>
      <c r="S55" s="126" t="s">
        <v>69</v>
      </c>
      <c r="T55" s="127">
        <v>0.32</v>
      </c>
      <c r="U55" s="29" t="s">
        <v>64</v>
      </c>
      <c r="V55" s="128">
        <v>5000</v>
      </c>
      <c r="W55" s="24">
        <f t="shared" si="23"/>
        <v>1.2360959999999999</v>
      </c>
      <c r="X55" s="24">
        <f t="shared" si="21"/>
        <v>0.30902399999999997</v>
      </c>
      <c r="Y55" s="24">
        <v>1.74</v>
      </c>
      <c r="Z55" s="24">
        <f t="shared" si="24"/>
        <v>3.28512</v>
      </c>
      <c r="AA55" s="88">
        <v>39</v>
      </c>
      <c r="AB55" s="24">
        <f t="shared" si="25"/>
        <v>33.620689655172413</v>
      </c>
      <c r="AC55" s="24">
        <f t="shared" si="26"/>
        <v>20.172413793103448</v>
      </c>
      <c r="AD55" s="27">
        <f t="shared" si="35"/>
        <v>0.16285210256410257</v>
      </c>
      <c r="AE55" s="27">
        <f t="shared" si="27"/>
        <v>0.83714789743589746</v>
      </c>
      <c r="AF55" s="28">
        <f t="shared" si="28"/>
        <v>0.4</v>
      </c>
      <c r="AG55" s="81" t="s">
        <v>1138</v>
      </c>
      <c r="AH55" s="128" t="s">
        <v>67</v>
      </c>
      <c r="AI55" s="29">
        <v>24</v>
      </c>
      <c r="AJ55" s="29">
        <f>+AI55*12</f>
        <v>288</v>
      </c>
      <c r="AK55" s="91" t="s">
        <v>1064</v>
      </c>
      <c r="AL55" s="290">
        <v>46232</v>
      </c>
      <c r="AN55" s="129">
        <v>29</v>
      </c>
      <c r="AO55" s="129">
        <f t="shared" si="29"/>
        <v>25</v>
      </c>
      <c r="AP55" s="130">
        <f t="shared" si="30"/>
        <v>1.2360959999999999E-2</v>
      </c>
      <c r="AQ55" s="130">
        <f t="shared" si="31"/>
        <v>0.98763904000000002</v>
      </c>
      <c r="AR55" s="33">
        <f t="shared" si="32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>
        <v>1</v>
      </c>
      <c r="BH55" s="3"/>
      <c r="BI55" s="3"/>
      <c r="BJ55" s="3">
        <v>9</v>
      </c>
      <c r="BK55" s="3">
        <f t="shared" si="33"/>
        <v>7</v>
      </c>
      <c r="BL55" s="4">
        <f t="shared" si="34"/>
        <v>0.77777777777777779</v>
      </c>
      <c r="BM55" s="295"/>
      <c r="BN55" s="295"/>
      <c r="BO55" s="295"/>
      <c r="BP55" s="295"/>
      <c r="BQ55" s="295"/>
      <c r="BR55" s="282" t="str">
        <f t="shared" si="15"/>
        <v>Producción termina 25/May</v>
      </c>
      <c r="BS55" s="284">
        <f t="shared" si="18"/>
        <v>46232</v>
      </c>
      <c r="BT55" s="282" t="s">
        <v>1055</v>
      </c>
      <c r="CJ55" s="367"/>
      <c r="CK55" s="363"/>
      <c r="CL55" s="363"/>
      <c r="CM55" s="363"/>
      <c r="CN55" s="371"/>
      <c r="CO55" s="278"/>
      <c r="CP55" s="367"/>
      <c r="CQ55" s="363"/>
      <c r="CR55" s="373"/>
      <c r="CS55" s="268"/>
      <c r="CT55" s="367"/>
      <c r="CU55" s="363"/>
      <c r="CV55" s="377"/>
      <c r="CW55" s="267"/>
      <c r="CX55" s="367"/>
      <c r="CY55" s="363"/>
      <c r="CZ55" s="377"/>
      <c r="DA55" s="267"/>
      <c r="DB55" s="367"/>
      <c r="DC55" s="363"/>
    </row>
    <row r="56" spans="1:107" ht="153.75">
      <c r="A56" s="75">
        <v>50</v>
      </c>
      <c r="B56" s="121">
        <v>46234</v>
      </c>
      <c r="C56" s="75" t="s">
        <v>76</v>
      </c>
      <c r="D56" s="75" t="s">
        <v>77</v>
      </c>
      <c r="E56" s="122">
        <v>7506110698135</v>
      </c>
      <c r="F56" s="91" t="s">
        <v>1141</v>
      </c>
      <c r="G56" s="81" t="s">
        <v>1142</v>
      </c>
      <c r="H56" s="131" t="s">
        <v>60</v>
      </c>
      <c r="I56" s="81"/>
      <c r="J56" s="75" t="s">
        <v>1052</v>
      </c>
      <c r="K56" s="81" t="s">
        <v>1053</v>
      </c>
      <c r="L56" s="75">
        <v>1</v>
      </c>
      <c r="M56" s="125">
        <f t="shared" si="22"/>
        <v>0.47199999999999998</v>
      </c>
      <c r="N56" s="125">
        <v>0.59</v>
      </c>
      <c r="O56" s="126">
        <v>0.6</v>
      </c>
      <c r="P56" s="125">
        <v>0</v>
      </c>
      <c r="Q56" s="126">
        <v>0</v>
      </c>
      <c r="R56" s="126">
        <v>0</v>
      </c>
      <c r="S56" s="126" t="s">
        <v>69</v>
      </c>
      <c r="T56" s="141">
        <v>0.7</v>
      </c>
      <c r="U56" s="29" t="s">
        <v>64</v>
      </c>
      <c r="V56" s="128">
        <v>10000</v>
      </c>
      <c r="W56" s="24">
        <f t="shared" si="23"/>
        <v>2.7039599999999995</v>
      </c>
      <c r="X56" s="24">
        <f t="shared" si="21"/>
        <v>0.67598999999999987</v>
      </c>
      <c r="Y56" s="24">
        <v>1.91</v>
      </c>
      <c r="Z56" s="24">
        <f t="shared" si="24"/>
        <v>5.2899499999999993</v>
      </c>
      <c r="AA56" s="88">
        <v>139</v>
      </c>
      <c r="AB56" s="24">
        <f t="shared" si="25"/>
        <v>119.82758620689656</v>
      </c>
      <c r="AC56" s="24">
        <f t="shared" si="26"/>
        <v>71.896551724137936</v>
      </c>
      <c r="AD56" s="27">
        <f t="shared" si="35"/>
        <v>7.3577242206235002E-2</v>
      </c>
      <c r="AE56" s="27">
        <f t="shared" si="27"/>
        <v>0.92642275779376504</v>
      </c>
      <c r="AF56" s="28">
        <f t="shared" si="28"/>
        <v>0.4</v>
      </c>
      <c r="AG56" s="81" t="s">
        <v>1138</v>
      </c>
      <c r="AH56" s="128" t="s">
        <v>67</v>
      </c>
      <c r="AI56" s="29">
        <v>6</v>
      </c>
      <c r="AJ56" s="29">
        <f>+AI56*24</f>
        <v>144</v>
      </c>
      <c r="AK56" s="91" t="s">
        <v>1143</v>
      </c>
      <c r="AL56" s="290">
        <v>46252</v>
      </c>
      <c r="AN56" s="129">
        <f t="shared" ref="AN56:AN71" si="36">Y56*0.65</f>
        <v>1.2415</v>
      </c>
      <c r="AO56" s="129">
        <f t="shared" si="29"/>
        <v>1.0702586206896554</v>
      </c>
      <c r="AP56" s="130">
        <f t="shared" si="30"/>
        <v>0.63161369311316928</v>
      </c>
      <c r="AQ56" s="130">
        <f t="shared" si="31"/>
        <v>0.36838630688683072</v>
      </c>
      <c r="AR56" s="33">
        <f t="shared" si="32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>
        <v>1</v>
      </c>
      <c r="BH56" s="3"/>
      <c r="BI56" s="3"/>
      <c r="BJ56" s="3">
        <v>9</v>
      </c>
      <c r="BK56" s="3">
        <f t="shared" si="33"/>
        <v>7</v>
      </c>
      <c r="BL56" s="4">
        <f t="shared" si="34"/>
        <v>0.77777777777777779</v>
      </c>
      <c r="BM56" s="295"/>
      <c r="BN56" s="295"/>
      <c r="BO56" s="295"/>
      <c r="BP56" s="295"/>
      <c r="BQ56" s="295"/>
      <c r="BR56" s="282" t="str">
        <f t="shared" si="15"/>
        <v>En Producción. Aproximadamente terminan el 10/jun</v>
      </c>
      <c r="BS56" s="284">
        <f t="shared" si="18"/>
        <v>46252</v>
      </c>
      <c r="BT56" s="282" t="s">
        <v>86</v>
      </c>
      <c r="CJ56" s="367"/>
      <c r="CK56" s="363"/>
      <c r="CL56" s="363"/>
      <c r="CM56" s="363"/>
      <c r="CN56" s="371"/>
      <c r="CO56" s="278"/>
      <c r="CP56" s="367"/>
      <c r="CQ56" s="363"/>
      <c r="CR56" s="373"/>
      <c r="CS56" s="268"/>
      <c r="CT56" s="367"/>
      <c r="CU56" s="363"/>
      <c r="CV56" s="377"/>
      <c r="CW56" s="267"/>
      <c r="CX56" s="367"/>
      <c r="CY56" s="363"/>
      <c r="CZ56" s="377"/>
      <c r="DA56" s="267"/>
      <c r="DB56" s="367"/>
      <c r="DC56" s="363"/>
    </row>
    <row r="57" spans="1:107" ht="153.75">
      <c r="A57" s="75">
        <v>51</v>
      </c>
      <c r="B57" s="121">
        <v>46234</v>
      </c>
      <c r="C57" s="75" t="s">
        <v>76</v>
      </c>
      <c r="D57" s="75" t="s">
        <v>77</v>
      </c>
      <c r="E57" s="122">
        <v>7506110698142</v>
      </c>
      <c r="F57" s="91" t="s">
        <v>1144</v>
      </c>
      <c r="G57" s="81" t="s">
        <v>1145</v>
      </c>
      <c r="H57" s="131" t="s">
        <v>60</v>
      </c>
      <c r="I57" s="81"/>
      <c r="J57" s="75" t="s">
        <v>1052</v>
      </c>
      <c r="K57" s="81" t="s">
        <v>1053</v>
      </c>
      <c r="L57" s="75">
        <v>1</v>
      </c>
      <c r="M57" s="125">
        <f t="shared" si="22"/>
        <v>0.47199999999999998</v>
      </c>
      <c r="N57" s="125">
        <v>0.59</v>
      </c>
      <c r="O57" s="126">
        <v>0.6</v>
      </c>
      <c r="P57" s="125">
        <v>0</v>
      </c>
      <c r="Q57" s="126">
        <v>0</v>
      </c>
      <c r="R57" s="126">
        <v>0</v>
      </c>
      <c r="S57" s="126" t="s">
        <v>69</v>
      </c>
      <c r="T57" s="141">
        <v>0.7</v>
      </c>
      <c r="U57" s="29" t="s">
        <v>64</v>
      </c>
      <c r="V57" s="128">
        <v>10000</v>
      </c>
      <c r="W57" s="24">
        <f t="shared" si="23"/>
        <v>2.7039599999999995</v>
      </c>
      <c r="X57" s="24">
        <f t="shared" si="21"/>
        <v>0.67598999999999987</v>
      </c>
      <c r="Y57" s="24">
        <v>1.91</v>
      </c>
      <c r="Z57" s="24">
        <f t="shared" si="24"/>
        <v>5.2899499999999993</v>
      </c>
      <c r="AA57" s="88">
        <v>139</v>
      </c>
      <c r="AB57" s="24">
        <f t="shared" si="25"/>
        <v>119.82758620689656</v>
      </c>
      <c r="AC57" s="24">
        <f t="shared" si="26"/>
        <v>71.896551724137936</v>
      </c>
      <c r="AD57" s="27">
        <f t="shared" si="35"/>
        <v>7.3577242206235002E-2</v>
      </c>
      <c r="AE57" s="27">
        <f t="shared" si="27"/>
        <v>0.92642275779376504</v>
      </c>
      <c r="AF57" s="28">
        <f t="shared" si="28"/>
        <v>0.4</v>
      </c>
      <c r="AG57" s="81" t="s">
        <v>1138</v>
      </c>
      <c r="AH57" s="128" t="s">
        <v>67</v>
      </c>
      <c r="AI57" s="29">
        <v>6</v>
      </c>
      <c r="AJ57" s="29">
        <f>+AI57*24</f>
        <v>144</v>
      </c>
      <c r="AK57" s="91" t="s">
        <v>1143</v>
      </c>
      <c r="AL57" s="290">
        <v>46252</v>
      </c>
      <c r="AN57" s="129">
        <f t="shared" si="36"/>
        <v>1.2415</v>
      </c>
      <c r="AO57" s="129">
        <f t="shared" si="29"/>
        <v>1.0702586206896554</v>
      </c>
      <c r="AP57" s="130">
        <f t="shared" si="30"/>
        <v>0.63161369311316928</v>
      </c>
      <c r="AQ57" s="130">
        <f t="shared" si="31"/>
        <v>0.36838630688683072</v>
      </c>
      <c r="AR57" s="33">
        <f t="shared" si="32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>
        <v>1</v>
      </c>
      <c r="BH57" s="3"/>
      <c r="BI57" s="3"/>
      <c r="BJ57" s="3">
        <v>9</v>
      </c>
      <c r="BK57" s="3">
        <f t="shared" si="33"/>
        <v>7</v>
      </c>
      <c r="BL57" s="4">
        <f t="shared" si="34"/>
        <v>0.77777777777777779</v>
      </c>
      <c r="BM57" s="295"/>
      <c r="BN57" s="295"/>
      <c r="BO57" s="295"/>
      <c r="BP57" s="295"/>
      <c r="BQ57" s="295"/>
      <c r="BR57" s="282" t="str">
        <f t="shared" si="15"/>
        <v>En Producción. Aproximadamente terminan el 10/jun</v>
      </c>
      <c r="BS57" s="284">
        <f t="shared" si="18"/>
        <v>46252</v>
      </c>
      <c r="BT57" s="282" t="s">
        <v>86</v>
      </c>
      <c r="CJ57" s="367"/>
      <c r="CK57" s="363"/>
      <c r="CL57" s="363"/>
      <c r="CM57" s="363"/>
      <c r="CN57" s="371"/>
      <c r="CO57" s="278"/>
      <c r="CP57" s="367"/>
      <c r="CQ57" s="363"/>
      <c r="CR57" s="373"/>
      <c r="CS57" s="268"/>
      <c r="CT57" s="367"/>
      <c r="CU57" s="363"/>
      <c r="CV57" s="377"/>
      <c r="CW57" s="267"/>
      <c r="CX57" s="367"/>
      <c r="CY57" s="363"/>
      <c r="CZ57" s="377"/>
      <c r="DA57" s="267"/>
      <c r="DB57" s="367"/>
      <c r="DC57" s="363"/>
    </row>
    <row r="58" spans="1:107" ht="115.5">
      <c r="A58" s="75">
        <v>52</v>
      </c>
      <c r="B58" s="121">
        <v>46234</v>
      </c>
      <c r="C58" s="75" t="s">
        <v>76</v>
      </c>
      <c r="D58" s="75" t="s">
        <v>77</v>
      </c>
      <c r="E58" s="122">
        <v>7506110698159</v>
      </c>
      <c r="F58" s="91" t="s">
        <v>1146</v>
      </c>
      <c r="G58" s="81" t="s">
        <v>1147</v>
      </c>
      <c r="H58" s="131" t="s">
        <v>60</v>
      </c>
      <c r="I58" s="81"/>
      <c r="J58" s="75" t="s">
        <v>1052</v>
      </c>
      <c r="K58" s="81" t="s">
        <v>1053</v>
      </c>
      <c r="L58" s="75">
        <v>1</v>
      </c>
      <c r="M58" s="125">
        <f t="shared" si="22"/>
        <v>0.27999999999999997</v>
      </c>
      <c r="N58" s="125">
        <v>0.35</v>
      </c>
      <c r="O58" s="125">
        <v>0</v>
      </c>
      <c r="P58" s="125">
        <v>0.53</v>
      </c>
      <c r="Q58" s="126" t="s">
        <v>1148</v>
      </c>
      <c r="R58" s="126">
        <v>0</v>
      </c>
      <c r="S58" s="126" t="s">
        <v>69</v>
      </c>
      <c r="T58" s="127">
        <v>0.53</v>
      </c>
      <c r="U58" s="29" t="s">
        <v>64</v>
      </c>
      <c r="V58" s="128">
        <v>30000</v>
      </c>
      <c r="W58" s="24">
        <f t="shared" si="23"/>
        <v>2.0472839999999999</v>
      </c>
      <c r="X58" s="24">
        <f>+W58*0.2</f>
        <v>0.40945680000000001</v>
      </c>
      <c r="Y58" s="24">
        <v>0.12</v>
      </c>
      <c r="Z58" s="24">
        <f t="shared" si="24"/>
        <v>2.5767407999999996</v>
      </c>
      <c r="AA58" s="88">
        <v>79</v>
      </c>
      <c r="AB58" s="24">
        <f t="shared" si="25"/>
        <v>68.103448275862078</v>
      </c>
      <c r="AC58" s="24">
        <f t="shared" si="26"/>
        <v>40.862068965517246</v>
      </c>
      <c r="AD58" s="27">
        <f t="shared" si="35"/>
        <v>6.305947949367087E-2</v>
      </c>
      <c r="AE58" s="27">
        <f t="shared" si="27"/>
        <v>0.93694052050632914</v>
      </c>
      <c r="AF58" s="28">
        <f t="shared" si="28"/>
        <v>0.4</v>
      </c>
      <c r="AG58" s="81" t="s">
        <v>1138</v>
      </c>
      <c r="AH58" s="128" t="s">
        <v>67</v>
      </c>
      <c r="AI58" s="29">
        <v>24</v>
      </c>
      <c r="AJ58" s="29">
        <f t="shared" ref="AJ58:AJ66" si="37">+AI58*40</f>
        <v>960</v>
      </c>
      <c r="AK58" s="91" t="s">
        <v>1084</v>
      </c>
      <c r="AL58" s="290">
        <v>46252</v>
      </c>
      <c r="AN58" s="129">
        <f t="shared" si="36"/>
        <v>7.8E-2</v>
      </c>
      <c r="AO58" s="129">
        <f t="shared" si="29"/>
        <v>6.7241379310344837E-2</v>
      </c>
      <c r="AP58" s="130">
        <f t="shared" si="30"/>
        <v>6.0893575384615382</v>
      </c>
      <c r="AQ58" s="130">
        <f t="shared" si="31"/>
        <v>-5.0893575384615382</v>
      </c>
      <c r="AR58" s="33">
        <f t="shared" si="32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>
        <v>1</v>
      </c>
      <c r="BH58" s="3"/>
      <c r="BI58" s="3"/>
      <c r="BJ58" s="3">
        <v>9</v>
      </c>
      <c r="BK58" s="3">
        <f t="shared" si="33"/>
        <v>7</v>
      </c>
      <c r="BL58" s="4">
        <f t="shared" si="34"/>
        <v>0.77777777777777779</v>
      </c>
      <c r="BM58" s="295"/>
      <c r="BN58" s="295"/>
      <c r="BO58" s="295"/>
      <c r="BP58" s="295"/>
      <c r="BQ58" s="295"/>
      <c r="BR58" s="282" t="str">
        <f>+AK58</f>
        <v>En espera de recolección</v>
      </c>
      <c r="BS58" s="284">
        <f t="shared" si="18"/>
        <v>46252</v>
      </c>
      <c r="BT58" s="282" t="s">
        <v>1065</v>
      </c>
      <c r="CJ58" s="367"/>
      <c r="CK58" s="363"/>
      <c r="CL58" s="363"/>
      <c r="CM58" s="363"/>
      <c r="CN58" s="371"/>
      <c r="CO58" s="278"/>
      <c r="CP58" s="367"/>
      <c r="CQ58" s="363"/>
      <c r="CR58" s="373"/>
      <c r="CS58" s="268"/>
      <c r="CT58" s="367"/>
      <c r="CU58" s="363"/>
      <c r="CV58" s="377"/>
      <c r="CW58" s="267"/>
      <c r="CX58" s="367"/>
      <c r="CY58" s="363"/>
      <c r="CZ58" s="377"/>
      <c r="DA58" s="267"/>
      <c r="DB58" s="367"/>
      <c r="DC58" s="363"/>
    </row>
    <row r="59" spans="1:107" ht="153.75">
      <c r="A59" s="75">
        <v>53</v>
      </c>
      <c r="B59" s="121">
        <v>46234</v>
      </c>
      <c r="C59" s="75" t="s">
        <v>76</v>
      </c>
      <c r="D59" s="75" t="s">
        <v>77</v>
      </c>
      <c r="E59" s="122">
        <v>7506110698166</v>
      </c>
      <c r="F59" s="91" t="s">
        <v>1149</v>
      </c>
      <c r="G59" s="81" t="s">
        <v>1150</v>
      </c>
      <c r="H59" s="131"/>
      <c r="I59" s="81"/>
      <c r="J59" s="75" t="s">
        <v>1052</v>
      </c>
      <c r="K59" s="81" t="s">
        <v>1053</v>
      </c>
      <c r="L59" s="75">
        <v>1</v>
      </c>
      <c r="M59" s="125">
        <f t="shared" si="22"/>
        <v>8.0000000000000016E-2</v>
      </c>
      <c r="N59" s="125">
        <v>0.1</v>
      </c>
      <c r="O59" s="126">
        <v>8.3000000000000004E-2</v>
      </c>
      <c r="P59" s="125">
        <v>0</v>
      </c>
      <c r="Q59" s="126">
        <v>0</v>
      </c>
      <c r="R59" s="126">
        <v>0</v>
      </c>
      <c r="S59" s="126" t="s">
        <v>69</v>
      </c>
      <c r="T59" s="127">
        <f t="shared" ref="T59:T66" si="38">+O59</f>
        <v>8.3000000000000004E-2</v>
      </c>
      <c r="U59" s="29" t="s">
        <v>64</v>
      </c>
      <c r="V59" s="128">
        <v>30000</v>
      </c>
      <c r="W59" s="24">
        <f t="shared" si="23"/>
        <v>0.32061239999999996</v>
      </c>
      <c r="X59" s="24">
        <f t="shared" ref="X59:X69" si="39">+W59*0.25</f>
        <v>8.0153099999999991E-2</v>
      </c>
      <c r="Y59" s="24">
        <v>0.15</v>
      </c>
      <c r="Z59" s="24">
        <f t="shared" si="24"/>
        <v>0.55076550000000002</v>
      </c>
      <c r="AA59" s="88">
        <v>19</v>
      </c>
      <c r="AB59" s="24">
        <f t="shared" si="25"/>
        <v>16.379310344827587</v>
      </c>
      <c r="AC59" s="24">
        <f t="shared" si="26"/>
        <v>9.8275862068965516</v>
      </c>
      <c r="AD59" s="27">
        <f t="shared" si="35"/>
        <v>5.6042805263157899E-2</v>
      </c>
      <c r="AE59" s="27">
        <f t="shared" si="27"/>
        <v>0.94395719473684214</v>
      </c>
      <c r="AF59" s="28">
        <f t="shared" si="28"/>
        <v>0.4</v>
      </c>
      <c r="AG59" s="81" t="s">
        <v>1138</v>
      </c>
      <c r="AH59" s="128" t="s">
        <v>67</v>
      </c>
      <c r="AI59" s="29">
        <v>12</v>
      </c>
      <c r="AJ59" s="29">
        <f t="shared" si="37"/>
        <v>480</v>
      </c>
      <c r="AK59" s="91" t="s">
        <v>1143</v>
      </c>
      <c r="AL59" s="290">
        <v>46252</v>
      </c>
      <c r="AN59" s="129">
        <f t="shared" si="36"/>
        <v>9.7500000000000003E-2</v>
      </c>
      <c r="AO59" s="129">
        <f t="shared" si="29"/>
        <v>8.405172413793105E-2</v>
      </c>
      <c r="AP59" s="130">
        <f t="shared" si="30"/>
        <v>0.95361636923076898</v>
      </c>
      <c r="AQ59" s="130">
        <f t="shared" si="31"/>
        <v>4.6383630769231021E-2</v>
      </c>
      <c r="AR59" s="33">
        <f t="shared" si="32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>
        <v>1</v>
      </c>
      <c r="BH59" s="3"/>
      <c r="BI59" s="3"/>
      <c r="BJ59" s="3">
        <v>9</v>
      </c>
      <c r="BK59" s="3">
        <f t="shared" si="33"/>
        <v>7</v>
      </c>
      <c r="BL59" s="4">
        <f t="shared" si="34"/>
        <v>0.77777777777777779</v>
      </c>
      <c r="BM59" s="295"/>
      <c r="BN59" s="295"/>
      <c r="BO59" s="295"/>
      <c r="BP59" s="295"/>
      <c r="BQ59" s="295"/>
      <c r="BR59" s="282" t="str">
        <f>+AK59</f>
        <v>En Producción. Aproximadamente terminan el 10/jun</v>
      </c>
      <c r="BS59" s="284">
        <f t="shared" si="18"/>
        <v>46252</v>
      </c>
      <c r="BT59" s="282" t="s">
        <v>150</v>
      </c>
      <c r="CJ59" s="367"/>
      <c r="CK59" s="363"/>
      <c r="CL59" s="363"/>
      <c r="CM59" s="363"/>
      <c r="CN59" s="371"/>
      <c r="CO59" s="278"/>
      <c r="CP59" s="367"/>
      <c r="CQ59" s="363"/>
      <c r="CR59" s="373"/>
      <c r="CS59" s="268"/>
      <c r="CT59" s="367"/>
      <c r="CU59" s="363"/>
      <c r="CV59" s="377"/>
      <c r="CW59" s="267"/>
      <c r="CX59" s="367"/>
      <c r="CY59" s="363"/>
      <c r="CZ59" s="377"/>
      <c r="DA59" s="267"/>
      <c r="DB59" s="367"/>
      <c r="DC59" s="363"/>
    </row>
    <row r="60" spans="1:107" ht="153.75">
      <c r="A60" s="75">
        <v>54</v>
      </c>
      <c r="B60" s="121">
        <v>46234</v>
      </c>
      <c r="C60" s="75" t="s">
        <v>76</v>
      </c>
      <c r="D60" s="75" t="s">
        <v>77</v>
      </c>
      <c r="E60" s="122">
        <v>7506110698173</v>
      </c>
      <c r="F60" s="91" t="s">
        <v>1151</v>
      </c>
      <c r="G60" s="81" t="s">
        <v>1152</v>
      </c>
      <c r="H60" s="131" t="s">
        <v>60</v>
      </c>
      <c r="I60" s="81"/>
      <c r="J60" s="75" t="s">
        <v>1052</v>
      </c>
      <c r="K60" s="81" t="s">
        <v>1053</v>
      </c>
      <c r="L60" s="75">
        <v>1</v>
      </c>
      <c r="M60" s="125">
        <f t="shared" si="22"/>
        <v>8.0000000000000016E-2</v>
      </c>
      <c r="N60" s="125">
        <v>0.1</v>
      </c>
      <c r="O60" s="126">
        <f t="shared" ref="O60:O66" si="40">1/12</f>
        <v>8.3333333333333329E-2</v>
      </c>
      <c r="P60" s="125">
        <v>0</v>
      </c>
      <c r="Q60" s="126">
        <v>0</v>
      </c>
      <c r="R60" s="126">
        <v>0</v>
      </c>
      <c r="S60" s="126" t="s">
        <v>69</v>
      </c>
      <c r="T60" s="127">
        <f t="shared" si="38"/>
        <v>8.3333333333333329E-2</v>
      </c>
      <c r="U60" s="29" t="s">
        <v>64</v>
      </c>
      <c r="V60" s="128">
        <v>30000</v>
      </c>
      <c r="W60" s="24">
        <f t="shared" si="23"/>
        <v>0.32189999999999996</v>
      </c>
      <c r="X60" s="24">
        <f t="shared" si="39"/>
        <v>8.0474999999999991E-2</v>
      </c>
      <c r="Y60" s="24">
        <v>0.15</v>
      </c>
      <c r="Z60" s="24">
        <f t="shared" si="24"/>
        <v>0.55237499999999995</v>
      </c>
      <c r="AA60" s="88">
        <v>19.899999999999999</v>
      </c>
      <c r="AB60" s="24">
        <f t="shared" si="25"/>
        <v>17.155172413793103</v>
      </c>
      <c r="AC60" s="24">
        <f t="shared" si="26"/>
        <v>10.293103448275861</v>
      </c>
      <c r="AD60" s="27">
        <f t="shared" si="35"/>
        <v>5.3664572864321608E-2</v>
      </c>
      <c r="AE60" s="27">
        <f t="shared" si="27"/>
        <v>0.94633542713567842</v>
      </c>
      <c r="AF60" s="28">
        <f t="shared" si="28"/>
        <v>0.4</v>
      </c>
      <c r="AG60" s="81" t="s">
        <v>1138</v>
      </c>
      <c r="AH60" s="128" t="s">
        <v>67</v>
      </c>
      <c r="AI60" s="29">
        <v>12</v>
      </c>
      <c r="AJ60" s="29">
        <f t="shared" si="37"/>
        <v>480</v>
      </c>
      <c r="AK60" s="91" t="s">
        <v>1143</v>
      </c>
      <c r="AL60" s="290">
        <v>46252</v>
      </c>
      <c r="AN60" s="129">
        <f t="shared" si="36"/>
        <v>9.7500000000000003E-2</v>
      </c>
      <c r="AO60" s="129">
        <f t="shared" si="29"/>
        <v>8.405172413793105E-2</v>
      </c>
      <c r="AP60" s="130">
        <f t="shared" si="30"/>
        <v>0.95744615384615361</v>
      </c>
      <c r="AQ60" s="130">
        <f t="shared" si="31"/>
        <v>4.2553846153846386E-2</v>
      </c>
      <c r="AR60" s="33">
        <f t="shared" si="32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>
        <v>1</v>
      </c>
      <c r="BH60" s="3"/>
      <c r="BI60" s="3"/>
      <c r="BJ60" s="3">
        <v>9</v>
      </c>
      <c r="BK60" s="3">
        <f t="shared" si="33"/>
        <v>7</v>
      </c>
      <c r="BL60" s="4">
        <f t="shared" si="34"/>
        <v>0.77777777777777779</v>
      </c>
      <c r="BM60" s="295"/>
      <c r="BN60" s="295"/>
      <c r="BO60" s="295"/>
      <c r="BP60" s="295"/>
      <c r="BQ60" s="295"/>
      <c r="BR60" s="282" t="str">
        <f t="shared" si="15"/>
        <v>En Producción. Aproximadamente terminan el 10/jun</v>
      </c>
      <c r="BS60" s="284">
        <f t="shared" si="18"/>
        <v>46252</v>
      </c>
      <c r="BT60" s="282" t="s">
        <v>150</v>
      </c>
      <c r="CJ60" s="367"/>
      <c r="CK60" s="363"/>
      <c r="CL60" s="363"/>
      <c r="CM60" s="363"/>
      <c r="CN60" s="371"/>
      <c r="CO60" s="278"/>
      <c r="CP60" s="367"/>
      <c r="CQ60" s="363"/>
      <c r="CR60" s="373"/>
      <c r="CS60" s="268"/>
      <c r="CT60" s="367"/>
      <c r="CU60" s="363"/>
      <c r="CV60" s="377"/>
      <c r="CW60" s="267"/>
      <c r="CX60" s="367"/>
      <c r="CY60" s="363"/>
      <c r="CZ60" s="377"/>
      <c r="DA60" s="267"/>
      <c r="DB60" s="367"/>
      <c r="DC60" s="363"/>
    </row>
    <row r="61" spans="1:107" ht="153.75">
      <c r="A61" s="75">
        <v>55</v>
      </c>
      <c r="B61" s="121">
        <v>46234</v>
      </c>
      <c r="C61" s="75" t="s">
        <v>76</v>
      </c>
      <c r="D61" s="75" t="s">
        <v>77</v>
      </c>
      <c r="E61" s="122">
        <v>7506110698180</v>
      </c>
      <c r="F61" s="91" t="s">
        <v>1153</v>
      </c>
      <c r="G61" s="81" t="s">
        <v>1154</v>
      </c>
      <c r="H61" s="131" t="s">
        <v>60</v>
      </c>
      <c r="I61" s="81"/>
      <c r="J61" s="75" t="s">
        <v>1052</v>
      </c>
      <c r="K61" s="81" t="s">
        <v>1053</v>
      </c>
      <c r="L61" s="75">
        <v>1</v>
      </c>
      <c r="M61" s="125">
        <f t="shared" si="22"/>
        <v>8.0000000000000016E-2</v>
      </c>
      <c r="N61" s="125">
        <v>0.1</v>
      </c>
      <c r="O61" s="126">
        <f t="shared" si="40"/>
        <v>8.3333333333333329E-2</v>
      </c>
      <c r="P61" s="125">
        <v>0</v>
      </c>
      <c r="Q61" s="126">
        <v>0</v>
      </c>
      <c r="R61" s="126">
        <v>0</v>
      </c>
      <c r="S61" s="126" t="s">
        <v>69</v>
      </c>
      <c r="T61" s="127">
        <f t="shared" si="38"/>
        <v>8.3333333333333329E-2</v>
      </c>
      <c r="U61" s="29" t="s">
        <v>64</v>
      </c>
      <c r="V61" s="128">
        <v>30000</v>
      </c>
      <c r="W61" s="24">
        <f t="shared" si="23"/>
        <v>0.32189999999999996</v>
      </c>
      <c r="X61" s="24">
        <f t="shared" si="39"/>
        <v>8.0474999999999991E-2</v>
      </c>
      <c r="Y61" s="24">
        <v>0.15</v>
      </c>
      <c r="Z61" s="24">
        <f t="shared" si="24"/>
        <v>0.55237499999999995</v>
      </c>
      <c r="AA61" s="88">
        <v>19.899999999999999</v>
      </c>
      <c r="AB61" s="24">
        <f t="shared" si="25"/>
        <v>17.155172413793103</v>
      </c>
      <c r="AC61" s="24">
        <f t="shared" si="26"/>
        <v>10.293103448275861</v>
      </c>
      <c r="AD61" s="27">
        <f t="shared" si="35"/>
        <v>5.3664572864321608E-2</v>
      </c>
      <c r="AE61" s="27">
        <f t="shared" si="27"/>
        <v>0.94633542713567842</v>
      </c>
      <c r="AF61" s="28">
        <f t="shared" si="28"/>
        <v>0.4</v>
      </c>
      <c r="AG61" s="81" t="s">
        <v>1138</v>
      </c>
      <c r="AH61" s="128" t="s">
        <v>67</v>
      </c>
      <c r="AI61" s="29">
        <v>12</v>
      </c>
      <c r="AJ61" s="29">
        <f t="shared" si="37"/>
        <v>480</v>
      </c>
      <c r="AK61" s="91" t="s">
        <v>1143</v>
      </c>
      <c r="AL61" s="290">
        <v>46252</v>
      </c>
      <c r="AN61" s="129">
        <f t="shared" si="36"/>
        <v>9.7500000000000003E-2</v>
      </c>
      <c r="AO61" s="129">
        <f t="shared" si="29"/>
        <v>8.405172413793105E-2</v>
      </c>
      <c r="AP61" s="130">
        <f t="shared" si="30"/>
        <v>0.95744615384615361</v>
      </c>
      <c r="AQ61" s="130">
        <f t="shared" si="31"/>
        <v>4.2553846153846386E-2</v>
      </c>
      <c r="AR61" s="33">
        <f t="shared" si="32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/>
      <c r="BI61" s="3"/>
      <c r="BJ61" s="3">
        <v>9</v>
      </c>
      <c r="BK61" s="3">
        <f t="shared" si="33"/>
        <v>7</v>
      </c>
      <c r="BL61" s="4">
        <f t="shared" si="34"/>
        <v>0.77777777777777779</v>
      </c>
      <c r="BM61" s="295"/>
      <c r="BN61" s="295"/>
      <c r="BO61" s="295"/>
      <c r="BP61" s="295"/>
      <c r="BQ61" s="295"/>
      <c r="BR61" s="282" t="str">
        <f t="shared" si="15"/>
        <v>En Producción. Aproximadamente terminan el 10/jun</v>
      </c>
      <c r="BS61" s="284">
        <f t="shared" si="18"/>
        <v>46252</v>
      </c>
      <c r="BT61" s="282" t="s">
        <v>150</v>
      </c>
      <c r="CJ61" s="367"/>
      <c r="CK61" s="363"/>
      <c r="CL61" s="363"/>
      <c r="CM61" s="363"/>
      <c r="CN61" s="371"/>
      <c r="CO61" s="278"/>
      <c r="CP61" s="367"/>
      <c r="CQ61" s="363"/>
      <c r="CR61" s="373"/>
      <c r="CS61" s="268"/>
      <c r="CT61" s="367"/>
      <c r="CU61" s="363"/>
      <c r="CV61" s="377"/>
      <c r="CW61" s="267"/>
      <c r="CX61" s="367"/>
      <c r="CY61" s="363"/>
      <c r="CZ61" s="377"/>
      <c r="DA61" s="267"/>
      <c r="DB61" s="367"/>
      <c r="DC61" s="363"/>
    </row>
    <row r="62" spans="1:107" ht="153.75">
      <c r="A62" s="75">
        <v>56</v>
      </c>
      <c r="B62" s="121">
        <v>46234</v>
      </c>
      <c r="C62" s="75" t="s">
        <v>76</v>
      </c>
      <c r="D62" s="75" t="s">
        <v>77</v>
      </c>
      <c r="E62" s="122">
        <v>7506110698197</v>
      </c>
      <c r="F62" s="91" t="s">
        <v>1155</v>
      </c>
      <c r="G62" s="81" t="s">
        <v>1156</v>
      </c>
      <c r="H62" s="131" t="s">
        <v>60</v>
      </c>
      <c r="I62" s="81"/>
      <c r="J62" s="75" t="s">
        <v>1052</v>
      </c>
      <c r="K62" s="81" t="s">
        <v>1053</v>
      </c>
      <c r="L62" s="75">
        <v>1</v>
      </c>
      <c r="M62" s="125">
        <f t="shared" si="22"/>
        <v>8.0000000000000016E-2</v>
      </c>
      <c r="N62" s="125">
        <v>0.1</v>
      </c>
      <c r="O62" s="126">
        <f t="shared" si="40"/>
        <v>8.3333333333333329E-2</v>
      </c>
      <c r="P62" s="125">
        <v>0</v>
      </c>
      <c r="Q62" s="126">
        <v>0</v>
      </c>
      <c r="R62" s="126">
        <v>0</v>
      </c>
      <c r="S62" s="126" t="s">
        <v>69</v>
      </c>
      <c r="T62" s="127">
        <f t="shared" si="38"/>
        <v>8.3333333333333329E-2</v>
      </c>
      <c r="U62" s="29" t="s">
        <v>64</v>
      </c>
      <c r="V62" s="128">
        <v>30000</v>
      </c>
      <c r="W62" s="24">
        <f t="shared" si="23"/>
        <v>0.32189999999999996</v>
      </c>
      <c r="X62" s="24">
        <f t="shared" si="39"/>
        <v>8.0474999999999991E-2</v>
      </c>
      <c r="Y62" s="24">
        <v>0.15</v>
      </c>
      <c r="Z62" s="24">
        <f t="shared" si="24"/>
        <v>0.55237499999999995</v>
      </c>
      <c r="AA62" s="88">
        <v>19.899999999999999</v>
      </c>
      <c r="AB62" s="24">
        <f t="shared" si="25"/>
        <v>17.155172413793103</v>
      </c>
      <c r="AC62" s="24">
        <f t="shared" si="26"/>
        <v>10.293103448275861</v>
      </c>
      <c r="AD62" s="27">
        <f t="shared" si="35"/>
        <v>5.3664572864321608E-2</v>
      </c>
      <c r="AE62" s="27">
        <f t="shared" si="27"/>
        <v>0.94633542713567842</v>
      </c>
      <c r="AF62" s="28">
        <f t="shared" si="28"/>
        <v>0.4</v>
      </c>
      <c r="AG62" s="81" t="s">
        <v>1138</v>
      </c>
      <c r="AH62" s="128" t="s">
        <v>67</v>
      </c>
      <c r="AI62" s="29">
        <v>12</v>
      </c>
      <c r="AJ62" s="29">
        <f t="shared" si="37"/>
        <v>480</v>
      </c>
      <c r="AK62" s="91" t="s">
        <v>1143</v>
      </c>
      <c r="AL62" s="290">
        <v>46252</v>
      </c>
      <c r="AN62" s="129">
        <f t="shared" si="36"/>
        <v>9.7500000000000003E-2</v>
      </c>
      <c r="AO62" s="129">
        <f t="shared" si="29"/>
        <v>8.405172413793105E-2</v>
      </c>
      <c r="AP62" s="130">
        <f t="shared" si="30"/>
        <v>0.95744615384615361</v>
      </c>
      <c r="AQ62" s="130">
        <f t="shared" si="31"/>
        <v>4.2553846153846386E-2</v>
      </c>
      <c r="AR62" s="33">
        <f t="shared" si="32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/>
      <c r="BI62" s="3"/>
      <c r="BJ62" s="3">
        <v>9</v>
      </c>
      <c r="BK62" s="3">
        <f t="shared" si="33"/>
        <v>7</v>
      </c>
      <c r="BL62" s="4">
        <f t="shared" si="34"/>
        <v>0.77777777777777779</v>
      </c>
      <c r="BM62" s="295"/>
      <c r="BN62" s="295"/>
      <c r="BO62" s="295"/>
      <c r="BP62" s="295"/>
      <c r="BQ62" s="295"/>
      <c r="BR62" s="282" t="str">
        <f t="shared" ref="BR62:BR75" si="41">+AK62</f>
        <v>En Producción. Aproximadamente terminan el 10/jun</v>
      </c>
      <c r="BS62" s="284">
        <f t="shared" si="18"/>
        <v>46252</v>
      </c>
      <c r="BT62" s="282" t="s">
        <v>150</v>
      </c>
      <c r="CJ62" s="367"/>
      <c r="CK62" s="363"/>
      <c r="CL62" s="363"/>
      <c r="CM62" s="363"/>
      <c r="CN62" s="371"/>
      <c r="CO62" s="278"/>
      <c r="CP62" s="367"/>
      <c r="CQ62" s="363"/>
      <c r="CR62" s="373"/>
      <c r="CS62" s="268"/>
      <c r="CT62" s="367"/>
      <c r="CU62" s="363"/>
      <c r="CV62" s="377"/>
      <c r="CW62" s="267"/>
      <c r="CX62" s="367"/>
      <c r="CY62" s="363"/>
      <c r="CZ62" s="377"/>
      <c r="DA62" s="267"/>
      <c r="DB62" s="367"/>
      <c r="DC62" s="363"/>
    </row>
    <row r="63" spans="1:107" ht="153.75">
      <c r="A63" s="75">
        <v>57</v>
      </c>
      <c r="B63" s="121">
        <v>46234</v>
      </c>
      <c r="C63" s="75" t="s">
        <v>76</v>
      </c>
      <c r="D63" s="75" t="s">
        <v>77</v>
      </c>
      <c r="E63" s="122">
        <v>7506110698203</v>
      </c>
      <c r="F63" s="91" t="s">
        <v>1157</v>
      </c>
      <c r="G63" s="81" t="s">
        <v>1158</v>
      </c>
      <c r="H63" s="131" t="s">
        <v>60</v>
      </c>
      <c r="I63" s="81"/>
      <c r="J63" s="75" t="s">
        <v>1052</v>
      </c>
      <c r="K63" s="81" t="s">
        <v>1053</v>
      </c>
      <c r="L63" s="75">
        <v>1</v>
      </c>
      <c r="M63" s="125">
        <f t="shared" si="22"/>
        <v>8.0000000000000016E-2</v>
      </c>
      <c r="N63" s="125">
        <v>0.1</v>
      </c>
      <c r="O63" s="126">
        <f t="shared" si="40"/>
        <v>8.3333333333333329E-2</v>
      </c>
      <c r="P63" s="125">
        <v>0</v>
      </c>
      <c r="Q63" s="126">
        <v>0</v>
      </c>
      <c r="R63" s="126">
        <v>0</v>
      </c>
      <c r="S63" s="126" t="s">
        <v>69</v>
      </c>
      <c r="T63" s="127">
        <f t="shared" si="38"/>
        <v>8.3333333333333329E-2</v>
      </c>
      <c r="U63" s="29" t="s">
        <v>64</v>
      </c>
      <c r="V63" s="128">
        <v>30000</v>
      </c>
      <c r="W63" s="24">
        <f t="shared" si="23"/>
        <v>0.32189999999999996</v>
      </c>
      <c r="X63" s="24">
        <f t="shared" si="39"/>
        <v>8.0474999999999991E-2</v>
      </c>
      <c r="Y63" s="24">
        <v>0.15</v>
      </c>
      <c r="Z63" s="24">
        <f t="shared" si="24"/>
        <v>0.55237499999999995</v>
      </c>
      <c r="AA63" s="88">
        <v>19.899999999999999</v>
      </c>
      <c r="AB63" s="24">
        <f t="shared" si="25"/>
        <v>17.155172413793103</v>
      </c>
      <c r="AC63" s="24">
        <f t="shared" si="26"/>
        <v>10.293103448275861</v>
      </c>
      <c r="AD63" s="27">
        <f t="shared" si="35"/>
        <v>5.3664572864321608E-2</v>
      </c>
      <c r="AE63" s="27">
        <f t="shared" si="27"/>
        <v>0.94633542713567842</v>
      </c>
      <c r="AF63" s="28">
        <f t="shared" si="28"/>
        <v>0.4</v>
      </c>
      <c r="AG63" s="81" t="s">
        <v>1138</v>
      </c>
      <c r="AH63" s="128" t="s">
        <v>67</v>
      </c>
      <c r="AI63" s="29">
        <v>12</v>
      </c>
      <c r="AJ63" s="29">
        <f t="shared" si="37"/>
        <v>480</v>
      </c>
      <c r="AK63" s="91" t="s">
        <v>1143</v>
      </c>
      <c r="AL63" s="290">
        <v>46252</v>
      </c>
      <c r="AN63" s="129">
        <f t="shared" si="36"/>
        <v>9.7500000000000003E-2</v>
      </c>
      <c r="AO63" s="129">
        <f t="shared" si="29"/>
        <v>8.405172413793105E-2</v>
      </c>
      <c r="AP63" s="130">
        <f t="shared" si="30"/>
        <v>0.95744615384615361</v>
      </c>
      <c r="AQ63" s="130">
        <f t="shared" si="31"/>
        <v>4.2553846153846386E-2</v>
      </c>
      <c r="AR63" s="33">
        <f t="shared" si="32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3"/>
        <v>7</v>
      </c>
      <c r="BL63" s="4">
        <f t="shared" si="34"/>
        <v>0.77777777777777779</v>
      </c>
      <c r="BM63" s="295"/>
      <c r="BN63" s="295"/>
      <c r="BO63" s="295"/>
      <c r="BP63" s="295"/>
      <c r="BQ63" s="295"/>
      <c r="BR63" s="282" t="str">
        <f t="shared" si="41"/>
        <v>En Producción. Aproximadamente terminan el 10/jun</v>
      </c>
      <c r="BS63" s="284">
        <f t="shared" si="18"/>
        <v>46252</v>
      </c>
      <c r="BT63" s="282" t="s">
        <v>150</v>
      </c>
      <c r="CJ63" s="367"/>
      <c r="CK63" s="363"/>
      <c r="CL63" s="363"/>
      <c r="CM63" s="363"/>
      <c r="CN63" s="371"/>
      <c r="CO63" s="278"/>
      <c r="CP63" s="367"/>
      <c r="CQ63" s="363"/>
      <c r="CR63" s="373"/>
      <c r="CS63" s="268"/>
      <c r="CT63" s="367"/>
      <c r="CU63" s="363"/>
      <c r="CV63" s="377"/>
      <c r="CW63" s="267"/>
      <c r="CX63" s="367"/>
      <c r="CY63" s="363"/>
      <c r="CZ63" s="377"/>
      <c r="DA63" s="267"/>
      <c r="DB63" s="367"/>
      <c r="DC63" s="363"/>
    </row>
    <row r="64" spans="1:107" ht="153.75">
      <c r="A64" s="75">
        <v>58</v>
      </c>
      <c r="B64" s="121">
        <v>46234</v>
      </c>
      <c r="C64" s="75" t="s">
        <v>76</v>
      </c>
      <c r="D64" s="75" t="s">
        <v>77</v>
      </c>
      <c r="E64" s="122">
        <v>7506110698210</v>
      </c>
      <c r="F64" s="91" t="s">
        <v>1159</v>
      </c>
      <c r="G64" s="81" t="s">
        <v>1160</v>
      </c>
      <c r="H64" s="131" t="s">
        <v>60</v>
      </c>
      <c r="I64" s="81"/>
      <c r="J64" s="75" t="s">
        <v>1052</v>
      </c>
      <c r="K64" s="81" t="s">
        <v>1053</v>
      </c>
      <c r="L64" s="75">
        <v>1</v>
      </c>
      <c r="M64" s="125">
        <f t="shared" si="22"/>
        <v>8.0000000000000016E-2</v>
      </c>
      <c r="N64" s="125">
        <v>0.1</v>
      </c>
      <c r="O64" s="126">
        <f t="shared" si="40"/>
        <v>8.3333333333333329E-2</v>
      </c>
      <c r="P64" s="125">
        <v>0</v>
      </c>
      <c r="Q64" s="126">
        <v>0</v>
      </c>
      <c r="R64" s="126">
        <v>0</v>
      </c>
      <c r="S64" s="126" t="s">
        <v>69</v>
      </c>
      <c r="T64" s="127">
        <f t="shared" si="38"/>
        <v>8.3333333333333329E-2</v>
      </c>
      <c r="U64" s="29" t="s">
        <v>64</v>
      </c>
      <c r="V64" s="128">
        <v>30000</v>
      </c>
      <c r="W64" s="24">
        <f t="shared" si="23"/>
        <v>0.32189999999999996</v>
      </c>
      <c r="X64" s="24">
        <f t="shared" si="39"/>
        <v>8.0474999999999991E-2</v>
      </c>
      <c r="Y64" s="24">
        <v>0.15</v>
      </c>
      <c r="Z64" s="24">
        <f t="shared" si="24"/>
        <v>0.55237499999999995</v>
      </c>
      <c r="AA64" s="88">
        <v>19.899999999999999</v>
      </c>
      <c r="AB64" s="24">
        <f t="shared" si="25"/>
        <v>17.155172413793103</v>
      </c>
      <c r="AC64" s="24">
        <f t="shared" si="26"/>
        <v>10.293103448275861</v>
      </c>
      <c r="AD64" s="27">
        <f t="shared" si="35"/>
        <v>5.3664572864321608E-2</v>
      </c>
      <c r="AE64" s="27">
        <f t="shared" si="27"/>
        <v>0.94633542713567842</v>
      </c>
      <c r="AF64" s="28">
        <f t="shared" si="28"/>
        <v>0.4</v>
      </c>
      <c r="AG64" s="81" t="s">
        <v>1138</v>
      </c>
      <c r="AH64" s="128" t="s">
        <v>67</v>
      </c>
      <c r="AI64" s="29">
        <v>12</v>
      </c>
      <c r="AJ64" s="29">
        <f t="shared" si="37"/>
        <v>480</v>
      </c>
      <c r="AK64" s="91" t="s">
        <v>1143</v>
      </c>
      <c r="AL64" s="290">
        <v>46252</v>
      </c>
      <c r="AN64" s="129">
        <f t="shared" si="36"/>
        <v>9.7500000000000003E-2</v>
      </c>
      <c r="AO64" s="129">
        <f t="shared" si="29"/>
        <v>8.405172413793105E-2</v>
      </c>
      <c r="AP64" s="130">
        <f t="shared" si="30"/>
        <v>0.95744615384615361</v>
      </c>
      <c r="AQ64" s="130">
        <f t="shared" si="31"/>
        <v>4.2553846153846386E-2</v>
      </c>
      <c r="AR64" s="33">
        <f t="shared" si="32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3"/>
        <v>7</v>
      </c>
      <c r="BL64" s="4">
        <f t="shared" si="34"/>
        <v>0.77777777777777779</v>
      </c>
      <c r="BM64" s="295"/>
      <c r="BN64" s="295"/>
      <c r="BO64" s="295"/>
      <c r="BP64" s="295"/>
      <c r="BQ64" s="295"/>
      <c r="BR64" s="282" t="str">
        <f t="shared" si="41"/>
        <v>En Producción. Aproximadamente terminan el 10/jun</v>
      </c>
      <c r="BS64" s="284">
        <f t="shared" si="18"/>
        <v>46252</v>
      </c>
      <c r="BT64" s="282" t="s">
        <v>150</v>
      </c>
      <c r="CJ64" s="367"/>
      <c r="CK64" s="363"/>
      <c r="CL64" s="363"/>
      <c r="CM64" s="363"/>
      <c r="CN64" s="371"/>
      <c r="CO64" s="278"/>
      <c r="CP64" s="367"/>
      <c r="CQ64" s="363"/>
      <c r="CR64" s="373"/>
      <c r="CS64" s="268"/>
      <c r="CT64" s="367"/>
      <c r="CU64" s="363"/>
      <c r="CV64" s="377"/>
      <c r="CW64" s="267"/>
      <c r="CX64" s="367"/>
      <c r="CY64" s="363"/>
      <c r="CZ64" s="377"/>
      <c r="DA64" s="267"/>
      <c r="DB64" s="367"/>
      <c r="DC64" s="363"/>
    </row>
    <row r="65" spans="1:107" ht="153.75">
      <c r="A65" s="75">
        <v>61</v>
      </c>
      <c r="B65" s="121">
        <v>46234</v>
      </c>
      <c r="C65" s="75" t="s">
        <v>76</v>
      </c>
      <c r="D65" s="75" t="s">
        <v>77</v>
      </c>
      <c r="E65" s="122">
        <v>7506110698241</v>
      </c>
      <c r="F65" s="91" t="s">
        <v>1161</v>
      </c>
      <c r="G65" s="81" t="s">
        <v>1162</v>
      </c>
      <c r="H65" s="131" t="s">
        <v>60</v>
      </c>
      <c r="I65" s="81"/>
      <c r="J65" s="75" t="s">
        <v>1052</v>
      </c>
      <c r="K65" s="81" t="s">
        <v>1053</v>
      </c>
      <c r="L65" s="75">
        <v>1</v>
      </c>
      <c r="M65" s="125">
        <f t="shared" si="22"/>
        <v>8.0000000000000016E-2</v>
      </c>
      <c r="N65" s="125">
        <v>0.1</v>
      </c>
      <c r="O65" s="126">
        <f t="shared" si="40"/>
        <v>8.3333333333333329E-2</v>
      </c>
      <c r="P65" s="125">
        <v>0</v>
      </c>
      <c r="Q65" s="126">
        <v>0</v>
      </c>
      <c r="R65" s="126">
        <v>0</v>
      </c>
      <c r="S65" s="126" t="s">
        <v>69</v>
      </c>
      <c r="T65" s="127">
        <f t="shared" si="38"/>
        <v>8.3333333333333329E-2</v>
      </c>
      <c r="U65" s="29" t="s">
        <v>64</v>
      </c>
      <c r="V65" s="128">
        <v>30000</v>
      </c>
      <c r="W65" s="24">
        <f t="shared" si="23"/>
        <v>0.32189999999999996</v>
      </c>
      <c r="X65" s="24">
        <f t="shared" si="39"/>
        <v>8.0474999999999991E-2</v>
      </c>
      <c r="Y65" s="24">
        <v>0.15</v>
      </c>
      <c r="Z65" s="24">
        <f t="shared" si="24"/>
        <v>0.55237499999999995</v>
      </c>
      <c r="AA65" s="88">
        <v>19.899999999999999</v>
      </c>
      <c r="AB65" s="24">
        <f t="shared" si="25"/>
        <v>17.155172413793103</v>
      </c>
      <c r="AC65" s="24">
        <f t="shared" si="26"/>
        <v>10.293103448275861</v>
      </c>
      <c r="AD65" s="27">
        <f t="shared" si="35"/>
        <v>5.3664572864321608E-2</v>
      </c>
      <c r="AE65" s="27">
        <f t="shared" si="27"/>
        <v>0.94633542713567842</v>
      </c>
      <c r="AF65" s="28">
        <f t="shared" si="28"/>
        <v>0.4</v>
      </c>
      <c r="AG65" s="81" t="s">
        <v>1138</v>
      </c>
      <c r="AH65" s="128" t="s">
        <v>67</v>
      </c>
      <c r="AI65" s="29">
        <v>12</v>
      </c>
      <c r="AJ65" s="29">
        <f t="shared" si="37"/>
        <v>480</v>
      </c>
      <c r="AK65" s="91" t="s">
        <v>1143</v>
      </c>
      <c r="AL65" s="290">
        <v>46252</v>
      </c>
      <c r="AN65" s="129">
        <f t="shared" si="36"/>
        <v>9.7500000000000003E-2</v>
      </c>
      <c r="AO65" s="129">
        <f t="shared" si="29"/>
        <v>8.405172413793105E-2</v>
      </c>
      <c r="AP65" s="130">
        <f t="shared" si="30"/>
        <v>0.95744615384615361</v>
      </c>
      <c r="AQ65" s="130">
        <f t="shared" si="31"/>
        <v>4.2553846153846386E-2</v>
      </c>
      <c r="AR65" s="33">
        <f t="shared" si="32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3"/>
        <v>7</v>
      </c>
      <c r="BL65" s="4">
        <f t="shared" si="34"/>
        <v>0.77777777777777779</v>
      </c>
      <c r="BM65" s="295"/>
      <c r="BN65" s="295"/>
      <c r="BO65" s="295"/>
      <c r="BP65" s="295"/>
      <c r="BQ65" s="295"/>
      <c r="BR65" s="282" t="str">
        <f t="shared" si="41"/>
        <v>En Producción. Aproximadamente terminan el 10/jun</v>
      </c>
      <c r="BS65" s="284">
        <f t="shared" si="18"/>
        <v>46252</v>
      </c>
      <c r="BT65" s="282" t="s">
        <v>150</v>
      </c>
      <c r="CJ65" s="367"/>
      <c r="CK65" s="363"/>
      <c r="CL65" s="363"/>
      <c r="CM65" s="363"/>
      <c r="CN65" s="371"/>
      <c r="CO65" s="278"/>
      <c r="CP65" s="367"/>
      <c r="CQ65" s="363"/>
      <c r="CR65" s="373"/>
      <c r="CS65" s="268"/>
      <c r="CT65" s="367"/>
      <c r="CU65" s="363"/>
      <c r="CV65" s="377"/>
      <c r="CW65" s="267"/>
      <c r="CX65" s="367"/>
      <c r="CY65" s="363"/>
      <c r="CZ65" s="377"/>
      <c r="DA65" s="267"/>
      <c r="DB65" s="367"/>
      <c r="DC65" s="363"/>
    </row>
    <row r="66" spans="1:107" ht="153.75">
      <c r="A66" s="75">
        <v>62</v>
      </c>
      <c r="B66" s="121">
        <v>46234</v>
      </c>
      <c r="C66" s="75" t="s">
        <v>76</v>
      </c>
      <c r="D66" s="75" t="s">
        <v>77</v>
      </c>
      <c r="E66" s="122">
        <v>7506110698258</v>
      </c>
      <c r="F66" s="91" t="s">
        <v>1163</v>
      </c>
      <c r="G66" s="81" t="s">
        <v>1164</v>
      </c>
      <c r="H66" s="131" t="s">
        <v>60</v>
      </c>
      <c r="I66" s="81"/>
      <c r="J66" s="75" t="s">
        <v>1052</v>
      </c>
      <c r="K66" s="81" t="s">
        <v>1053</v>
      </c>
      <c r="L66" s="75">
        <v>1</v>
      </c>
      <c r="M66" s="125">
        <f t="shared" si="22"/>
        <v>8.0000000000000016E-2</v>
      </c>
      <c r="N66" s="125">
        <v>0.1</v>
      </c>
      <c r="O66" s="126">
        <f t="shared" si="40"/>
        <v>8.3333333333333329E-2</v>
      </c>
      <c r="P66" s="125">
        <v>0</v>
      </c>
      <c r="Q66" s="126">
        <v>0</v>
      </c>
      <c r="R66" s="126">
        <v>0</v>
      </c>
      <c r="S66" s="126" t="s">
        <v>69</v>
      </c>
      <c r="T66" s="127">
        <f t="shared" si="38"/>
        <v>8.3333333333333329E-2</v>
      </c>
      <c r="U66" s="29" t="s">
        <v>64</v>
      </c>
      <c r="V66" s="128">
        <v>30000</v>
      </c>
      <c r="W66" s="24">
        <f t="shared" si="23"/>
        <v>0.32189999999999996</v>
      </c>
      <c r="X66" s="24">
        <f t="shared" si="39"/>
        <v>8.0474999999999991E-2</v>
      </c>
      <c r="Y66" s="24">
        <v>0.15</v>
      </c>
      <c r="Z66" s="24">
        <f t="shared" si="24"/>
        <v>0.55237499999999995</v>
      </c>
      <c r="AA66" s="88">
        <v>19.899999999999999</v>
      </c>
      <c r="AB66" s="24">
        <f t="shared" si="25"/>
        <v>17.155172413793103</v>
      </c>
      <c r="AC66" s="24">
        <f t="shared" si="26"/>
        <v>10.293103448275861</v>
      </c>
      <c r="AD66" s="27">
        <f t="shared" si="35"/>
        <v>5.3664572864321608E-2</v>
      </c>
      <c r="AE66" s="27">
        <f t="shared" si="27"/>
        <v>0.94633542713567842</v>
      </c>
      <c r="AF66" s="28">
        <f t="shared" si="28"/>
        <v>0.4</v>
      </c>
      <c r="AG66" s="81" t="s">
        <v>1138</v>
      </c>
      <c r="AH66" s="128" t="s">
        <v>67</v>
      </c>
      <c r="AI66" s="29">
        <v>12</v>
      </c>
      <c r="AJ66" s="29">
        <f t="shared" si="37"/>
        <v>480</v>
      </c>
      <c r="AK66" s="91" t="s">
        <v>1143</v>
      </c>
      <c r="AL66" s="290">
        <v>46252</v>
      </c>
      <c r="AN66" s="129">
        <f t="shared" si="36"/>
        <v>9.7500000000000003E-2</v>
      </c>
      <c r="AO66" s="129">
        <f t="shared" si="29"/>
        <v>8.405172413793105E-2</v>
      </c>
      <c r="AP66" s="130">
        <f t="shared" si="30"/>
        <v>0.95744615384615361</v>
      </c>
      <c r="AQ66" s="130">
        <f t="shared" si="31"/>
        <v>4.2553846153846386E-2</v>
      </c>
      <c r="AR66" s="33">
        <f t="shared" si="32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3"/>
        <v>7</v>
      </c>
      <c r="BL66" s="4">
        <f t="shared" si="34"/>
        <v>0.77777777777777779</v>
      </c>
      <c r="BM66" s="295"/>
      <c r="BN66" s="295"/>
      <c r="BO66" s="295"/>
      <c r="BP66" s="295"/>
      <c r="BQ66" s="295"/>
      <c r="BR66" s="282" t="str">
        <f t="shared" si="41"/>
        <v>En Producción. Aproximadamente terminan el 10/jun</v>
      </c>
      <c r="BS66" s="284">
        <f t="shared" si="18"/>
        <v>46252</v>
      </c>
      <c r="BT66" s="282" t="s">
        <v>150</v>
      </c>
      <c r="CJ66" s="367"/>
      <c r="CK66" s="363"/>
      <c r="CL66" s="363"/>
      <c r="CM66" s="363"/>
      <c r="CN66" s="371"/>
      <c r="CO66" s="278"/>
      <c r="CP66" s="367"/>
      <c r="CQ66" s="363"/>
      <c r="CR66" s="373"/>
      <c r="CS66" s="268"/>
      <c r="CT66" s="367"/>
      <c r="CU66" s="363"/>
      <c r="CV66" s="377"/>
      <c r="CW66" s="267"/>
      <c r="CX66" s="367"/>
      <c r="CY66" s="363"/>
      <c r="CZ66" s="377"/>
      <c r="DA66" s="267"/>
      <c r="DB66" s="367"/>
      <c r="DC66" s="363"/>
    </row>
    <row r="67" spans="1:107" ht="76.5">
      <c r="A67" s="75">
        <v>65</v>
      </c>
      <c r="B67" s="121">
        <v>46234</v>
      </c>
      <c r="C67" s="75" t="s">
        <v>76</v>
      </c>
      <c r="D67" s="75" t="s">
        <v>77</v>
      </c>
      <c r="E67" s="122">
        <v>7506110698289</v>
      </c>
      <c r="F67" s="91" t="s">
        <v>1165</v>
      </c>
      <c r="G67" s="81" t="s">
        <v>1166</v>
      </c>
      <c r="H67" s="131" t="s">
        <v>60</v>
      </c>
      <c r="I67" s="81"/>
      <c r="J67" s="75" t="s">
        <v>1052</v>
      </c>
      <c r="K67" s="81" t="s">
        <v>1053</v>
      </c>
      <c r="L67" s="75">
        <v>1</v>
      </c>
      <c r="M67" s="125">
        <f t="shared" si="22"/>
        <v>0.43200000000000005</v>
      </c>
      <c r="N67" s="125">
        <v>0.54</v>
      </c>
      <c r="O67" s="125">
        <v>0</v>
      </c>
      <c r="P67" s="125">
        <v>0</v>
      </c>
      <c r="Q67" s="126">
        <v>0.54</v>
      </c>
      <c r="R67" s="126">
        <v>0</v>
      </c>
      <c r="S67" s="126" t="s">
        <v>69</v>
      </c>
      <c r="T67" s="141">
        <v>0.68</v>
      </c>
      <c r="U67" s="29" t="s">
        <v>64</v>
      </c>
      <c r="V67" s="128">
        <v>10000</v>
      </c>
      <c r="W67" s="24">
        <f t="shared" si="23"/>
        <v>2.6267039999999997</v>
      </c>
      <c r="X67" s="24">
        <f t="shared" si="39"/>
        <v>0.65667599999999993</v>
      </c>
      <c r="Y67" s="24">
        <v>1.17</v>
      </c>
      <c r="Z67" s="24">
        <f t="shared" si="24"/>
        <v>4.4533799999999992</v>
      </c>
      <c r="AA67" s="88">
        <v>139</v>
      </c>
      <c r="AB67" s="24">
        <f t="shared" si="25"/>
        <v>119.82758620689656</v>
      </c>
      <c r="AC67" s="24">
        <f t="shared" si="26"/>
        <v>71.896551724137936</v>
      </c>
      <c r="AD67" s="27">
        <f t="shared" si="35"/>
        <v>6.1941496402877681E-2</v>
      </c>
      <c r="AE67" s="27">
        <f t="shared" si="27"/>
        <v>0.93805850359712228</v>
      </c>
      <c r="AF67" s="28">
        <f t="shared" si="28"/>
        <v>0.4</v>
      </c>
      <c r="AG67" s="81" t="s">
        <v>284</v>
      </c>
      <c r="AH67" s="128" t="s">
        <v>67</v>
      </c>
      <c r="AI67" s="29">
        <v>6</v>
      </c>
      <c r="AJ67" s="29">
        <f>+AI67*12</f>
        <v>72</v>
      </c>
      <c r="AK67" s="91" t="s">
        <v>1064</v>
      </c>
      <c r="AL67" s="290">
        <v>46261</v>
      </c>
      <c r="AN67" s="129">
        <f t="shared" si="36"/>
        <v>0.76049999999999995</v>
      </c>
      <c r="AO67" s="129">
        <f t="shared" si="29"/>
        <v>0.65560344827586203</v>
      </c>
      <c r="AP67" s="130">
        <f t="shared" si="30"/>
        <v>1.0016359763313609</v>
      </c>
      <c r="AQ67" s="130">
        <f t="shared" si="31"/>
        <v>-1.6359763313609221E-3</v>
      </c>
      <c r="AR67" s="33">
        <f t="shared" si="32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3"/>
        <v>7</v>
      </c>
      <c r="BL67" s="4">
        <f t="shared" si="34"/>
        <v>0.77777777777777779</v>
      </c>
      <c r="BM67" s="295"/>
      <c r="BN67" s="295"/>
      <c r="BO67" s="295"/>
      <c r="BP67" s="295"/>
      <c r="BQ67" s="295"/>
      <c r="BR67" s="282" t="str">
        <f t="shared" si="41"/>
        <v>Producción termina 25/May</v>
      </c>
      <c r="BS67" s="284">
        <f t="shared" si="18"/>
        <v>46261</v>
      </c>
      <c r="BT67" s="282" t="s">
        <v>1055</v>
      </c>
      <c r="CJ67" s="367"/>
      <c r="CK67" s="363"/>
      <c r="CL67" s="363"/>
      <c r="CM67" s="363"/>
      <c r="CN67" s="371"/>
      <c r="CO67" s="278"/>
      <c r="CP67" s="367"/>
      <c r="CQ67" s="363"/>
      <c r="CR67" s="373"/>
      <c r="CS67" s="268"/>
      <c r="CT67" s="367"/>
      <c r="CU67" s="363"/>
      <c r="CV67" s="377"/>
      <c r="CW67" s="267"/>
      <c r="CX67" s="367"/>
      <c r="CY67" s="363"/>
      <c r="CZ67" s="377"/>
      <c r="DA67" s="267"/>
      <c r="DB67" s="367"/>
      <c r="DC67" s="363"/>
    </row>
    <row r="68" spans="1:107" ht="162.6">
      <c r="A68" s="75">
        <v>67</v>
      </c>
      <c r="B68" s="121">
        <v>46234</v>
      </c>
      <c r="C68" s="75" t="s">
        <v>76</v>
      </c>
      <c r="D68" s="75" t="s">
        <v>77</v>
      </c>
      <c r="E68" s="122">
        <v>7506110698302</v>
      </c>
      <c r="F68" s="91" t="s">
        <v>1167</v>
      </c>
      <c r="G68" s="81" t="s">
        <v>1168</v>
      </c>
      <c r="H68" s="131" t="s">
        <v>60</v>
      </c>
      <c r="I68" s="81"/>
      <c r="J68" s="75" t="s">
        <v>1052</v>
      </c>
      <c r="K68" s="81" t="s">
        <v>1053</v>
      </c>
      <c r="L68" s="75">
        <v>1</v>
      </c>
      <c r="M68" s="125">
        <f t="shared" si="22"/>
        <v>0.39200000000000002</v>
      </c>
      <c r="N68" s="125">
        <v>0.49</v>
      </c>
      <c r="O68" s="125">
        <v>0</v>
      </c>
      <c r="P68" s="125">
        <v>0</v>
      </c>
      <c r="Q68" s="126">
        <v>0</v>
      </c>
      <c r="R68" s="126">
        <v>0</v>
      </c>
      <c r="S68" s="126">
        <f>15.53/18.5/1.1/1.2</f>
        <v>0.63595413595413586</v>
      </c>
      <c r="T68" s="127"/>
      <c r="U68" s="29" t="s">
        <v>81</v>
      </c>
      <c r="V68" s="128">
        <v>5000</v>
      </c>
      <c r="W68" s="24">
        <f t="shared" si="23"/>
        <v>0</v>
      </c>
      <c r="X68" s="24">
        <f t="shared" si="39"/>
        <v>0</v>
      </c>
      <c r="Y68" s="24" t="s">
        <v>941</v>
      </c>
      <c r="Z68" s="24">
        <v>0</v>
      </c>
      <c r="AA68" s="88">
        <v>119</v>
      </c>
      <c r="AB68" s="24">
        <f t="shared" si="25"/>
        <v>102.58620689655173</v>
      </c>
      <c r="AC68" s="24">
        <f>(AA68/1.16)*0.62</f>
        <v>63.603448275862071</v>
      </c>
      <c r="AD68" s="27">
        <f t="shared" si="35"/>
        <v>0</v>
      </c>
      <c r="AE68" s="27">
        <f t="shared" si="27"/>
        <v>1</v>
      </c>
      <c r="AF68" s="28">
        <f t="shared" si="28"/>
        <v>0.38</v>
      </c>
      <c r="AG68" s="81" t="s">
        <v>1138</v>
      </c>
      <c r="AH68" s="128" t="s">
        <v>99</v>
      </c>
      <c r="AI68" s="29">
        <v>6</v>
      </c>
      <c r="AJ68" s="29">
        <f t="shared" ref="AJ68:AJ75" si="42">+AI68*24</f>
        <v>144</v>
      </c>
      <c r="AK68" s="91" t="s">
        <v>1169</v>
      </c>
      <c r="AL68" s="290">
        <v>46283</v>
      </c>
      <c r="AN68" s="129" t="e">
        <f t="shared" si="36"/>
        <v>#VALUE!</v>
      </c>
      <c r="AO68" s="129" t="e">
        <f t="shared" si="29"/>
        <v>#VALUE!</v>
      </c>
      <c r="AP68" s="130" t="e">
        <f t="shared" si="30"/>
        <v>#VALUE!</v>
      </c>
      <c r="AQ68" s="130" t="e">
        <f t="shared" si="31"/>
        <v>#VALUE!</v>
      </c>
      <c r="AR68" s="33" t="e">
        <f t="shared" si="32"/>
        <v>#VALUE!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3"/>
        <v>7</v>
      </c>
      <c r="BL68" s="4">
        <f t="shared" si="34"/>
        <v>0.77777777777777779</v>
      </c>
      <c r="BM68" s="295"/>
      <c r="BN68" s="295"/>
      <c r="BO68" s="295"/>
      <c r="BP68" s="295"/>
      <c r="BQ68" s="295"/>
      <c r="BR68" s="282" t="str">
        <f t="shared" si="41"/>
        <v>Se puso pedido de etiquetas y exhibicajas, llegada aprox 7 de agosto</v>
      </c>
      <c r="BS68" s="284">
        <f t="shared" si="18"/>
        <v>46283</v>
      </c>
      <c r="BT68" s="282" t="s">
        <v>1055</v>
      </c>
      <c r="CJ68" s="367"/>
      <c r="CK68" s="363"/>
      <c r="CL68" s="363"/>
      <c r="CM68" s="363"/>
      <c r="CN68" s="371"/>
      <c r="CO68" s="278"/>
      <c r="CP68" s="367"/>
      <c r="CQ68" s="363"/>
      <c r="CR68" s="373"/>
      <c r="CS68" s="268"/>
      <c r="CT68" s="367"/>
      <c r="CU68" s="363"/>
      <c r="CV68" s="377"/>
      <c r="CW68" s="267"/>
      <c r="CX68" s="367"/>
      <c r="CY68" s="363"/>
      <c r="CZ68" s="377"/>
      <c r="DA68" s="267"/>
      <c r="DB68" s="367"/>
      <c r="DC68" s="363"/>
    </row>
    <row r="69" spans="1:107" ht="162.6">
      <c r="A69" s="75">
        <v>68</v>
      </c>
      <c r="B69" s="121">
        <v>46234</v>
      </c>
      <c r="C69" s="75" t="s">
        <v>76</v>
      </c>
      <c r="D69" s="75" t="s">
        <v>77</v>
      </c>
      <c r="E69" s="122">
        <v>7506110698319</v>
      </c>
      <c r="F69" s="91" t="s">
        <v>1170</v>
      </c>
      <c r="G69" s="81" t="s">
        <v>1171</v>
      </c>
      <c r="H69" s="131" t="s">
        <v>60</v>
      </c>
      <c r="I69" s="81"/>
      <c r="J69" s="75" t="s">
        <v>1052</v>
      </c>
      <c r="K69" s="81" t="s">
        <v>1053</v>
      </c>
      <c r="L69" s="75">
        <v>1</v>
      </c>
      <c r="M69" s="125">
        <f t="shared" si="22"/>
        <v>0.47199999999999998</v>
      </c>
      <c r="N69" s="125">
        <v>0.59</v>
      </c>
      <c r="O69" s="125">
        <v>0</v>
      </c>
      <c r="P69" s="125">
        <v>0</v>
      </c>
      <c r="Q69" s="126">
        <v>0</v>
      </c>
      <c r="R69" s="126">
        <v>0</v>
      </c>
      <c r="S69" s="126">
        <f>19.47/18.5/1.1/1.2</f>
        <v>0.79729729729729726</v>
      </c>
      <c r="T69" s="127"/>
      <c r="U69" s="29" t="s">
        <v>81</v>
      </c>
      <c r="V69" s="128">
        <v>5000</v>
      </c>
      <c r="W69" s="24">
        <f t="shared" si="23"/>
        <v>0</v>
      </c>
      <c r="X69" s="24">
        <f t="shared" si="39"/>
        <v>0</v>
      </c>
      <c r="Y69" s="24" t="s">
        <v>941</v>
      </c>
      <c r="Z69" s="24">
        <v>0</v>
      </c>
      <c r="AA69" s="88">
        <v>129</v>
      </c>
      <c r="AB69" s="24">
        <f t="shared" si="25"/>
        <v>111.20689655172414</v>
      </c>
      <c r="AC69" s="24">
        <f t="shared" ref="AC69:AC75" si="43">(AA69/1.16)*0.6</f>
        <v>66.724137931034477</v>
      </c>
      <c r="AD69" s="27">
        <f t="shared" si="35"/>
        <v>0</v>
      </c>
      <c r="AE69" s="27">
        <f t="shared" si="27"/>
        <v>1</v>
      </c>
      <c r="AF69" s="28">
        <f t="shared" si="28"/>
        <v>0.4</v>
      </c>
      <c r="AG69" s="81" t="s">
        <v>1138</v>
      </c>
      <c r="AH69" s="128" t="s">
        <v>99</v>
      </c>
      <c r="AI69" s="29">
        <v>6</v>
      </c>
      <c r="AJ69" s="29">
        <f t="shared" si="42"/>
        <v>144</v>
      </c>
      <c r="AK69" s="91" t="s">
        <v>1169</v>
      </c>
      <c r="AL69" s="290">
        <v>46283</v>
      </c>
      <c r="AN69" s="129" t="e">
        <f t="shared" si="36"/>
        <v>#VALUE!</v>
      </c>
      <c r="AO69" s="129" t="e">
        <f t="shared" si="29"/>
        <v>#VALUE!</v>
      </c>
      <c r="AP69" s="130" t="e">
        <f t="shared" si="30"/>
        <v>#VALUE!</v>
      </c>
      <c r="AQ69" s="130" t="e">
        <f t="shared" si="31"/>
        <v>#VALUE!</v>
      </c>
      <c r="AR69" s="33" t="e">
        <f t="shared" si="32"/>
        <v>#VALUE!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3"/>
        <v>7</v>
      </c>
      <c r="BL69" s="4">
        <f t="shared" si="34"/>
        <v>0.77777777777777779</v>
      </c>
      <c r="BM69" s="295"/>
      <c r="BN69" s="295"/>
      <c r="BO69" s="295"/>
      <c r="BP69" s="295"/>
      <c r="BQ69" s="295"/>
      <c r="BR69" s="282" t="str">
        <f t="shared" si="41"/>
        <v>Se puso pedido de etiquetas y exhibicajas, llegada aprox 7 de agosto</v>
      </c>
      <c r="BS69" s="284">
        <f t="shared" si="18"/>
        <v>46283</v>
      </c>
      <c r="BT69" s="282" t="s">
        <v>1055</v>
      </c>
      <c r="CJ69" s="368"/>
      <c r="CK69" s="364"/>
      <c r="CL69" s="364"/>
      <c r="CM69" s="364"/>
      <c r="CN69" s="372"/>
      <c r="CO69" s="361"/>
      <c r="CP69" s="368"/>
      <c r="CQ69" s="364"/>
      <c r="CR69" s="374"/>
      <c r="CS69" s="341"/>
      <c r="CT69" s="368"/>
      <c r="CU69" s="364"/>
      <c r="CV69" s="374"/>
      <c r="CW69" s="341"/>
      <c r="CX69" s="368"/>
      <c r="CY69" s="364"/>
      <c r="CZ69" s="374"/>
      <c r="DA69" s="341"/>
      <c r="DB69" s="368"/>
      <c r="DC69" s="364"/>
    </row>
    <row r="70" spans="1:107" ht="76.5">
      <c r="A70" s="75">
        <v>69</v>
      </c>
      <c r="B70" s="121">
        <v>46234</v>
      </c>
      <c r="C70" s="75" t="s">
        <v>76</v>
      </c>
      <c r="D70" s="75" t="s">
        <v>77</v>
      </c>
      <c r="E70" s="122">
        <v>7506110698326</v>
      </c>
      <c r="F70" s="91" t="s">
        <v>1172</v>
      </c>
      <c r="G70" s="81" t="s">
        <v>1173</v>
      </c>
      <c r="H70" s="131"/>
      <c r="I70" s="81"/>
      <c r="J70" s="75" t="s">
        <v>1052</v>
      </c>
      <c r="K70" s="81" t="s">
        <v>1053</v>
      </c>
      <c r="L70" s="75">
        <v>1</v>
      </c>
      <c r="M70" s="125">
        <f t="shared" si="22"/>
        <v>0.34400000000000003</v>
      </c>
      <c r="N70" s="125">
        <v>0.43</v>
      </c>
      <c r="O70" s="125">
        <v>0</v>
      </c>
      <c r="P70" s="125">
        <v>0</v>
      </c>
      <c r="Q70" s="126">
        <v>0.48</v>
      </c>
      <c r="R70" s="126">
        <v>0.42</v>
      </c>
      <c r="S70" s="126" t="s">
        <v>69</v>
      </c>
      <c r="T70" s="127">
        <v>0.55000000000000004</v>
      </c>
      <c r="U70" s="29" t="s">
        <v>64</v>
      </c>
      <c r="V70" s="128">
        <v>5000</v>
      </c>
      <c r="W70" s="24">
        <f t="shared" si="23"/>
        <v>2.1245400000000001</v>
      </c>
      <c r="X70" s="24">
        <f>+W70*0.15</f>
        <v>0.31868099999999999</v>
      </c>
      <c r="Y70" s="24">
        <v>1.56</v>
      </c>
      <c r="Z70" s="24">
        <f t="shared" ref="Z70:Z75" si="44">Y70+X70+W70</f>
        <v>4.0032209999999999</v>
      </c>
      <c r="AA70" s="88">
        <v>99</v>
      </c>
      <c r="AB70" s="24">
        <f t="shared" si="25"/>
        <v>85.344827586206904</v>
      </c>
      <c r="AC70" s="24">
        <f t="shared" si="43"/>
        <v>51.206896551724142</v>
      </c>
      <c r="AD70" s="27">
        <f t="shared" si="35"/>
        <v>7.8177379797979785E-2</v>
      </c>
      <c r="AE70" s="27">
        <f t="shared" si="27"/>
        <v>0.92182262020202022</v>
      </c>
      <c r="AF70" s="28">
        <f t="shared" si="28"/>
        <v>0.4</v>
      </c>
      <c r="AG70" s="81" t="s">
        <v>536</v>
      </c>
      <c r="AH70" s="128" t="s">
        <v>67</v>
      </c>
      <c r="AI70" s="29">
        <v>12</v>
      </c>
      <c r="AJ70" s="29">
        <f t="shared" si="42"/>
        <v>288</v>
      </c>
      <c r="AK70" s="91" t="s">
        <v>1064</v>
      </c>
      <c r="AL70" s="290">
        <v>46252</v>
      </c>
      <c r="AN70" s="129">
        <f t="shared" si="36"/>
        <v>1.014</v>
      </c>
      <c r="AO70" s="129">
        <f t="shared" si="29"/>
        <v>0.87413793103448278</v>
      </c>
      <c r="AP70" s="130">
        <f t="shared" si="30"/>
        <v>0.36456603550295857</v>
      </c>
      <c r="AQ70" s="130">
        <f t="shared" si="31"/>
        <v>0.63543396449704148</v>
      </c>
      <c r="AR70" s="33">
        <f t="shared" si="32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3"/>
        <v>7</v>
      </c>
      <c r="BL70" s="4">
        <f t="shared" si="34"/>
        <v>0.77777777777777779</v>
      </c>
      <c r="BM70" s="295"/>
      <c r="BN70" s="295"/>
      <c r="BO70" s="295"/>
      <c r="BP70" s="295"/>
      <c r="BQ70" s="295"/>
      <c r="BR70" s="282" t="str">
        <f t="shared" si="41"/>
        <v>Producción termina 25/May</v>
      </c>
      <c r="BS70" s="284">
        <f t="shared" si="18"/>
        <v>46252</v>
      </c>
      <c r="BT70" s="282" t="s">
        <v>1055</v>
      </c>
      <c r="CJ70" s="368"/>
      <c r="CK70" s="364"/>
      <c r="CL70" s="364"/>
      <c r="CM70" s="364"/>
      <c r="CN70" s="372"/>
      <c r="CO70" s="361"/>
      <c r="CP70" s="368"/>
      <c r="CQ70" s="364"/>
      <c r="CR70" s="374"/>
      <c r="CS70" s="341"/>
      <c r="CT70" s="368"/>
      <c r="CU70" s="364"/>
      <c r="CV70" s="374"/>
      <c r="CW70" s="341"/>
      <c r="CX70" s="368"/>
      <c r="CY70" s="364"/>
      <c r="CZ70" s="374"/>
      <c r="DA70" s="341"/>
      <c r="DB70" s="368"/>
      <c r="DC70" s="364"/>
    </row>
    <row r="71" spans="1:107" ht="115.5">
      <c r="A71" s="75">
        <v>70</v>
      </c>
      <c r="B71" s="121">
        <v>46234</v>
      </c>
      <c r="C71" s="75" t="s">
        <v>76</v>
      </c>
      <c r="D71" s="75" t="s">
        <v>77</v>
      </c>
      <c r="E71" s="122">
        <v>7506110698333</v>
      </c>
      <c r="F71" s="91" t="s">
        <v>1174</v>
      </c>
      <c r="G71" s="81" t="s">
        <v>1175</v>
      </c>
      <c r="H71" s="131"/>
      <c r="I71" s="81"/>
      <c r="J71" s="75" t="s">
        <v>1052</v>
      </c>
      <c r="K71" s="81" t="s">
        <v>1053</v>
      </c>
      <c r="L71" s="75">
        <v>1</v>
      </c>
      <c r="M71" s="125">
        <f t="shared" si="22"/>
        <v>0.23199999999999998</v>
      </c>
      <c r="N71" s="125">
        <v>0.28999999999999998</v>
      </c>
      <c r="O71" s="125">
        <v>0</v>
      </c>
      <c r="P71" s="125">
        <v>0.64</v>
      </c>
      <c r="Q71" s="126">
        <v>0.36</v>
      </c>
      <c r="R71" s="126">
        <v>0.28999999999999998</v>
      </c>
      <c r="S71" s="126" t="s">
        <v>69</v>
      </c>
      <c r="T71" s="127">
        <v>0.56999999999999995</v>
      </c>
      <c r="U71" s="29" t="s">
        <v>64</v>
      </c>
      <c r="V71" s="128">
        <v>5000</v>
      </c>
      <c r="W71" s="24">
        <f t="shared" si="23"/>
        <v>2.2017959999999994</v>
      </c>
      <c r="X71" s="24">
        <f>+W71*0.15</f>
        <v>0.33026939999999988</v>
      </c>
      <c r="Y71" s="24">
        <v>3.63</v>
      </c>
      <c r="Z71" s="24">
        <f t="shared" si="44"/>
        <v>6.1620653999999995</v>
      </c>
      <c r="AA71" s="88">
        <v>89</v>
      </c>
      <c r="AB71" s="24">
        <f t="shared" si="25"/>
        <v>76.724137931034491</v>
      </c>
      <c r="AC71" s="24">
        <f t="shared" si="43"/>
        <v>46.03448275862069</v>
      </c>
      <c r="AD71" s="27">
        <f t="shared" si="35"/>
        <v>0.1338576004494382</v>
      </c>
      <c r="AE71" s="27">
        <f t="shared" si="27"/>
        <v>0.86614239955056183</v>
      </c>
      <c r="AF71" s="28">
        <f t="shared" si="28"/>
        <v>0.4</v>
      </c>
      <c r="AG71" s="81" t="s">
        <v>536</v>
      </c>
      <c r="AH71" s="128" t="s">
        <v>67</v>
      </c>
      <c r="AI71" s="29">
        <v>6</v>
      </c>
      <c r="AJ71" s="29">
        <f t="shared" si="42"/>
        <v>144</v>
      </c>
      <c r="AK71" s="91" t="s">
        <v>1054</v>
      </c>
      <c r="AL71" s="290">
        <v>46261</v>
      </c>
      <c r="AN71" s="129">
        <f t="shared" si="36"/>
        <v>2.3595000000000002</v>
      </c>
      <c r="AO71" s="129">
        <f t="shared" si="29"/>
        <v>2.0340517241379312</v>
      </c>
      <c r="AP71" s="130">
        <f t="shared" si="30"/>
        <v>0.16237020724729809</v>
      </c>
      <c r="AQ71" s="130">
        <f t="shared" si="31"/>
        <v>0.83762979275270188</v>
      </c>
      <c r="AR71" s="33">
        <f t="shared" si="32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3"/>
        <v>7</v>
      </c>
      <c r="BL71" s="4">
        <f t="shared" si="34"/>
        <v>0.77777777777777779</v>
      </c>
      <c r="BM71" s="295"/>
      <c r="BN71" s="295"/>
      <c r="BO71" s="295"/>
      <c r="BP71" s="295"/>
      <c r="BQ71" s="295"/>
      <c r="BR71" s="282" t="str">
        <f t="shared" si="41"/>
        <v>En Producción. Termina en 31/May</v>
      </c>
      <c r="BS71" s="284">
        <f t="shared" si="18"/>
        <v>46261</v>
      </c>
      <c r="BT71" s="282" t="s">
        <v>1055</v>
      </c>
      <c r="CJ71" s="368"/>
      <c r="CK71" s="364"/>
      <c r="CL71" s="364"/>
      <c r="CM71" s="364"/>
      <c r="CN71" s="372"/>
      <c r="CO71" s="361"/>
      <c r="CP71" s="368"/>
      <c r="CQ71" s="364"/>
      <c r="CR71" s="374"/>
      <c r="CS71" s="341"/>
      <c r="CT71" s="368"/>
      <c r="CU71" s="364"/>
      <c r="CV71" s="374"/>
      <c r="CW71" s="341"/>
      <c r="CX71" s="368"/>
      <c r="CY71" s="364"/>
      <c r="CZ71" s="374"/>
      <c r="DA71" s="341"/>
      <c r="DB71" s="368"/>
      <c r="DC71" s="364"/>
    </row>
    <row r="72" spans="1:107" ht="76.5">
      <c r="A72" s="75">
        <v>71</v>
      </c>
      <c r="B72" s="121">
        <v>46234</v>
      </c>
      <c r="C72" s="75" t="s">
        <v>76</v>
      </c>
      <c r="D72" s="75" t="s">
        <v>77</v>
      </c>
      <c r="E72" s="122">
        <v>7506110698340</v>
      </c>
      <c r="F72" s="91" t="s">
        <v>1176</v>
      </c>
      <c r="G72" s="81" t="s">
        <v>1177</v>
      </c>
      <c r="H72" s="131" t="s">
        <v>60</v>
      </c>
      <c r="I72" s="81"/>
      <c r="J72" s="75" t="s">
        <v>1052</v>
      </c>
      <c r="K72" s="81" t="s">
        <v>1053</v>
      </c>
      <c r="L72" s="75">
        <v>1</v>
      </c>
      <c r="M72" s="125">
        <f t="shared" si="22"/>
        <v>1.9039999999999999</v>
      </c>
      <c r="N72" s="125">
        <v>2.38</v>
      </c>
      <c r="O72" s="125">
        <v>2.9</v>
      </c>
      <c r="P72" s="125">
        <v>1.75</v>
      </c>
      <c r="Q72" s="136">
        <v>2.2999999999999998</v>
      </c>
      <c r="R72" s="126"/>
      <c r="S72" s="126" t="s">
        <v>69</v>
      </c>
      <c r="T72" s="127">
        <v>2.9</v>
      </c>
      <c r="U72" s="29" t="s">
        <v>64</v>
      </c>
      <c r="V72" s="128">
        <v>10000</v>
      </c>
      <c r="W72" s="24">
        <f t="shared" si="23"/>
        <v>11.202119999999999</v>
      </c>
      <c r="X72" s="24">
        <f>+W72*0.15</f>
        <v>1.6803179999999998</v>
      </c>
      <c r="Y72" s="24">
        <v>7.02</v>
      </c>
      <c r="Z72" s="24">
        <f t="shared" si="44"/>
        <v>19.902437999999997</v>
      </c>
      <c r="AA72" s="88">
        <v>399</v>
      </c>
      <c r="AB72" s="24">
        <f t="shared" si="25"/>
        <v>343.96551724137936</v>
      </c>
      <c r="AC72" s="24">
        <f t="shared" si="43"/>
        <v>206.37931034482762</v>
      </c>
      <c r="AD72" s="27">
        <f t="shared" si="35"/>
        <v>9.643620751879696E-2</v>
      </c>
      <c r="AE72" s="27">
        <f t="shared" si="27"/>
        <v>0.903563792481203</v>
      </c>
      <c r="AF72" s="28">
        <f t="shared" si="28"/>
        <v>0.4</v>
      </c>
      <c r="AG72" s="81" t="s">
        <v>536</v>
      </c>
      <c r="AH72" s="128" t="s">
        <v>67</v>
      </c>
      <c r="AI72" s="29">
        <v>6</v>
      </c>
      <c r="AJ72" s="29">
        <f t="shared" si="42"/>
        <v>144</v>
      </c>
      <c r="AK72" s="91" t="s">
        <v>1178</v>
      </c>
      <c r="AL72" s="290">
        <v>46219</v>
      </c>
      <c r="AN72" s="129">
        <v>249</v>
      </c>
      <c r="AO72" s="129">
        <f t="shared" si="29"/>
        <v>214.65517241379311</v>
      </c>
      <c r="AP72" s="130">
        <f t="shared" si="30"/>
        <v>7.827987469879517E-3</v>
      </c>
      <c r="AQ72" s="130">
        <f t="shared" si="31"/>
        <v>0.99217201253012044</v>
      </c>
      <c r="AR72" s="33">
        <f t="shared" si="32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3"/>
        <v>7</v>
      </c>
      <c r="BL72" s="4">
        <f t="shared" si="34"/>
        <v>0.77777777777777779</v>
      </c>
      <c r="BM72" s="295"/>
      <c r="BN72" s="295"/>
      <c r="BO72" s="295"/>
      <c r="BP72" s="295"/>
      <c r="BQ72" s="295"/>
      <c r="BR72" s="282" t="str">
        <f t="shared" si="41"/>
        <v>ETD - 11/JUN</v>
      </c>
      <c r="BS72" s="284">
        <f t="shared" si="18"/>
        <v>46219</v>
      </c>
      <c r="BT72" s="282" t="s">
        <v>1055</v>
      </c>
      <c r="CJ72" s="368"/>
      <c r="CK72" s="364"/>
      <c r="CL72" s="364"/>
      <c r="CM72" s="364"/>
      <c r="CN72" s="372"/>
      <c r="CO72" s="361"/>
      <c r="CP72" s="368"/>
      <c r="CQ72" s="364"/>
      <c r="CR72" s="374"/>
      <c r="CS72" s="341"/>
      <c r="CT72" s="368"/>
      <c r="CU72" s="364"/>
      <c r="CV72" s="374"/>
      <c r="CW72" s="341"/>
      <c r="CX72" s="368"/>
      <c r="CY72" s="364"/>
      <c r="CZ72" s="374"/>
      <c r="DA72" s="341"/>
      <c r="DB72" s="368"/>
      <c r="DC72" s="364"/>
    </row>
    <row r="73" spans="1:107" ht="192">
      <c r="A73" s="75">
        <v>82</v>
      </c>
      <c r="B73" s="121" t="s">
        <v>176</v>
      </c>
      <c r="C73" s="75" t="s">
        <v>277</v>
      </c>
      <c r="D73" s="75" t="s">
        <v>77</v>
      </c>
      <c r="E73" s="122">
        <v>7506110698418</v>
      </c>
      <c r="F73" s="91" t="s">
        <v>1179</v>
      </c>
      <c r="G73" s="81" t="s">
        <v>1180</v>
      </c>
      <c r="H73" s="131" t="s">
        <v>60</v>
      </c>
      <c r="I73" s="81"/>
      <c r="J73" s="75" t="s">
        <v>1052</v>
      </c>
      <c r="K73" s="50" t="s">
        <v>583</v>
      </c>
      <c r="L73" s="75">
        <v>1</v>
      </c>
      <c r="M73" s="125">
        <f t="shared" si="22"/>
        <v>0.192</v>
      </c>
      <c r="N73" s="125">
        <v>0.24</v>
      </c>
      <c r="O73" s="125"/>
      <c r="P73" s="125">
        <v>0</v>
      </c>
      <c r="Q73" s="136">
        <v>0.64</v>
      </c>
      <c r="R73" s="126">
        <v>0</v>
      </c>
      <c r="S73" s="126" t="s">
        <v>69</v>
      </c>
      <c r="T73" s="127">
        <v>0.64</v>
      </c>
      <c r="U73" s="29" t="s">
        <v>64</v>
      </c>
      <c r="V73" s="128" t="s">
        <v>1181</v>
      </c>
      <c r="W73" s="24">
        <f t="shared" si="23"/>
        <v>2.4721919999999997</v>
      </c>
      <c r="X73" s="24">
        <f>+W73*0.36</f>
        <v>0.88998911999999986</v>
      </c>
      <c r="Y73" s="24">
        <v>0.34</v>
      </c>
      <c r="Z73" s="24">
        <f t="shared" si="44"/>
        <v>3.7021811199999997</v>
      </c>
      <c r="AA73" s="88">
        <v>119</v>
      </c>
      <c r="AB73" s="24">
        <f t="shared" si="25"/>
        <v>102.58620689655173</v>
      </c>
      <c r="AC73" s="24">
        <f t="shared" si="43"/>
        <v>61.551724137931032</v>
      </c>
      <c r="AD73" s="27">
        <f t="shared" si="35"/>
        <v>6.0147480380952377E-2</v>
      </c>
      <c r="AE73" s="27">
        <f t="shared" si="27"/>
        <v>0.93985251961904759</v>
      </c>
      <c r="AF73" s="28">
        <f t="shared" si="28"/>
        <v>0.4</v>
      </c>
      <c r="AG73" s="81" t="s">
        <v>284</v>
      </c>
      <c r="AH73" s="128" t="s">
        <v>67</v>
      </c>
      <c r="AI73" s="29">
        <v>12</v>
      </c>
      <c r="AJ73" s="29">
        <f t="shared" si="42"/>
        <v>288</v>
      </c>
      <c r="AK73" s="91" t="s">
        <v>1182</v>
      </c>
      <c r="AL73" s="290"/>
      <c r="AN73" s="129">
        <f>Y73*0.65</f>
        <v>0.22100000000000003</v>
      </c>
      <c r="AO73" s="129">
        <f t="shared" si="29"/>
        <v>0.19051724137931039</v>
      </c>
      <c r="AP73" s="130">
        <f t="shared" si="30"/>
        <v>4.6714361049773734</v>
      </c>
      <c r="AQ73" s="130">
        <f t="shared" si="31"/>
        <v>-3.6714361049773734</v>
      </c>
      <c r="AR73" s="33">
        <f t="shared" si="32"/>
        <v>0</v>
      </c>
      <c r="BA73" s="3">
        <v>1</v>
      </c>
      <c r="BB73" s="3">
        <v>1</v>
      </c>
      <c r="BC73" s="3">
        <v>1</v>
      </c>
      <c r="BD73" s="3">
        <v>1</v>
      </c>
      <c r="BE73" s="3">
        <v>1</v>
      </c>
      <c r="BF73" s="3">
        <v>1</v>
      </c>
      <c r="BG73" s="3">
        <v>1</v>
      </c>
      <c r="BH73" s="3"/>
      <c r="BI73" s="3"/>
      <c r="BJ73" s="3">
        <v>9</v>
      </c>
      <c r="BK73" s="3">
        <f t="shared" si="33"/>
        <v>7</v>
      </c>
      <c r="BL73" s="4">
        <f t="shared" si="34"/>
        <v>0.77777777777777779</v>
      </c>
      <c r="BM73" s="295"/>
      <c r="BN73" s="295"/>
      <c r="BO73" s="295"/>
      <c r="BP73" s="295"/>
      <c r="BQ73" s="295"/>
      <c r="BR73" s="282" t="str">
        <f t="shared" si="41"/>
        <v>Por problemas en el granel, se paró la producción, en proceso de resolución</v>
      </c>
      <c r="BS73" s="284">
        <f t="shared" si="18"/>
        <v>0</v>
      </c>
      <c r="BT73" s="282" t="s">
        <v>1055</v>
      </c>
      <c r="CJ73" s="368"/>
      <c r="CK73" s="364"/>
      <c r="CL73" s="364"/>
      <c r="CM73" s="364"/>
      <c r="CN73" s="372"/>
      <c r="CO73" s="361"/>
      <c r="CP73" s="368"/>
      <c r="CQ73" s="364"/>
      <c r="CR73" s="374"/>
      <c r="CS73" s="341"/>
      <c r="CT73" s="368"/>
      <c r="CU73" s="364"/>
      <c r="CV73" s="374"/>
      <c r="CW73" s="341"/>
      <c r="CX73" s="368"/>
      <c r="CY73" s="364"/>
      <c r="CZ73" s="374"/>
      <c r="DA73" s="341"/>
      <c r="DB73" s="368"/>
      <c r="DC73" s="364"/>
    </row>
    <row r="74" spans="1:107" ht="192">
      <c r="A74" s="75">
        <v>83</v>
      </c>
      <c r="B74" s="121" t="s">
        <v>176</v>
      </c>
      <c r="C74" s="75" t="s">
        <v>277</v>
      </c>
      <c r="D74" s="75" t="s">
        <v>77</v>
      </c>
      <c r="E74" s="122">
        <v>7506110698487</v>
      </c>
      <c r="F74" s="91" t="s">
        <v>1183</v>
      </c>
      <c r="G74" s="81" t="s">
        <v>1184</v>
      </c>
      <c r="H74" s="131" t="s">
        <v>60</v>
      </c>
      <c r="I74" s="81"/>
      <c r="J74" s="75" t="s">
        <v>1052</v>
      </c>
      <c r="K74" s="50" t="s">
        <v>583</v>
      </c>
      <c r="L74" s="75">
        <v>1</v>
      </c>
      <c r="M74" s="125">
        <f t="shared" si="22"/>
        <v>0.192</v>
      </c>
      <c r="N74" s="125">
        <v>0.24</v>
      </c>
      <c r="O74" s="125">
        <v>0</v>
      </c>
      <c r="P74" s="125">
        <v>0</v>
      </c>
      <c r="Q74" s="136">
        <v>0.64</v>
      </c>
      <c r="R74" s="126">
        <v>0</v>
      </c>
      <c r="S74" s="126" t="s">
        <v>69</v>
      </c>
      <c r="T74" s="127">
        <v>0.74</v>
      </c>
      <c r="U74" s="29" t="s">
        <v>64</v>
      </c>
      <c r="V74" s="128" t="s">
        <v>1181</v>
      </c>
      <c r="W74" s="24">
        <f t="shared" si="23"/>
        <v>2.8584719999999995</v>
      </c>
      <c r="X74" s="24">
        <f>+W74*0.36</f>
        <v>1.0290499199999998</v>
      </c>
      <c r="Y74" s="24">
        <v>0.4</v>
      </c>
      <c r="Z74" s="24">
        <f t="shared" si="44"/>
        <v>4.2875219199999997</v>
      </c>
      <c r="AA74" s="88">
        <v>119</v>
      </c>
      <c r="AB74" s="24">
        <f t="shared" si="25"/>
        <v>102.58620689655173</v>
      </c>
      <c r="AC74" s="24">
        <f t="shared" si="43"/>
        <v>61.551724137931032</v>
      </c>
      <c r="AD74" s="27">
        <f t="shared" si="35"/>
        <v>6.9657218868347331E-2</v>
      </c>
      <c r="AE74" s="27">
        <f t="shared" si="27"/>
        <v>0.9303427811316527</v>
      </c>
      <c r="AF74" s="28">
        <f t="shared" si="28"/>
        <v>0.4</v>
      </c>
      <c r="AG74" s="81" t="s">
        <v>284</v>
      </c>
      <c r="AH74" s="128" t="s">
        <v>67</v>
      </c>
      <c r="AI74" s="29">
        <v>12</v>
      </c>
      <c r="AJ74" s="29">
        <f t="shared" si="42"/>
        <v>288</v>
      </c>
      <c r="AK74" s="91" t="s">
        <v>1182</v>
      </c>
      <c r="AL74" s="290"/>
      <c r="AN74" s="129">
        <f>Y74*0.65</f>
        <v>0.26</v>
      </c>
      <c r="AO74" s="129">
        <f t="shared" si="29"/>
        <v>0.22413793103448279</v>
      </c>
      <c r="AP74" s="130">
        <f t="shared" si="30"/>
        <v>4.591145796923076</v>
      </c>
      <c r="AQ74" s="130">
        <f t="shared" si="31"/>
        <v>-3.591145796923076</v>
      </c>
      <c r="AR74" s="33">
        <f t="shared" si="32"/>
        <v>0</v>
      </c>
      <c r="BA74" s="3">
        <v>1</v>
      </c>
      <c r="BB74" s="3">
        <v>1</v>
      </c>
      <c r="BC74" s="3">
        <v>1</v>
      </c>
      <c r="BD74" s="3">
        <v>1</v>
      </c>
      <c r="BE74" s="3">
        <v>1</v>
      </c>
      <c r="BF74" s="3">
        <v>1</v>
      </c>
      <c r="BG74" s="3">
        <v>1</v>
      </c>
      <c r="BH74" s="3"/>
      <c r="BI74" s="3"/>
      <c r="BJ74" s="3">
        <v>9</v>
      </c>
      <c r="BK74" s="3">
        <f t="shared" si="33"/>
        <v>7</v>
      </c>
      <c r="BL74" s="4">
        <f t="shared" si="34"/>
        <v>0.77777777777777779</v>
      </c>
      <c r="BM74" s="295"/>
      <c r="BN74" s="295"/>
      <c r="BO74" s="295"/>
      <c r="BP74" s="295"/>
      <c r="BQ74" s="295"/>
      <c r="BR74" s="282" t="str">
        <f t="shared" si="41"/>
        <v>Por problemas en el granel, se paró la producción, en proceso de resolución</v>
      </c>
      <c r="BS74" s="284">
        <f t="shared" si="18"/>
        <v>0</v>
      </c>
      <c r="BT74" s="282" t="s">
        <v>1055</v>
      </c>
      <c r="CJ74" s="368"/>
      <c r="CK74" s="364"/>
      <c r="CL74" s="364"/>
      <c r="CM74" s="364"/>
      <c r="CN74" s="372"/>
      <c r="CO74" s="361"/>
      <c r="CP74" s="368"/>
      <c r="CQ74" s="364"/>
      <c r="CR74" s="374"/>
      <c r="CS74" s="341"/>
      <c r="CT74" s="368"/>
      <c r="CU74" s="364"/>
      <c r="CV74" s="374"/>
      <c r="CW74" s="341"/>
      <c r="CX74" s="368"/>
      <c r="CY74" s="364"/>
      <c r="CZ74" s="374"/>
      <c r="DA74" s="341"/>
      <c r="DB74" s="368"/>
      <c r="DC74" s="364"/>
    </row>
    <row r="75" spans="1:107" ht="192">
      <c r="A75" s="75">
        <v>84</v>
      </c>
      <c r="B75" s="121" t="s">
        <v>176</v>
      </c>
      <c r="C75" s="75" t="s">
        <v>277</v>
      </c>
      <c r="D75" s="75" t="s">
        <v>77</v>
      </c>
      <c r="E75" s="122">
        <v>7506110698494</v>
      </c>
      <c r="F75" s="91" t="s">
        <v>1185</v>
      </c>
      <c r="G75" s="81" t="s">
        <v>1186</v>
      </c>
      <c r="H75" s="131" t="s">
        <v>60</v>
      </c>
      <c r="I75" s="81"/>
      <c r="J75" s="75" t="s">
        <v>1052</v>
      </c>
      <c r="K75" s="50" t="s">
        <v>583</v>
      </c>
      <c r="L75" s="75">
        <v>1</v>
      </c>
      <c r="M75" s="125">
        <f t="shared" si="22"/>
        <v>0.192</v>
      </c>
      <c r="N75" s="125">
        <v>0.24</v>
      </c>
      <c r="O75" s="125">
        <v>0</v>
      </c>
      <c r="P75" s="125">
        <v>0</v>
      </c>
      <c r="Q75" s="136">
        <v>0.64</v>
      </c>
      <c r="R75" s="126">
        <v>0</v>
      </c>
      <c r="S75" s="126" t="s">
        <v>69</v>
      </c>
      <c r="T75" s="127">
        <v>0.74</v>
      </c>
      <c r="U75" s="29" t="s">
        <v>64</v>
      </c>
      <c r="V75" s="128" t="s">
        <v>1181</v>
      </c>
      <c r="W75" s="24">
        <f t="shared" si="23"/>
        <v>2.8584719999999995</v>
      </c>
      <c r="X75" s="24">
        <f>+W75*0.36</f>
        <v>1.0290499199999998</v>
      </c>
      <c r="Y75" s="24">
        <v>0.4</v>
      </c>
      <c r="Z75" s="24">
        <f t="shared" si="44"/>
        <v>4.2875219199999997</v>
      </c>
      <c r="AA75" s="88">
        <v>119</v>
      </c>
      <c r="AB75" s="24">
        <f t="shared" si="25"/>
        <v>102.58620689655173</v>
      </c>
      <c r="AC75" s="24">
        <f t="shared" si="43"/>
        <v>61.551724137931032</v>
      </c>
      <c r="AD75" s="27">
        <f t="shared" si="35"/>
        <v>6.9657218868347331E-2</v>
      </c>
      <c r="AE75" s="27">
        <f t="shared" si="27"/>
        <v>0.9303427811316527</v>
      </c>
      <c r="AF75" s="28">
        <f t="shared" si="28"/>
        <v>0.4</v>
      </c>
      <c r="AG75" s="81" t="s">
        <v>284</v>
      </c>
      <c r="AH75" s="128" t="s">
        <v>67</v>
      </c>
      <c r="AI75" s="29">
        <v>12</v>
      </c>
      <c r="AJ75" s="29">
        <f t="shared" si="42"/>
        <v>288</v>
      </c>
      <c r="AK75" s="91" t="s">
        <v>1182</v>
      </c>
      <c r="AL75" s="290"/>
      <c r="AN75" s="129">
        <f>Y75*0.65</f>
        <v>0.26</v>
      </c>
      <c r="AO75" s="129">
        <f t="shared" si="29"/>
        <v>0.22413793103448279</v>
      </c>
      <c r="AP75" s="130">
        <f t="shared" si="30"/>
        <v>4.591145796923076</v>
      </c>
      <c r="AQ75" s="130">
        <f t="shared" si="31"/>
        <v>-3.591145796923076</v>
      </c>
      <c r="AR75" s="33">
        <f t="shared" si="32"/>
        <v>0</v>
      </c>
      <c r="BA75" s="3">
        <v>1</v>
      </c>
      <c r="BB75" s="3">
        <v>1</v>
      </c>
      <c r="BC75" s="3">
        <v>1</v>
      </c>
      <c r="BD75" s="3">
        <v>1</v>
      </c>
      <c r="BE75" s="3">
        <v>1</v>
      </c>
      <c r="BF75" s="3">
        <v>1</v>
      </c>
      <c r="BG75" s="3">
        <v>1</v>
      </c>
      <c r="BH75" s="3"/>
      <c r="BI75" s="3"/>
      <c r="BJ75" s="3">
        <v>9</v>
      </c>
      <c r="BK75" s="3">
        <f t="shared" si="33"/>
        <v>7</v>
      </c>
      <c r="BL75" s="4">
        <f t="shared" si="34"/>
        <v>0.77777777777777779</v>
      </c>
      <c r="BM75" s="295"/>
      <c r="BN75" s="295"/>
      <c r="BO75" s="295"/>
      <c r="BP75" s="295"/>
      <c r="BQ75" s="295"/>
      <c r="BR75" s="282" t="str">
        <f t="shared" si="41"/>
        <v>Por problemas en el granel, se paró la producción, en proceso de resolución</v>
      </c>
      <c r="BS75" s="284">
        <f t="shared" si="18"/>
        <v>0</v>
      </c>
      <c r="BT75" s="282" t="s">
        <v>86</v>
      </c>
      <c r="CJ75" s="368"/>
      <c r="CK75" s="364"/>
      <c r="CL75" s="364"/>
      <c r="CM75" s="364"/>
      <c r="CN75" s="372"/>
      <c r="CO75" s="361"/>
      <c r="CP75" s="368"/>
      <c r="CQ75" s="364"/>
      <c r="CR75" s="374"/>
      <c r="CS75" s="341"/>
      <c r="CT75" s="368"/>
      <c r="CU75" s="364"/>
      <c r="CV75" s="374"/>
      <c r="CW75" s="341"/>
      <c r="CX75" s="368"/>
      <c r="CY75" s="364"/>
      <c r="CZ75" s="374"/>
      <c r="DA75" s="341"/>
      <c r="DB75" s="368"/>
      <c r="DC75" s="364"/>
    </row>
  </sheetData>
  <mergeCells count="2">
    <mergeCell ref="A2:B2"/>
    <mergeCell ref="CJ14:DC14"/>
  </mergeCells>
  <conditionalFormatting sqref="AD17:AD75">
    <cfRule type="cellIs" dxfId="11" priority="2" operator="greaterThan">
      <formula>0.2599</formula>
    </cfRule>
  </conditionalFormatting>
  <conditionalFormatting sqref="AR17:AR75">
    <cfRule type="cellIs" dxfId="10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A76"/>
  <sheetViews>
    <sheetView zoomScale="26" zoomScaleNormal="26" workbookViewId="0">
      <pane xSplit="9" ySplit="16" topLeftCell="BJ17" activePane="bottomRight" state="frozen"/>
      <selection pane="bottomRight" activeCell="CJ1" sqref="CJ1:DA1048576"/>
      <selection pane="bottomLeft" activeCell="A17" sqref="A17"/>
      <selection pane="topRight" activeCell="J1" sqref="J1"/>
    </sheetView>
  </sheetViews>
  <sheetFormatPr defaultColWidth="11.5703125" defaultRowHeight="27.6"/>
  <cols>
    <col min="1" max="1" width="30.5703125" bestFit="1" customWidth="1"/>
    <col min="2" max="2" width="15.42578125" bestFit="1" customWidth="1"/>
    <col min="3" max="3" width="48.42578125" customWidth="1"/>
    <col min="4" max="4" width="43.7109375" customWidth="1"/>
    <col min="5" max="5" width="67.7109375" bestFit="1" customWidth="1"/>
    <col min="6" max="6" width="39.42578125" bestFit="1" customWidth="1"/>
    <col min="7" max="7" width="46.140625" bestFit="1" customWidth="1"/>
    <col min="8" max="8" width="110.85546875" bestFit="1" customWidth="1"/>
    <col min="9" max="9" width="23.7109375" bestFit="1" customWidth="1"/>
    <col min="10" max="10" width="60.42578125" bestFit="1" customWidth="1"/>
    <col min="11" max="11" width="26.85546875" bestFit="1" customWidth="1"/>
    <col min="12" max="12" width="37.85546875" bestFit="1" customWidth="1"/>
    <col min="13" max="13" width="46.7109375" bestFit="1" customWidth="1"/>
    <col min="14" max="14" width="51" bestFit="1" customWidth="1"/>
    <col min="15" max="15" width="29.42578125" bestFit="1" customWidth="1"/>
    <col min="16" max="16" width="22.5703125" bestFit="1" customWidth="1"/>
    <col min="17" max="17" width="22.5703125" customWidth="1"/>
    <col min="18" max="18" width="39" bestFit="1" customWidth="1"/>
    <col min="19" max="19" width="26.28515625" bestFit="1" customWidth="1"/>
    <col min="20" max="20" width="41.5703125" bestFit="1" customWidth="1"/>
    <col min="21" max="21" width="65.140625" bestFit="1" customWidth="1"/>
    <col min="22" max="22" width="64.5703125" bestFit="1" customWidth="1"/>
    <col min="23" max="23" width="64.140625" bestFit="1" customWidth="1"/>
    <col min="24" max="24" width="69.85546875" bestFit="1" customWidth="1"/>
    <col min="25" max="25" width="43.5703125" bestFit="1" customWidth="1"/>
    <col min="26" max="26" width="73.42578125" bestFit="1" customWidth="1"/>
    <col min="27" max="27" width="35.28515625" bestFit="1" customWidth="1"/>
    <col min="28" max="28" width="34.7109375" bestFit="1" customWidth="1"/>
    <col min="29" max="29" width="45.28515625" bestFit="1" customWidth="1"/>
    <col min="30" max="30" width="22.5703125" bestFit="1" customWidth="1"/>
    <col min="31" max="31" width="30" bestFit="1" customWidth="1"/>
    <col min="32" max="33" width="41" bestFit="1" customWidth="1"/>
    <col min="34" max="34" width="11.140625" customWidth="1"/>
    <col min="35" max="35" width="56.28515625" bestFit="1" customWidth="1"/>
    <col min="36" max="36" width="63.5703125" bestFit="1" customWidth="1"/>
    <col min="37" max="37" width="36.85546875" bestFit="1" customWidth="1"/>
    <col min="38" max="38" width="66.5703125" bestFit="1" customWidth="1"/>
    <col min="39" max="39" width="31.140625" bestFit="1" customWidth="1"/>
    <col min="40" max="53" width="3.5703125" customWidth="1"/>
    <col min="54" max="54" width="17.42578125" bestFit="1" customWidth="1"/>
    <col min="55" max="55" width="39" bestFit="1" customWidth="1"/>
    <col min="56" max="56" width="34.140625" bestFit="1" customWidth="1"/>
    <col min="57" max="57" width="42.5703125" bestFit="1" customWidth="1"/>
    <col min="58" max="58" width="36.85546875" bestFit="1" customWidth="1"/>
    <col min="59" max="59" width="21.140625" bestFit="1" customWidth="1"/>
    <col min="60" max="61" width="18.5703125" customWidth="1"/>
    <col min="62" max="62" width="38.42578125" bestFit="1" customWidth="1"/>
    <col min="63" max="63" width="12.140625" bestFit="1" customWidth="1"/>
    <col min="64" max="64" width="16.85546875" bestFit="1" customWidth="1"/>
    <col min="65" max="65" width="28.42578125" bestFit="1" customWidth="1"/>
    <col min="66" max="69" width="28.42578125" style="168" customWidth="1"/>
    <col min="70" max="72" width="41" bestFit="1" customWidth="1"/>
    <col min="88" max="93" width="35.42578125" style="279" customWidth="1"/>
    <col min="94" max="105" width="35.42578125" style="266" customWidth="1"/>
  </cols>
  <sheetData>
    <row r="1" spans="1:105" ht="32.450000000000003">
      <c r="A1" s="8"/>
      <c r="B1" s="9" t="s">
        <v>13</v>
      </c>
      <c r="C1" s="169" t="s">
        <v>248</v>
      </c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201"/>
      <c r="O1" s="202"/>
      <c r="P1" s="202"/>
      <c r="Q1" s="202"/>
      <c r="R1" s="202"/>
      <c r="S1" s="202"/>
      <c r="T1" s="202"/>
      <c r="U1" s="195"/>
      <c r="V1" s="195"/>
      <c r="W1" s="195"/>
      <c r="X1" s="195"/>
      <c r="Y1" s="195"/>
      <c r="Z1" s="195"/>
      <c r="AA1" s="195"/>
      <c r="AB1" s="195"/>
      <c r="AC1" s="195"/>
      <c r="AD1" s="195"/>
      <c r="AE1" s="195"/>
      <c r="AF1" s="195"/>
      <c r="AG1" s="195"/>
      <c r="AH1" s="146"/>
      <c r="AI1" s="181"/>
      <c r="AJ1" s="181"/>
      <c r="AK1" s="181"/>
      <c r="AL1" s="181"/>
      <c r="AM1" s="181"/>
      <c r="AN1" s="168"/>
      <c r="AO1" s="168"/>
      <c r="AP1" s="168"/>
      <c r="AQ1" s="168"/>
      <c r="AR1" s="168"/>
      <c r="AS1" s="168"/>
      <c r="AT1" s="168"/>
      <c r="AU1" s="168"/>
      <c r="AV1" s="168"/>
      <c r="AW1" s="168"/>
      <c r="AX1" s="168"/>
      <c r="AY1" s="168"/>
      <c r="AZ1" s="168"/>
      <c r="BA1" s="168"/>
      <c r="BB1" s="165"/>
      <c r="BC1" s="165"/>
      <c r="BD1" s="165"/>
      <c r="BE1" s="165"/>
      <c r="BF1" s="165"/>
      <c r="BG1" s="165"/>
      <c r="BH1" s="165"/>
      <c r="BI1" s="165"/>
      <c r="BJ1" s="165"/>
      <c r="BK1" s="165"/>
      <c r="BL1" s="165"/>
      <c r="BM1" s="165"/>
      <c r="BN1" s="165"/>
      <c r="BO1" s="165"/>
      <c r="BP1" s="165"/>
      <c r="BQ1" s="165"/>
      <c r="BR1" s="195"/>
      <c r="BS1" s="195"/>
      <c r="BT1" s="195"/>
      <c r="CJ1" s="165"/>
      <c r="CK1" s="165"/>
      <c r="CL1" s="165"/>
      <c r="CM1" s="165"/>
      <c r="CN1" s="165"/>
      <c r="CO1" s="165"/>
      <c r="CP1" s="165"/>
      <c r="CQ1" s="165"/>
      <c r="CR1" s="165"/>
      <c r="CS1" s="165"/>
      <c r="CT1" s="165"/>
      <c r="CU1" s="165"/>
      <c r="CV1" s="165"/>
      <c r="CW1" s="165"/>
      <c r="CX1" s="165"/>
      <c r="CY1" s="165"/>
      <c r="CZ1" s="165"/>
      <c r="DA1" s="165"/>
    </row>
    <row r="2" spans="1:105" ht="32.450000000000003">
      <c r="A2" s="398" t="s">
        <v>1187</v>
      </c>
      <c r="B2" s="398"/>
      <c r="C2" s="196" t="s">
        <v>1188</v>
      </c>
      <c r="D2" s="195"/>
      <c r="E2" s="195"/>
      <c r="F2" s="195"/>
      <c r="G2" s="195"/>
      <c r="H2" s="195"/>
      <c r="I2" s="195"/>
      <c r="J2" s="195"/>
      <c r="K2" s="195"/>
      <c r="L2" s="195"/>
      <c r="M2" s="195"/>
      <c r="N2" s="201"/>
      <c r="O2" s="202"/>
      <c r="P2" s="202"/>
      <c r="Q2" s="202"/>
      <c r="R2" s="202"/>
      <c r="S2" s="202"/>
      <c r="T2" s="202"/>
      <c r="U2" s="195"/>
      <c r="V2" s="195"/>
      <c r="W2" s="195"/>
      <c r="X2" s="195"/>
      <c r="Y2" s="195"/>
      <c r="Z2" s="195"/>
      <c r="AA2" s="195"/>
      <c r="AB2" s="195"/>
      <c r="AC2" s="195"/>
      <c r="AD2" s="195"/>
      <c r="AE2" s="195"/>
      <c r="AF2" s="195"/>
      <c r="AG2" s="195"/>
      <c r="AH2" s="146"/>
      <c r="AI2" s="181"/>
      <c r="AJ2" s="181"/>
      <c r="AK2" s="181"/>
      <c r="AL2" s="181"/>
      <c r="AM2" s="181"/>
      <c r="AN2" s="168"/>
      <c r="AO2" s="168"/>
      <c r="AP2" s="168"/>
      <c r="AQ2" s="168"/>
      <c r="AR2" s="168"/>
      <c r="AS2" s="168"/>
      <c r="AT2" s="168"/>
      <c r="AU2" s="168"/>
      <c r="AV2" s="168"/>
      <c r="AW2" s="168"/>
      <c r="AX2" s="168"/>
      <c r="AY2" s="168"/>
      <c r="AZ2" s="168"/>
      <c r="BA2" s="168"/>
      <c r="BB2" s="165"/>
      <c r="BC2" s="165"/>
      <c r="BD2" s="165"/>
      <c r="BE2" s="165"/>
      <c r="BF2" s="165"/>
      <c r="BG2" s="165"/>
      <c r="BH2" s="165"/>
      <c r="BI2" s="165"/>
      <c r="BJ2" s="165"/>
      <c r="BK2" s="165"/>
      <c r="BL2" s="165"/>
      <c r="BM2" s="165"/>
      <c r="BN2" s="165"/>
      <c r="BO2" s="165"/>
      <c r="BP2" s="165"/>
      <c r="BQ2" s="165"/>
      <c r="BR2" s="195"/>
      <c r="BS2" s="195"/>
      <c r="BT2" s="195"/>
      <c r="CJ2" s="165"/>
      <c r="CK2" s="165"/>
      <c r="CL2" s="165"/>
      <c r="CM2" s="165"/>
      <c r="CN2" s="165"/>
      <c r="CO2" s="165"/>
      <c r="CP2" s="165"/>
      <c r="CQ2" s="165"/>
      <c r="CR2" s="165"/>
      <c r="CS2" s="165"/>
      <c r="CT2" s="165"/>
      <c r="CU2" s="165"/>
      <c r="CV2" s="165"/>
      <c r="CW2" s="165"/>
      <c r="CX2" s="165"/>
      <c r="CY2" s="165"/>
      <c r="CZ2" s="165"/>
      <c r="DA2" s="165"/>
    </row>
    <row r="3" spans="1:105" ht="32.450000000000003">
      <c r="A3" s="7" t="s">
        <v>1189</v>
      </c>
      <c r="B3" s="147">
        <v>46111</v>
      </c>
      <c r="C3" s="197">
        <v>46112</v>
      </c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201"/>
      <c r="O3" s="202"/>
      <c r="P3" s="202"/>
      <c r="Q3" s="202"/>
      <c r="R3" s="202"/>
      <c r="S3" s="202"/>
      <c r="T3" s="202"/>
      <c r="U3" s="195"/>
      <c r="V3" s="195"/>
      <c r="W3" s="195"/>
      <c r="X3" s="195"/>
      <c r="Y3" s="195"/>
      <c r="Z3" s="195"/>
      <c r="AA3" s="195"/>
      <c r="AB3" s="195"/>
      <c r="AC3" s="195"/>
      <c r="AD3" s="195"/>
      <c r="AE3" s="195"/>
      <c r="AF3" s="195"/>
      <c r="AG3" s="195"/>
      <c r="AH3" s="146"/>
      <c r="AI3" s="181"/>
      <c r="AJ3" s="181"/>
      <c r="AK3" s="181"/>
      <c r="AL3" s="181"/>
      <c r="AM3" s="181"/>
      <c r="AN3" s="168"/>
      <c r="AO3" s="168"/>
      <c r="AP3" s="168"/>
      <c r="AQ3" s="168"/>
      <c r="AR3" s="168"/>
      <c r="AS3" s="168"/>
      <c r="AT3" s="168"/>
      <c r="AU3" s="168"/>
      <c r="AV3" s="168"/>
      <c r="AW3" s="168"/>
      <c r="AX3" s="168"/>
      <c r="AY3" s="168"/>
      <c r="AZ3" s="168"/>
      <c r="BA3" s="168"/>
      <c r="BB3" s="165"/>
      <c r="BC3" s="165"/>
      <c r="BD3" s="165"/>
      <c r="BE3" s="165"/>
      <c r="BF3" s="165"/>
      <c r="BG3" s="165"/>
      <c r="BH3" s="165"/>
      <c r="BI3" s="165"/>
      <c r="BJ3" s="165"/>
      <c r="BK3" s="165"/>
      <c r="BL3" s="165"/>
      <c r="BM3" s="165"/>
      <c r="BN3" s="165"/>
      <c r="BO3" s="165"/>
      <c r="BP3" s="165"/>
      <c r="BQ3" s="165"/>
      <c r="BR3" s="195"/>
      <c r="BS3" s="195"/>
      <c r="BT3" s="195"/>
      <c r="CJ3" s="165"/>
      <c r="CK3" s="165"/>
      <c r="CL3" s="165"/>
      <c r="CM3" s="165"/>
      <c r="CN3" s="165"/>
      <c r="CO3" s="165"/>
      <c r="CP3" s="165"/>
      <c r="CQ3" s="165"/>
      <c r="CR3" s="165"/>
      <c r="CS3" s="165"/>
      <c r="CT3" s="165"/>
      <c r="CU3" s="165"/>
      <c r="CV3" s="165"/>
      <c r="CW3" s="165"/>
      <c r="CX3" s="165"/>
      <c r="CY3" s="165"/>
      <c r="CZ3" s="165"/>
      <c r="DA3" s="165"/>
    </row>
    <row r="4" spans="1:105" ht="32.450000000000003">
      <c r="A4" s="52"/>
      <c r="B4" s="53"/>
      <c r="C4" s="198"/>
      <c r="D4" s="195"/>
      <c r="E4" s="195"/>
      <c r="F4" s="195"/>
      <c r="G4" s="195"/>
      <c r="H4" s="195"/>
      <c r="I4" s="195"/>
      <c r="J4" s="195"/>
      <c r="K4" s="195"/>
      <c r="L4" s="195"/>
      <c r="M4" s="195"/>
      <c r="N4" s="201"/>
      <c r="O4" s="202"/>
      <c r="P4" s="202"/>
      <c r="Q4" s="202"/>
      <c r="R4" s="202"/>
      <c r="S4" s="202"/>
      <c r="T4" s="202"/>
      <c r="U4" s="195"/>
      <c r="V4" s="195"/>
      <c r="W4" s="195"/>
      <c r="X4" s="195"/>
      <c r="Y4" s="195"/>
      <c r="Z4" s="195"/>
      <c r="AA4" s="195"/>
      <c r="AB4" s="195"/>
      <c r="AC4" s="195"/>
      <c r="AD4" s="195"/>
      <c r="AE4" s="195"/>
      <c r="AF4" s="195"/>
      <c r="AG4" s="195"/>
      <c r="AH4" s="146"/>
      <c r="AI4" s="181"/>
      <c r="AJ4" s="181"/>
      <c r="AK4" s="181"/>
      <c r="AL4" s="181"/>
      <c r="AM4" s="181"/>
      <c r="AN4" s="168"/>
      <c r="AO4" s="168"/>
      <c r="AP4" s="168"/>
      <c r="AQ4" s="168"/>
      <c r="AR4" s="168"/>
      <c r="AS4" s="168"/>
      <c r="AT4" s="168"/>
      <c r="AU4" s="168"/>
      <c r="AV4" s="168"/>
      <c r="AW4" s="168"/>
      <c r="AX4" s="168"/>
      <c r="AY4" s="168"/>
      <c r="AZ4" s="168"/>
      <c r="BA4" s="168"/>
      <c r="BB4" s="165"/>
      <c r="BC4" s="165"/>
      <c r="BD4" s="165"/>
      <c r="BE4" s="165"/>
      <c r="BF4" s="165"/>
      <c r="BG4" s="165"/>
      <c r="BH4" s="165"/>
      <c r="BI4" s="165"/>
      <c r="BJ4" s="165"/>
      <c r="BK4" s="165"/>
      <c r="BL4" s="165"/>
      <c r="BM4" s="165"/>
      <c r="BN4" s="165"/>
      <c r="BO4" s="165"/>
      <c r="BP4" s="165"/>
      <c r="BQ4" s="165"/>
      <c r="BR4" s="195"/>
      <c r="BS4" s="195"/>
      <c r="BT4" s="195"/>
      <c r="CJ4" s="165"/>
      <c r="CK4" s="165"/>
      <c r="CL4" s="165"/>
      <c r="CM4" s="165"/>
      <c r="CN4" s="165"/>
      <c r="CO4" s="165"/>
      <c r="CP4" s="165"/>
      <c r="CQ4" s="165"/>
      <c r="CR4" s="165"/>
      <c r="CS4" s="165"/>
      <c r="CT4" s="165"/>
      <c r="CU4" s="165"/>
      <c r="CV4" s="165"/>
      <c r="CW4" s="165"/>
      <c r="CX4" s="165"/>
      <c r="CY4" s="165"/>
      <c r="CZ4" s="165"/>
      <c r="DA4" s="165"/>
    </row>
    <row r="5" spans="1:105" ht="32.450000000000003">
      <c r="A5" s="7" t="s">
        <v>252</v>
      </c>
      <c r="B5" s="15">
        <f>+B3+15</f>
        <v>46126</v>
      </c>
      <c r="C5" s="170">
        <f>+C3+15</f>
        <v>46127</v>
      </c>
      <c r="D5" s="195"/>
      <c r="E5" s="195"/>
      <c r="F5" s="195"/>
      <c r="G5" s="195"/>
      <c r="H5" s="195"/>
      <c r="I5" s="195"/>
      <c r="J5" s="195"/>
      <c r="K5" s="195"/>
      <c r="L5" s="195"/>
      <c r="M5" s="195"/>
      <c r="N5" s="201"/>
      <c r="O5" s="202"/>
      <c r="P5" s="202"/>
      <c r="Q5" s="202"/>
      <c r="R5" s="202"/>
      <c r="S5" s="202"/>
      <c r="T5" s="202"/>
      <c r="U5" s="195"/>
      <c r="V5" s="195"/>
      <c r="W5" s="195"/>
      <c r="X5" s="195"/>
      <c r="Y5" s="195"/>
      <c r="Z5" s="195"/>
      <c r="AA5" s="195"/>
      <c r="AB5" s="195"/>
      <c r="AC5" s="195"/>
      <c r="AD5" s="195"/>
      <c r="AE5" s="195"/>
      <c r="AF5" s="195"/>
      <c r="AG5" s="195"/>
      <c r="AH5" s="146"/>
      <c r="AI5" s="181"/>
      <c r="AJ5" s="181"/>
      <c r="AK5" s="181"/>
      <c r="AL5" s="181"/>
      <c r="AM5" s="181"/>
      <c r="AN5" s="168"/>
      <c r="AO5" s="168"/>
      <c r="AP5" s="168"/>
      <c r="AQ5" s="168"/>
      <c r="AR5" s="168"/>
      <c r="AS5" s="168"/>
      <c r="AT5" s="168"/>
      <c r="AU5" s="168"/>
      <c r="AV5" s="168"/>
      <c r="AW5" s="168"/>
      <c r="AX5" s="168"/>
      <c r="AY5" s="168"/>
      <c r="AZ5" s="168"/>
      <c r="BA5" s="168"/>
      <c r="BB5" s="165"/>
      <c r="BC5" s="165"/>
      <c r="BD5" s="165"/>
      <c r="BE5" s="165"/>
      <c r="BF5" s="165"/>
      <c r="BG5" s="165"/>
      <c r="BH5" s="165"/>
      <c r="BI5" s="165"/>
      <c r="BJ5" s="165"/>
      <c r="BK5" s="165"/>
      <c r="BL5" s="165"/>
      <c r="BM5" s="165"/>
      <c r="BN5" s="165"/>
      <c r="BO5" s="165"/>
      <c r="BP5" s="165"/>
      <c r="BQ5" s="165"/>
      <c r="BR5" s="195"/>
      <c r="BS5" s="195"/>
      <c r="BT5" s="195"/>
      <c r="CJ5" s="165"/>
      <c r="CK5" s="165"/>
      <c r="CL5" s="165"/>
      <c r="CM5" s="165"/>
      <c r="CN5" s="165"/>
      <c r="CO5" s="165"/>
      <c r="CP5" s="165"/>
      <c r="CQ5" s="165"/>
      <c r="CR5" s="165"/>
      <c r="CS5" s="165"/>
      <c r="CT5" s="165"/>
      <c r="CU5" s="165"/>
      <c r="CV5" s="165"/>
      <c r="CW5" s="165"/>
      <c r="CX5" s="165"/>
      <c r="CY5" s="165"/>
      <c r="CZ5" s="165"/>
      <c r="DA5" s="165"/>
    </row>
    <row r="6" spans="1:105" ht="32.450000000000003">
      <c r="A6" s="7" t="s">
        <v>1190</v>
      </c>
      <c r="B6" s="15">
        <f>+B5+10</f>
        <v>46136</v>
      </c>
      <c r="C6" s="170">
        <f>+C5+10</f>
        <v>46137</v>
      </c>
      <c r="D6" s="195"/>
      <c r="E6" s="195"/>
      <c r="F6" s="195"/>
      <c r="G6" s="195"/>
      <c r="H6" s="195"/>
      <c r="I6" s="195"/>
      <c r="J6" s="195"/>
      <c r="K6" s="195"/>
      <c r="L6" s="195"/>
      <c r="M6" s="195"/>
      <c r="N6" s="201"/>
      <c r="O6" s="202"/>
      <c r="P6" s="202"/>
      <c r="Q6" s="202"/>
      <c r="R6" s="202"/>
      <c r="S6" s="202"/>
      <c r="T6" s="202"/>
      <c r="U6" s="195"/>
      <c r="V6" s="195"/>
      <c r="W6" s="195"/>
      <c r="X6" s="195"/>
      <c r="Y6" s="195"/>
      <c r="Z6" s="195"/>
      <c r="AA6" s="195"/>
      <c r="AB6" s="195"/>
      <c r="AC6" s="195"/>
      <c r="AD6" s="195"/>
      <c r="AE6" s="195"/>
      <c r="AF6" s="195"/>
      <c r="AG6" s="195"/>
      <c r="AH6" s="146"/>
      <c r="AI6" s="181"/>
      <c r="AJ6" s="181"/>
      <c r="AK6" s="181"/>
      <c r="AL6" s="181"/>
      <c r="AM6" s="181"/>
      <c r="AN6" s="168"/>
      <c r="AO6" s="168"/>
      <c r="AP6" s="168"/>
      <c r="AQ6" s="168"/>
      <c r="AR6" s="168"/>
      <c r="AS6" s="168"/>
      <c r="AT6" s="168"/>
      <c r="AU6" s="168"/>
      <c r="AV6" s="168"/>
      <c r="AW6" s="168"/>
      <c r="AX6" s="168"/>
      <c r="AY6" s="168"/>
      <c r="AZ6" s="168"/>
      <c r="BA6" s="168"/>
      <c r="BB6" s="165"/>
      <c r="BC6" s="165"/>
      <c r="BD6" s="165"/>
      <c r="BE6" s="165"/>
      <c r="BF6" s="165"/>
      <c r="BG6" s="165"/>
      <c r="BH6" s="165"/>
      <c r="BI6" s="165"/>
      <c r="BJ6" s="165"/>
      <c r="BK6" s="165"/>
      <c r="BL6" s="165"/>
      <c r="BM6" s="165"/>
      <c r="BN6" s="165"/>
      <c r="BO6" s="165"/>
      <c r="BP6" s="165"/>
      <c r="BQ6" s="165"/>
      <c r="BR6" s="195"/>
      <c r="BS6" s="195"/>
      <c r="BT6" s="195"/>
      <c r="CJ6" s="165"/>
      <c r="CK6" s="165"/>
      <c r="CL6" s="165"/>
      <c r="CM6" s="165"/>
      <c r="CN6" s="165"/>
      <c r="CO6" s="165"/>
      <c r="CP6" s="165"/>
      <c r="CQ6" s="165"/>
      <c r="CR6" s="165"/>
      <c r="CS6" s="165"/>
      <c r="CT6" s="165"/>
      <c r="CU6" s="165"/>
      <c r="CV6" s="165"/>
      <c r="CW6" s="165"/>
      <c r="CX6" s="165"/>
      <c r="CY6" s="165"/>
      <c r="CZ6" s="165"/>
      <c r="DA6" s="165"/>
    </row>
    <row r="7" spans="1:105" ht="32.450000000000003">
      <c r="A7" s="7" t="s">
        <v>254</v>
      </c>
      <c r="B7" s="15">
        <f>+B6+2</f>
        <v>46138</v>
      </c>
      <c r="C7" s="170">
        <f>+C6+2</f>
        <v>46139</v>
      </c>
      <c r="D7" s="195"/>
      <c r="E7" s="195"/>
      <c r="F7" s="195"/>
      <c r="G7" s="195"/>
      <c r="H7" s="195"/>
      <c r="I7" s="195"/>
      <c r="J7" s="195"/>
      <c r="K7" s="195"/>
      <c r="L7" s="195"/>
      <c r="M7" s="195"/>
      <c r="N7" s="201"/>
      <c r="O7" s="202"/>
      <c r="P7" s="202"/>
      <c r="Q7" s="202"/>
      <c r="R7" s="202"/>
      <c r="S7" s="202"/>
      <c r="T7" s="202"/>
      <c r="U7" s="195"/>
      <c r="V7" s="195"/>
      <c r="W7" s="195"/>
      <c r="X7" s="195"/>
      <c r="Y7" s="195"/>
      <c r="Z7" s="195"/>
      <c r="AA7" s="195"/>
      <c r="AB7" s="195"/>
      <c r="AC7" s="195"/>
      <c r="AD7" s="195"/>
      <c r="AE7" s="195"/>
      <c r="AF7" s="195"/>
      <c r="AG7" s="195"/>
      <c r="AH7" s="146"/>
      <c r="AI7" s="181"/>
      <c r="AJ7" s="181"/>
      <c r="AK7" s="181"/>
      <c r="AL7" s="181"/>
      <c r="AM7" s="181"/>
      <c r="AN7" s="168"/>
      <c r="AO7" s="168"/>
      <c r="AP7" s="168"/>
      <c r="AQ7" s="168"/>
      <c r="AR7" s="168"/>
      <c r="AS7" s="168"/>
      <c r="AT7" s="168"/>
      <c r="AU7" s="168"/>
      <c r="AV7" s="168"/>
      <c r="AW7" s="168"/>
      <c r="AX7" s="168"/>
      <c r="AY7" s="168"/>
      <c r="AZ7" s="168"/>
      <c r="BA7" s="168"/>
      <c r="BB7" s="165"/>
      <c r="BC7" s="165"/>
      <c r="BD7" s="165"/>
      <c r="BE7" s="165"/>
      <c r="BF7" s="165"/>
      <c r="BG7" s="165"/>
      <c r="BH7" s="165"/>
      <c r="BI7" s="165"/>
      <c r="BJ7" s="165"/>
      <c r="BK7" s="165"/>
      <c r="BL7" s="165"/>
      <c r="BM7" s="165"/>
      <c r="BN7" s="165"/>
      <c r="BO7" s="165"/>
      <c r="BP7" s="165"/>
      <c r="BQ7" s="165"/>
      <c r="BR7" s="195"/>
      <c r="BS7" s="195"/>
      <c r="BT7" s="195"/>
      <c r="CJ7" s="165"/>
      <c r="CK7" s="165"/>
      <c r="CL7" s="165"/>
      <c r="CM7" s="165"/>
      <c r="CN7" s="165"/>
      <c r="CO7" s="165"/>
      <c r="CP7" s="165"/>
      <c r="CQ7" s="165"/>
      <c r="CR7" s="165"/>
      <c r="CS7" s="165"/>
      <c r="CT7" s="165"/>
      <c r="CU7" s="165"/>
      <c r="CV7" s="165"/>
      <c r="CW7" s="165"/>
      <c r="CX7" s="165"/>
      <c r="CY7" s="165"/>
      <c r="CZ7" s="165"/>
      <c r="DA7" s="165"/>
    </row>
    <row r="8" spans="1:105" ht="32.450000000000003">
      <c r="A8" s="7" t="s">
        <v>256</v>
      </c>
      <c r="B8" s="15">
        <f>+B7+40</f>
        <v>46178</v>
      </c>
      <c r="C8" s="170">
        <f>+C7+40</f>
        <v>46179</v>
      </c>
      <c r="D8" s="195"/>
      <c r="E8" s="195"/>
      <c r="F8" s="195"/>
      <c r="G8" s="195"/>
      <c r="H8" s="195"/>
      <c r="I8" s="195"/>
      <c r="J8" s="195"/>
      <c r="K8" s="195"/>
      <c r="L8" s="195"/>
      <c r="M8" s="195"/>
      <c r="N8" s="201"/>
      <c r="O8" s="202"/>
      <c r="P8" s="202"/>
      <c r="Q8" s="202"/>
      <c r="R8" s="202"/>
      <c r="S8" s="202"/>
      <c r="T8" s="202"/>
      <c r="U8" s="195"/>
      <c r="V8" s="195"/>
      <c r="W8" s="195"/>
      <c r="X8" s="195"/>
      <c r="Y8" s="195"/>
      <c r="Z8" s="195"/>
      <c r="AA8" s="195"/>
      <c r="AB8" s="195"/>
      <c r="AC8" s="195"/>
      <c r="AD8" s="195"/>
      <c r="AE8" s="195"/>
      <c r="AF8" s="195"/>
      <c r="AG8" s="195"/>
      <c r="AH8" s="146"/>
      <c r="AI8" s="181"/>
      <c r="AJ8" s="181"/>
      <c r="AK8" s="181"/>
      <c r="AL8" s="181"/>
      <c r="AM8" s="181"/>
      <c r="AN8" s="168"/>
      <c r="AO8" s="168"/>
      <c r="AP8" s="168"/>
      <c r="AQ8" s="168"/>
      <c r="AR8" s="168"/>
      <c r="AS8" s="168"/>
      <c r="AT8" s="168"/>
      <c r="AU8" s="168"/>
      <c r="AV8" s="168"/>
      <c r="AW8" s="168"/>
      <c r="AX8" s="168"/>
      <c r="AY8" s="168"/>
      <c r="AZ8" s="168"/>
      <c r="BA8" s="168"/>
      <c r="BB8" s="165"/>
      <c r="BC8" s="165"/>
      <c r="BD8" s="165"/>
      <c r="BE8" s="165"/>
      <c r="BF8" s="165"/>
      <c r="BG8" s="165"/>
      <c r="BH8" s="165"/>
      <c r="BI8" s="165"/>
      <c r="BJ8" s="165"/>
      <c r="BK8" s="165"/>
      <c r="BL8" s="165"/>
      <c r="BM8" s="165"/>
      <c r="BN8" s="165"/>
      <c r="BO8" s="165"/>
      <c r="BP8" s="165"/>
      <c r="BQ8" s="165"/>
      <c r="BR8" s="195"/>
      <c r="BS8" s="195"/>
      <c r="BT8" s="195"/>
      <c r="CJ8" s="165"/>
      <c r="CK8" s="165"/>
      <c r="CL8" s="165"/>
      <c r="CM8" s="165"/>
      <c r="CN8" s="165"/>
      <c r="CO8" s="165"/>
      <c r="CP8" s="165"/>
      <c r="CQ8" s="165"/>
      <c r="CR8" s="165"/>
      <c r="CS8" s="165"/>
      <c r="CT8" s="165"/>
      <c r="CU8" s="165"/>
      <c r="CV8" s="165"/>
      <c r="CW8" s="165"/>
      <c r="CX8" s="165"/>
      <c r="CY8" s="165"/>
      <c r="CZ8" s="165"/>
      <c r="DA8" s="165"/>
    </row>
    <row r="9" spans="1:105" ht="32.450000000000003">
      <c r="A9" s="7" t="s">
        <v>255</v>
      </c>
      <c r="B9" s="15">
        <f>+B8+45</f>
        <v>46223</v>
      </c>
      <c r="C9" s="170">
        <f>+C8+45</f>
        <v>46224</v>
      </c>
      <c r="D9" s="195"/>
      <c r="E9" s="195"/>
      <c r="F9" s="195"/>
      <c r="G9" s="195"/>
      <c r="H9" s="195"/>
      <c r="I9" s="195"/>
      <c r="J9" s="195"/>
      <c r="K9" s="195"/>
      <c r="L9" s="195"/>
      <c r="M9" s="195"/>
      <c r="N9" s="201"/>
      <c r="O9" s="202"/>
      <c r="P9" s="202"/>
      <c r="Q9" s="202"/>
      <c r="R9" s="202"/>
      <c r="S9" s="202"/>
      <c r="T9" s="202"/>
      <c r="U9" s="195"/>
      <c r="V9" s="195"/>
      <c r="W9" s="195"/>
      <c r="X9" s="195"/>
      <c r="Y9" s="195"/>
      <c r="Z9" s="195"/>
      <c r="AA9" s="195"/>
      <c r="AB9" s="195"/>
      <c r="AC9" s="195"/>
      <c r="AD9" s="195"/>
      <c r="AE9" s="195"/>
      <c r="AF9" s="195"/>
      <c r="AG9" s="195"/>
      <c r="AH9" s="146"/>
      <c r="AI9" s="181"/>
      <c r="AJ9" s="181"/>
      <c r="AK9" s="181"/>
      <c r="AL9" s="181"/>
      <c r="AM9" s="181"/>
      <c r="AN9" s="168"/>
      <c r="AO9" s="168"/>
      <c r="AP9" s="168"/>
      <c r="AQ9" s="168"/>
      <c r="AR9" s="168"/>
      <c r="AS9" s="168"/>
      <c r="AT9" s="168"/>
      <c r="AU9" s="168"/>
      <c r="AV9" s="168"/>
      <c r="AW9" s="168"/>
      <c r="AX9" s="168"/>
      <c r="AY9" s="168"/>
      <c r="AZ9" s="168"/>
      <c r="BA9" s="168"/>
      <c r="BB9" s="165"/>
      <c r="BC9" s="165"/>
      <c r="BD9" s="165"/>
      <c r="BE9" s="165"/>
      <c r="BF9" s="165"/>
      <c r="BG9" s="165"/>
      <c r="BH9" s="165"/>
      <c r="BI9" s="165"/>
      <c r="BJ9" s="165"/>
      <c r="BK9" s="165"/>
      <c r="BL9" s="165"/>
      <c r="BM9" s="165"/>
      <c r="BN9" s="165"/>
      <c r="BO9" s="165"/>
      <c r="BP9" s="165"/>
      <c r="BQ9" s="165"/>
      <c r="BR9" s="195"/>
      <c r="BS9" s="195"/>
      <c r="BT9" s="195"/>
      <c r="CJ9" s="165"/>
      <c r="CK9" s="165"/>
      <c r="CL9" s="165"/>
      <c r="CM9" s="165"/>
      <c r="CN9" s="165"/>
      <c r="CO9" s="165"/>
      <c r="CP9" s="165"/>
      <c r="CQ9" s="165"/>
      <c r="CR9" s="165"/>
      <c r="CS9" s="165"/>
      <c r="CT9" s="165"/>
      <c r="CU9" s="165"/>
      <c r="CV9" s="165"/>
      <c r="CW9" s="165"/>
      <c r="CX9" s="165"/>
      <c r="CY9" s="165"/>
      <c r="CZ9" s="165"/>
      <c r="DA9" s="165"/>
    </row>
    <row r="10" spans="1:105" ht="32.450000000000003">
      <c r="A10" s="7" t="s">
        <v>257</v>
      </c>
      <c r="B10" s="15">
        <f>+B8+65</f>
        <v>46243</v>
      </c>
      <c r="C10" s="170">
        <f>+C8+65</f>
        <v>46244</v>
      </c>
      <c r="D10" s="195"/>
      <c r="E10" s="195"/>
      <c r="F10" s="195"/>
      <c r="G10" s="195"/>
      <c r="H10" s="195"/>
      <c r="I10" s="195"/>
      <c r="J10" s="195"/>
      <c r="K10" s="195"/>
      <c r="L10" s="195"/>
      <c r="M10" s="195"/>
      <c r="N10" s="201"/>
      <c r="O10" s="202"/>
      <c r="P10" s="202"/>
      <c r="Q10" s="202"/>
      <c r="R10" s="202"/>
      <c r="S10" s="202"/>
      <c r="T10" s="202"/>
      <c r="U10" s="195"/>
      <c r="V10" s="195"/>
      <c r="W10" s="195"/>
      <c r="X10" s="195"/>
      <c r="Y10" s="195"/>
      <c r="Z10" s="195"/>
      <c r="AA10" s="195"/>
      <c r="AB10" s="195"/>
      <c r="AC10" s="195"/>
      <c r="AD10" s="195"/>
      <c r="AE10" s="195"/>
      <c r="AF10" s="195"/>
      <c r="AG10" s="195"/>
      <c r="AH10" s="146"/>
      <c r="AI10" s="181"/>
      <c r="AJ10" s="181"/>
      <c r="AK10" s="181"/>
      <c r="AL10" s="181"/>
      <c r="AM10" s="181"/>
      <c r="AN10" s="168"/>
      <c r="AO10" s="168"/>
      <c r="AP10" s="168"/>
      <c r="AQ10" s="168"/>
      <c r="AR10" s="168"/>
      <c r="AS10" s="168"/>
      <c r="AT10" s="168"/>
      <c r="AU10" s="168"/>
      <c r="AV10" s="168"/>
      <c r="AW10" s="168"/>
      <c r="AX10" s="168"/>
      <c r="AY10" s="168"/>
      <c r="AZ10" s="168"/>
      <c r="BA10" s="168"/>
      <c r="BB10" s="165"/>
      <c r="BC10" s="165"/>
      <c r="BD10" s="165"/>
      <c r="BE10" s="165"/>
      <c r="BF10" s="165"/>
      <c r="BG10" s="165"/>
      <c r="BH10" s="165"/>
      <c r="BI10" s="165"/>
      <c r="BJ10" s="165"/>
      <c r="BK10" s="165"/>
      <c r="BL10" s="165"/>
      <c r="BM10" s="165"/>
      <c r="BN10" s="165"/>
      <c r="BO10" s="165"/>
      <c r="BP10" s="165"/>
      <c r="BQ10" s="165"/>
      <c r="BR10" s="195"/>
      <c r="BS10" s="195"/>
      <c r="BT10" s="195"/>
      <c r="CJ10" s="165"/>
      <c r="CK10" s="165"/>
      <c r="CL10" s="165"/>
      <c r="CM10" s="165"/>
      <c r="CN10" s="165"/>
      <c r="CO10" s="165"/>
      <c r="CP10" s="165"/>
      <c r="CQ10" s="165"/>
      <c r="CR10" s="165"/>
      <c r="CS10" s="165"/>
      <c r="CT10" s="165"/>
      <c r="CU10" s="165"/>
      <c r="CV10" s="165"/>
      <c r="CW10" s="165"/>
      <c r="CX10" s="165"/>
      <c r="CY10" s="165"/>
      <c r="CZ10" s="165"/>
      <c r="DA10" s="165"/>
    </row>
    <row r="11" spans="1:105" ht="32.450000000000003">
      <c r="A11" s="184" t="s">
        <v>258</v>
      </c>
      <c r="B11" s="185">
        <f>+B10+8</f>
        <v>46251</v>
      </c>
      <c r="C11" s="186">
        <f>+C10+8</f>
        <v>46252</v>
      </c>
      <c r="D11" s="195"/>
      <c r="E11" s="195"/>
      <c r="F11" s="195"/>
      <c r="G11" s="195"/>
      <c r="H11" s="195"/>
      <c r="I11" s="195"/>
      <c r="J11" s="195"/>
      <c r="K11" s="195"/>
      <c r="L11" s="195"/>
      <c r="M11" s="195"/>
      <c r="N11" s="201"/>
      <c r="O11" s="202"/>
      <c r="P11" s="202"/>
      <c r="Q11" s="202"/>
      <c r="R11" s="202"/>
      <c r="S11" s="202"/>
      <c r="T11" s="202"/>
      <c r="U11" s="195"/>
      <c r="V11" s="195"/>
      <c r="W11" s="195"/>
      <c r="X11" s="195"/>
      <c r="Y11" s="195"/>
      <c r="Z11" s="195"/>
      <c r="AA11" s="195"/>
      <c r="AB11" s="195"/>
      <c r="AC11" s="195"/>
      <c r="AD11" s="195"/>
      <c r="AE11" s="195"/>
      <c r="AF11" s="195"/>
      <c r="AG11" s="195"/>
      <c r="AH11" s="146"/>
      <c r="AI11" s="181"/>
      <c r="AJ11" s="181"/>
      <c r="AK11" s="181"/>
      <c r="AL11" s="181"/>
      <c r="AM11" s="181"/>
      <c r="AN11" s="168"/>
      <c r="AO11" s="168"/>
      <c r="AP11" s="168"/>
      <c r="AQ11" s="168"/>
      <c r="AR11" s="168"/>
      <c r="AS11" s="168"/>
      <c r="AT11" s="168"/>
      <c r="AU11" s="168"/>
      <c r="AV11" s="168"/>
      <c r="AW11" s="168"/>
      <c r="AX11" s="168"/>
      <c r="AY11" s="168"/>
      <c r="AZ11" s="168"/>
      <c r="BA11" s="168"/>
      <c r="BB11" s="165"/>
      <c r="BC11" s="165"/>
      <c r="BD11" s="165"/>
      <c r="BE11" s="165"/>
      <c r="BF11" s="165"/>
      <c r="BG11" s="165"/>
      <c r="BH11" s="165"/>
      <c r="BI11" s="165"/>
      <c r="BJ11" s="165"/>
      <c r="BK11" s="165"/>
      <c r="BL11" s="165"/>
      <c r="BM11" s="165"/>
      <c r="BN11" s="165"/>
      <c r="BO11" s="165"/>
      <c r="BP11" s="165"/>
      <c r="BQ11" s="165"/>
      <c r="BR11" s="195"/>
      <c r="BS11" s="195"/>
      <c r="BT11" s="195"/>
      <c r="CJ11" s="165"/>
      <c r="CK11" s="165"/>
      <c r="CL11" s="165"/>
      <c r="CM11" s="165"/>
      <c r="CN11" s="165"/>
      <c r="CO11" s="165"/>
      <c r="CP11" s="165"/>
      <c r="CQ11" s="165"/>
      <c r="CR11" s="165"/>
      <c r="CS11" s="165"/>
      <c r="CT11" s="165"/>
      <c r="CU11" s="165"/>
      <c r="CV11" s="165"/>
      <c r="CW11" s="165"/>
      <c r="CX11" s="165"/>
      <c r="CY11" s="165"/>
      <c r="CZ11" s="165"/>
      <c r="DA11" s="165"/>
    </row>
    <row r="12" spans="1:105" s="168" customFormat="1" ht="32.450000000000003">
      <c r="A12" s="195"/>
      <c r="B12" s="202"/>
      <c r="C12" s="195"/>
      <c r="D12" s="195"/>
      <c r="E12" s="195"/>
      <c r="F12" s="195"/>
      <c r="G12" s="195"/>
      <c r="H12" s="195"/>
      <c r="I12" s="195"/>
      <c r="J12" s="195"/>
      <c r="K12" s="195"/>
      <c r="L12" s="195"/>
      <c r="M12" s="195"/>
      <c r="N12" s="201"/>
      <c r="O12" s="202"/>
      <c r="P12" s="202"/>
      <c r="Q12" s="202"/>
      <c r="R12" s="202"/>
      <c r="S12" s="202"/>
      <c r="T12" s="202"/>
      <c r="U12" s="195"/>
      <c r="V12" s="195"/>
      <c r="W12" s="195"/>
      <c r="X12" s="195"/>
      <c r="Y12" s="195"/>
      <c r="Z12" s="195"/>
      <c r="AA12" s="195"/>
      <c r="AB12" s="195"/>
      <c r="AC12" s="195"/>
      <c r="AD12" s="195"/>
      <c r="AE12" s="195"/>
      <c r="AF12" s="195"/>
      <c r="AG12" s="195"/>
      <c r="AH12" s="146"/>
      <c r="AI12" s="181"/>
      <c r="AJ12" s="181"/>
      <c r="AK12" s="181"/>
      <c r="AL12" s="181"/>
      <c r="AM12" s="181"/>
      <c r="BB12" s="165"/>
      <c r="BC12" s="165"/>
      <c r="BD12" s="165"/>
      <c r="BE12" s="165"/>
      <c r="BF12" s="165"/>
      <c r="BG12" s="165"/>
      <c r="BH12" s="165"/>
      <c r="BI12" s="165"/>
      <c r="BJ12" s="165"/>
      <c r="BK12" s="165"/>
      <c r="BL12" s="165"/>
      <c r="BM12" s="165"/>
      <c r="BN12" s="165"/>
      <c r="BO12" s="165"/>
      <c r="BP12" s="165"/>
      <c r="BQ12" s="165"/>
      <c r="BR12" s="195"/>
      <c r="BS12" s="195"/>
      <c r="BT12" s="195"/>
      <c r="CJ12" s="165"/>
      <c r="CK12" s="165"/>
      <c r="CL12" s="165"/>
      <c r="CM12" s="165"/>
      <c r="CN12" s="165"/>
      <c r="CO12" s="165"/>
      <c r="CP12" s="165"/>
      <c r="CQ12" s="165"/>
      <c r="CR12" s="165"/>
      <c r="CS12" s="165"/>
      <c r="CT12" s="165"/>
      <c r="CU12" s="165"/>
      <c r="CV12" s="165"/>
      <c r="CW12" s="165"/>
      <c r="CX12" s="165"/>
      <c r="CY12" s="165"/>
      <c r="CZ12" s="165"/>
      <c r="DA12" s="165"/>
    </row>
    <row r="13" spans="1:105" s="168" customFormat="1" ht="32.450000000000003">
      <c r="A13" s="195"/>
      <c r="B13" s="202"/>
      <c r="C13" s="195"/>
      <c r="D13" s="195"/>
      <c r="E13" s="195"/>
      <c r="F13" s="195"/>
      <c r="G13" s="195"/>
      <c r="H13" s="195"/>
      <c r="I13" s="195"/>
      <c r="J13" s="195"/>
      <c r="K13" s="195"/>
      <c r="L13" s="195"/>
      <c r="M13" s="195"/>
      <c r="N13" s="201"/>
      <c r="O13" s="202"/>
      <c r="P13" s="202"/>
      <c r="Q13" s="202"/>
      <c r="R13" s="202"/>
      <c r="S13" s="202"/>
      <c r="T13" s="202"/>
      <c r="U13" s="195"/>
      <c r="V13" s="195"/>
      <c r="W13" s="195"/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46"/>
      <c r="AI13" s="181"/>
      <c r="AJ13" s="181"/>
      <c r="AK13" s="181"/>
      <c r="AL13" s="181"/>
      <c r="AM13" s="181"/>
      <c r="BB13" s="165"/>
      <c r="BC13" s="165"/>
      <c r="BD13" s="165"/>
      <c r="BE13" s="165"/>
      <c r="BF13" s="165"/>
      <c r="BG13" s="165"/>
      <c r="BH13" s="165"/>
      <c r="BI13" s="165"/>
      <c r="BJ13" s="165"/>
      <c r="BK13" s="165"/>
      <c r="BL13" s="165"/>
      <c r="BM13" s="165"/>
      <c r="BN13" s="165"/>
      <c r="BO13" s="165"/>
      <c r="BP13" s="165"/>
      <c r="BQ13" s="165"/>
      <c r="BR13" s="195"/>
      <c r="BS13" s="195"/>
      <c r="BT13" s="195"/>
    </row>
    <row r="14" spans="1:105" s="168" customFormat="1" ht="35.1" customHeight="1">
      <c r="A14" s="195"/>
      <c r="B14" s="202"/>
      <c r="C14" s="195"/>
      <c r="D14" s="195"/>
      <c r="E14" s="195"/>
      <c r="F14" s="195"/>
      <c r="G14" s="195"/>
      <c r="H14" s="195"/>
      <c r="I14" s="195"/>
      <c r="J14" s="195"/>
      <c r="K14" s="195"/>
      <c r="L14" s="195"/>
      <c r="M14" s="195"/>
      <c r="N14" s="201"/>
      <c r="O14" s="202"/>
      <c r="P14" s="202"/>
      <c r="Q14" s="202"/>
      <c r="R14" s="202"/>
      <c r="S14" s="202"/>
      <c r="T14" s="202"/>
      <c r="U14" s="195"/>
      <c r="V14" s="195"/>
      <c r="W14" s="195"/>
      <c r="X14" s="195"/>
      <c r="Y14" s="195"/>
      <c r="Z14" s="195"/>
      <c r="AA14" s="195"/>
      <c r="AB14" s="195"/>
      <c r="AC14" s="195"/>
      <c r="AD14" s="195"/>
      <c r="AE14" s="195"/>
      <c r="AF14" s="195"/>
      <c r="AG14" s="195"/>
      <c r="AH14" s="146"/>
      <c r="AI14" s="181"/>
      <c r="AJ14" s="181"/>
      <c r="AK14" s="181"/>
      <c r="AL14" s="181"/>
      <c r="AM14" s="181"/>
      <c r="BB14" s="165"/>
      <c r="BC14" s="165"/>
      <c r="BD14" s="165"/>
      <c r="BE14" s="165"/>
      <c r="BF14" s="165"/>
      <c r="BG14" s="165"/>
      <c r="BH14" s="165"/>
      <c r="BI14" s="165"/>
      <c r="BJ14" s="165"/>
      <c r="BK14" s="165"/>
      <c r="BL14" s="165"/>
      <c r="BM14" s="165"/>
      <c r="BN14" s="165"/>
      <c r="BO14" s="165"/>
      <c r="BP14" s="165"/>
      <c r="BQ14" s="165"/>
      <c r="BR14" s="195"/>
      <c r="BS14" s="195"/>
      <c r="BT14" s="195"/>
      <c r="CJ14" s="394" t="s">
        <v>0</v>
      </c>
      <c r="CK14" s="395"/>
      <c r="CL14" s="395"/>
      <c r="CM14" s="395"/>
      <c r="CN14" s="395"/>
      <c r="CO14" s="395"/>
      <c r="CP14" s="395"/>
      <c r="CQ14" s="395"/>
      <c r="CR14" s="395"/>
      <c r="CS14" s="395"/>
      <c r="CT14" s="395"/>
      <c r="CU14" s="395"/>
      <c r="CV14" s="395"/>
      <c r="CW14" s="395"/>
      <c r="CX14" s="395"/>
      <c r="CY14" s="395"/>
      <c r="CZ14" s="395"/>
      <c r="DA14" s="395"/>
    </row>
    <row r="15" spans="1:105" s="168" customFormat="1" ht="56.1">
      <c r="A15" s="195"/>
      <c r="B15" s="202"/>
      <c r="C15" s="195"/>
      <c r="D15" s="195"/>
      <c r="E15" s="195"/>
      <c r="F15" s="195"/>
      <c r="G15" s="195"/>
      <c r="H15" s="195"/>
      <c r="I15" s="195"/>
      <c r="J15" s="195"/>
      <c r="K15" s="195"/>
      <c r="L15" s="195"/>
      <c r="M15" s="195"/>
      <c r="N15" s="201"/>
      <c r="O15" s="202">
        <v>18.5</v>
      </c>
      <c r="P15" s="202"/>
      <c r="Q15" s="202"/>
      <c r="R15" s="202">
        <v>18.5</v>
      </c>
      <c r="S15" s="202"/>
      <c r="T15" s="202"/>
      <c r="U15" s="195"/>
      <c r="V15" s="195"/>
      <c r="W15" s="195"/>
      <c r="X15" s="195"/>
      <c r="Y15" s="195"/>
      <c r="Z15" s="195"/>
      <c r="AA15" s="195"/>
      <c r="AB15" s="195"/>
      <c r="AC15" s="195"/>
      <c r="AD15" s="195"/>
      <c r="AE15" s="195"/>
      <c r="AF15" s="195"/>
      <c r="AG15" s="195"/>
      <c r="AH15" s="146"/>
      <c r="AI15" s="181"/>
      <c r="AJ15" s="181"/>
      <c r="AK15" s="181"/>
      <c r="AL15" s="181"/>
      <c r="AM15" s="181"/>
      <c r="BB15" s="165"/>
      <c r="BC15" s="165"/>
      <c r="BD15" s="165"/>
      <c r="BE15" s="165"/>
      <c r="BF15" s="165"/>
      <c r="BG15" s="165"/>
      <c r="BH15" s="165"/>
      <c r="BI15" s="165"/>
      <c r="BJ15" s="165"/>
      <c r="BK15" s="165"/>
      <c r="BL15" s="165"/>
      <c r="BM15" s="165"/>
      <c r="BN15" s="165"/>
      <c r="BO15" s="165"/>
      <c r="BP15" s="165"/>
      <c r="BQ15" s="165"/>
      <c r="BR15" s="195"/>
      <c r="BS15" s="195"/>
      <c r="BT15" s="195"/>
      <c r="CJ15" s="356" t="s">
        <v>1</v>
      </c>
      <c r="CK15" s="356"/>
      <c r="CL15" s="356" t="s">
        <v>2</v>
      </c>
      <c r="CM15" s="356"/>
      <c r="CN15" s="356" t="s">
        <v>3</v>
      </c>
      <c r="CO15" s="356"/>
      <c r="CP15" s="356" t="s">
        <v>4</v>
      </c>
      <c r="CQ15" s="356"/>
      <c r="CR15" s="356" t="s">
        <v>5</v>
      </c>
      <c r="CS15" s="356"/>
      <c r="CT15" s="356" t="s">
        <v>6</v>
      </c>
      <c r="CU15" s="356"/>
      <c r="CV15" s="356" t="s">
        <v>7</v>
      </c>
      <c r="CW15" s="356"/>
      <c r="CX15" s="356" t="s">
        <v>8</v>
      </c>
      <c r="CY15" s="356"/>
      <c r="CZ15" s="356" t="s">
        <v>9</v>
      </c>
      <c r="DA15" s="356"/>
    </row>
    <row r="16" spans="1:105" ht="97.5">
      <c r="A16" s="194" t="s">
        <v>10</v>
      </c>
      <c r="B16" s="200" t="s">
        <v>1040</v>
      </c>
      <c r="C16" s="194" t="s">
        <v>11</v>
      </c>
      <c r="D16" s="194" t="s">
        <v>12</v>
      </c>
      <c r="E16" s="194" t="s">
        <v>13</v>
      </c>
      <c r="F16" s="194" t="s">
        <v>14</v>
      </c>
      <c r="G16" s="194" t="s">
        <v>15</v>
      </c>
      <c r="H16" s="194" t="s">
        <v>16</v>
      </c>
      <c r="I16" s="194" t="s">
        <v>17</v>
      </c>
      <c r="J16" s="194" t="s">
        <v>18</v>
      </c>
      <c r="K16" s="194" t="s">
        <v>19</v>
      </c>
      <c r="L16" s="194" t="s">
        <v>20</v>
      </c>
      <c r="M16" s="194" t="s">
        <v>21</v>
      </c>
      <c r="N16" s="199" t="s">
        <v>1191</v>
      </c>
      <c r="O16" s="200" t="s">
        <v>1192</v>
      </c>
      <c r="P16" s="200" t="s">
        <v>1193</v>
      </c>
      <c r="Q16" s="200" t="s">
        <v>1194</v>
      </c>
      <c r="R16" s="200" t="s">
        <v>669</v>
      </c>
      <c r="S16" s="203" t="s">
        <v>1195</v>
      </c>
      <c r="T16" s="203" t="s">
        <v>27</v>
      </c>
      <c r="U16" s="194" t="s">
        <v>28</v>
      </c>
      <c r="V16" s="194" t="s">
        <v>30</v>
      </c>
      <c r="W16" s="194" t="s">
        <v>1047</v>
      </c>
      <c r="X16" s="194" t="s">
        <v>31</v>
      </c>
      <c r="Y16" s="194" t="s">
        <v>32</v>
      </c>
      <c r="Z16" s="194" t="s">
        <v>33</v>
      </c>
      <c r="AA16" s="194" t="s">
        <v>34</v>
      </c>
      <c r="AB16" s="194" t="s">
        <v>35</v>
      </c>
      <c r="AC16" s="194" t="s">
        <v>36</v>
      </c>
      <c r="AD16" s="194" t="s">
        <v>1048</v>
      </c>
      <c r="AE16" s="194" t="s">
        <v>1049</v>
      </c>
      <c r="AF16" s="194" t="s">
        <v>38</v>
      </c>
      <c r="AG16" s="194" t="s">
        <v>39</v>
      </c>
      <c r="AH16" s="146"/>
      <c r="AI16" s="176" t="s">
        <v>30</v>
      </c>
      <c r="AJ16" s="176" t="s">
        <v>31</v>
      </c>
      <c r="AK16" s="176" t="s">
        <v>32</v>
      </c>
      <c r="AL16" s="176" t="s">
        <v>33</v>
      </c>
      <c r="AM16" s="176" t="s">
        <v>272</v>
      </c>
      <c r="BB16" s="162" t="s">
        <v>40</v>
      </c>
      <c r="BC16" s="162" t="s">
        <v>41</v>
      </c>
      <c r="BD16" s="162" t="s">
        <v>42</v>
      </c>
      <c r="BE16" s="162" t="s">
        <v>43</v>
      </c>
      <c r="BF16" s="162" t="s">
        <v>44</v>
      </c>
      <c r="BG16" s="162" t="s">
        <v>45</v>
      </c>
      <c r="BH16" s="162" t="s">
        <v>46</v>
      </c>
      <c r="BI16" s="1" t="s">
        <v>47</v>
      </c>
      <c r="BJ16" s="162" t="s">
        <v>48</v>
      </c>
      <c r="BK16" s="162" t="s">
        <v>49</v>
      </c>
      <c r="BL16" s="162" t="s">
        <v>13</v>
      </c>
      <c r="BM16" s="291" t="s">
        <v>50</v>
      </c>
      <c r="BN16" s="165"/>
      <c r="BO16" s="165"/>
      <c r="BP16" s="165"/>
      <c r="BQ16" s="165"/>
      <c r="BR16" s="321" t="s">
        <v>38</v>
      </c>
      <c r="BS16" s="194" t="s">
        <v>39</v>
      </c>
      <c r="BT16" s="194" t="s">
        <v>53</v>
      </c>
      <c r="CJ16" s="357" t="s">
        <v>54</v>
      </c>
      <c r="CK16" s="357" t="s">
        <v>55</v>
      </c>
      <c r="CL16" s="357" t="s">
        <v>54</v>
      </c>
      <c r="CM16" s="357" t="s">
        <v>55</v>
      </c>
      <c r="CN16" s="357" t="s">
        <v>54</v>
      </c>
      <c r="CO16" s="357" t="s">
        <v>55</v>
      </c>
      <c r="CP16" s="357" t="s">
        <v>54</v>
      </c>
      <c r="CQ16" s="357" t="s">
        <v>55</v>
      </c>
      <c r="CR16" s="357" t="s">
        <v>54</v>
      </c>
      <c r="CS16" s="357" t="s">
        <v>55</v>
      </c>
      <c r="CT16" s="357" t="s">
        <v>54</v>
      </c>
      <c r="CU16" s="357" t="s">
        <v>55</v>
      </c>
      <c r="CV16" s="357" t="s">
        <v>54</v>
      </c>
      <c r="CW16" s="357" t="s">
        <v>55</v>
      </c>
      <c r="CX16" s="357" t="s">
        <v>54</v>
      </c>
      <c r="CY16" s="357" t="s">
        <v>55</v>
      </c>
      <c r="CZ16" s="357" t="s">
        <v>54</v>
      </c>
      <c r="DA16" s="357" t="s">
        <v>55</v>
      </c>
    </row>
    <row r="17" spans="1:105" ht="34.5">
      <c r="A17" s="81">
        <v>1</v>
      </c>
      <c r="B17" s="81">
        <v>2</v>
      </c>
      <c r="C17" s="148">
        <v>46241</v>
      </c>
      <c r="D17" s="81" t="s">
        <v>277</v>
      </c>
      <c r="E17" s="149" t="s">
        <v>191</v>
      </c>
      <c r="F17" s="91">
        <v>7506110696339</v>
      </c>
      <c r="G17" s="81" t="s">
        <v>1196</v>
      </c>
      <c r="H17" s="81" t="s">
        <v>1197</v>
      </c>
      <c r="I17" s="134" t="s">
        <v>60</v>
      </c>
      <c r="J17" s="81" t="s">
        <v>1198</v>
      </c>
      <c r="K17" s="81" t="s">
        <v>1187</v>
      </c>
      <c r="L17" s="81" t="s">
        <v>281</v>
      </c>
      <c r="M17" s="81">
        <v>1</v>
      </c>
      <c r="N17" s="150">
        <v>0.59</v>
      </c>
      <c r="O17" s="150">
        <f>+N17*O15</f>
        <v>10.914999999999999</v>
      </c>
      <c r="P17" s="150">
        <f t="shared" ref="P17:P22" si="0">N17*1.1</f>
        <v>0.64900000000000002</v>
      </c>
      <c r="Q17" s="150"/>
      <c r="R17" s="150">
        <f>+N17*$R$15</f>
        <v>10.914999999999999</v>
      </c>
      <c r="S17" s="150">
        <f t="shared" ref="S17:S26" si="1">N17*0.25</f>
        <v>0.14749999999999999</v>
      </c>
      <c r="T17" s="150">
        <f>(R17+S17)*5.86%</f>
        <v>0.64826250000000007</v>
      </c>
      <c r="U17" s="204">
        <f t="shared" ref="U17:U31" si="2">R17+S17+T17</f>
        <v>11.7107625</v>
      </c>
      <c r="V17" s="88">
        <v>69</v>
      </c>
      <c r="W17" s="150">
        <f t="shared" ref="W17:W31" si="3">+V17/1.16</f>
        <v>59.482758620689658</v>
      </c>
      <c r="X17" s="125">
        <f t="shared" ref="X17:X31" si="4">+W17*0.6</f>
        <v>35.689655172413794</v>
      </c>
      <c r="Y17" s="143">
        <f t="shared" ref="Y17:Y31" si="5">U17/X17</f>
        <v>0.32812764492753621</v>
      </c>
      <c r="Z17" s="152">
        <f t="shared" ref="Z17:Z31" si="6">1-U17/X17</f>
        <v>0.67187235507246379</v>
      </c>
      <c r="AA17" s="153">
        <f t="shared" ref="AA17:AA31" si="7">1-(X17/(V17/1.16))</f>
        <v>0.4</v>
      </c>
      <c r="AB17" s="81" t="s">
        <v>625</v>
      </c>
      <c r="AC17" s="81" t="s">
        <v>99</v>
      </c>
      <c r="AD17" s="81">
        <v>6</v>
      </c>
      <c r="AE17" s="81">
        <v>36</v>
      </c>
      <c r="AF17" s="81"/>
      <c r="AG17" s="81"/>
      <c r="AH17" s="146"/>
      <c r="AI17" s="154">
        <v>69</v>
      </c>
      <c r="AJ17" s="150">
        <f t="shared" ref="AJ17:AJ48" si="8">AI17/1.16</f>
        <v>59.482758620689658</v>
      </c>
      <c r="AK17" s="130">
        <f t="shared" ref="AK17:AK48" si="9">U17/AJ17</f>
        <v>0.19687658695652172</v>
      </c>
      <c r="AL17" s="130">
        <f t="shared" ref="AL17:AL48" si="10">1-(U17/AJ17)</f>
        <v>0.80312341304347834</v>
      </c>
      <c r="AM17" s="33">
        <f t="shared" ref="AM17:AM48" si="11">1-(AJ17/(AI17/1.16))</f>
        <v>0</v>
      </c>
      <c r="BB17" s="3">
        <v>1</v>
      </c>
      <c r="BC17" s="3">
        <v>1</v>
      </c>
      <c r="BD17" s="3"/>
      <c r="BE17" s="3">
        <v>1</v>
      </c>
      <c r="BF17" s="3">
        <v>1</v>
      </c>
      <c r="BG17" s="3"/>
      <c r="BH17" s="3"/>
      <c r="BI17" s="3"/>
      <c r="BJ17" s="3"/>
      <c r="BK17" s="3">
        <v>9</v>
      </c>
      <c r="BL17" s="3">
        <f t="shared" ref="BL17:BL48" si="12">SUM(BB17:BJ17)</f>
        <v>4</v>
      </c>
      <c r="BM17" s="292">
        <f t="shared" ref="BM17:BM48" si="13">+BL17/BK17</f>
        <v>0.44444444444444442</v>
      </c>
      <c r="BN17" s="295"/>
      <c r="BO17" s="295"/>
      <c r="BP17" s="295"/>
      <c r="BQ17" s="295"/>
      <c r="BR17" s="322"/>
      <c r="BS17" s="81">
        <f>+AF17</f>
        <v>0</v>
      </c>
      <c r="BT17" s="81"/>
      <c r="CJ17" s="358">
        <v>45809</v>
      </c>
      <c r="CK17" s="358">
        <v>45809</v>
      </c>
      <c r="CL17" s="278"/>
      <c r="CM17" s="278"/>
      <c r="CN17" s="278"/>
      <c r="CO17" s="278"/>
      <c r="CP17" s="268"/>
      <c r="CQ17" s="268"/>
      <c r="CR17" s="267"/>
      <c r="CS17" s="267"/>
      <c r="CT17" s="267"/>
      <c r="CU17" s="267"/>
      <c r="CV17" s="267"/>
      <c r="CW17" s="267"/>
      <c r="CX17" s="267"/>
      <c r="CY17" s="267"/>
      <c r="CZ17" s="267"/>
      <c r="DA17" s="267"/>
    </row>
    <row r="18" spans="1:105" ht="65.099999999999994">
      <c r="A18" s="81">
        <v>2</v>
      </c>
      <c r="B18" s="81">
        <v>1</v>
      </c>
      <c r="C18" s="148">
        <v>46241</v>
      </c>
      <c r="D18" s="81" t="s">
        <v>277</v>
      </c>
      <c r="E18" s="149" t="s">
        <v>1199</v>
      </c>
      <c r="F18" s="91">
        <v>7506110696346</v>
      </c>
      <c r="G18" s="81" t="s">
        <v>1200</v>
      </c>
      <c r="H18" s="81" t="s">
        <v>1201</v>
      </c>
      <c r="I18" s="134" t="s">
        <v>60</v>
      </c>
      <c r="J18" s="81" t="s">
        <v>508</v>
      </c>
      <c r="K18" s="81" t="s">
        <v>1187</v>
      </c>
      <c r="L18" s="81" t="s">
        <v>281</v>
      </c>
      <c r="M18" s="81">
        <v>1</v>
      </c>
      <c r="N18" s="150">
        <f>1/12</f>
        <v>8.3333333333333329E-2</v>
      </c>
      <c r="O18" s="150">
        <f t="shared" ref="O18:O27" si="14">N18*$O$17</f>
        <v>0.90958333333333319</v>
      </c>
      <c r="P18" s="150">
        <f t="shared" si="0"/>
        <v>9.1666666666666674E-2</v>
      </c>
      <c r="Q18" s="150"/>
      <c r="R18" s="150">
        <f t="shared" ref="R18:R31" si="15">+N18*$R$15</f>
        <v>1.5416666666666665</v>
      </c>
      <c r="S18" s="150">
        <f t="shared" si="1"/>
        <v>2.0833333333333332E-2</v>
      </c>
      <c r="T18" s="150">
        <f>(R18+S18)*7.79%</f>
        <v>0.12171874999999997</v>
      </c>
      <c r="U18" s="204">
        <f t="shared" si="2"/>
        <v>1.6842187499999997</v>
      </c>
      <c r="V18" s="88">
        <v>29</v>
      </c>
      <c r="W18" s="150">
        <f t="shared" si="3"/>
        <v>25</v>
      </c>
      <c r="X18" s="125">
        <f t="shared" si="4"/>
        <v>15</v>
      </c>
      <c r="Y18" s="143">
        <f t="shared" si="5"/>
        <v>0.11228124999999997</v>
      </c>
      <c r="Z18" s="153">
        <f t="shared" si="6"/>
        <v>0.88771875</v>
      </c>
      <c r="AA18" s="153">
        <f t="shared" si="7"/>
        <v>0.4</v>
      </c>
      <c r="AB18" s="81" t="s">
        <v>488</v>
      </c>
      <c r="AC18" s="81" t="s">
        <v>67</v>
      </c>
      <c r="AD18" s="81">
        <v>12</v>
      </c>
      <c r="AE18" s="81">
        <v>480</v>
      </c>
      <c r="AF18" s="81" t="s">
        <v>1202</v>
      </c>
      <c r="AG18" s="81"/>
      <c r="AH18" s="146"/>
      <c r="AI18" s="154">
        <v>19</v>
      </c>
      <c r="AJ18" s="150">
        <f t="shared" si="8"/>
        <v>16.379310344827587</v>
      </c>
      <c r="AK18" s="130">
        <f t="shared" si="9"/>
        <v>0.10282598684210524</v>
      </c>
      <c r="AL18" s="130">
        <f t="shared" si="10"/>
        <v>0.8971740131578948</v>
      </c>
      <c r="AM18" s="33">
        <f t="shared" si="11"/>
        <v>0</v>
      </c>
      <c r="BB18" s="3">
        <v>1</v>
      </c>
      <c r="BC18" s="3">
        <v>1</v>
      </c>
      <c r="BD18" s="3"/>
      <c r="BE18" s="3">
        <v>1</v>
      </c>
      <c r="BF18" s="3">
        <v>1</v>
      </c>
      <c r="BG18" s="3">
        <v>1</v>
      </c>
      <c r="BH18" s="3"/>
      <c r="BI18" s="3"/>
      <c r="BJ18" s="3"/>
      <c r="BK18" s="3">
        <v>9</v>
      </c>
      <c r="BL18" s="3">
        <f t="shared" si="12"/>
        <v>5</v>
      </c>
      <c r="BM18" s="292">
        <f t="shared" si="13"/>
        <v>0.55555555555555558</v>
      </c>
      <c r="BN18" s="295"/>
      <c r="BO18" s="295"/>
      <c r="BP18" s="295"/>
      <c r="BQ18" s="295"/>
      <c r="BR18" s="322"/>
      <c r="BS18" s="81" t="str">
        <f t="shared" ref="BS18:BS76" si="16">+AF18</f>
        <v>Se mandó abierto a licencia</v>
      </c>
      <c r="BT18" s="81" t="s">
        <v>627</v>
      </c>
      <c r="CJ18" s="278"/>
      <c r="CK18" s="278"/>
      <c r="CL18" s="278"/>
      <c r="CM18" s="278"/>
      <c r="CN18" s="278"/>
      <c r="CO18" s="278"/>
      <c r="CP18" s="268"/>
      <c r="CQ18" s="268"/>
      <c r="CR18" s="267"/>
      <c r="CS18" s="267"/>
      <c r="CT18" s="267"/>
      <c r="CU18" s="267"/>
      <c r="CV18" s="267"/>
      <c r="CW18" s="267"/>
      <c r="CX18" s="267"/>
      <c r="CY18" s="267"/>
      <c r="CZ18" s="267"/>
      <c r="DA18" s="267"/>
    </row>
    <row r="19" spans="1:105" ht="65.099999999999994">
      <c r="A19" s="81">
        <v>3</v>
      </c>
      <c r="B19" s="81">
        <v>1</v>
      </c>
      <c r="C19" s="148">
        <v>46241</v>
      </c>
      <c r="D19" s="81" t="s">
        <v>277</v>
      </c>
      <c r="E19" s="149" t="s">
        <v>1199</v>
      </c>
      <c r="F19" s="91">
        <v>7506110696353</v>
      </c>
      <c r="G19" s="81" t="s">
        <v>1203</v>
      </c>
      <c r="H19" s="81" t="s">
        <v>1204</v>
      </c>
      <c r="I19" s="134" t="s">
        <v>60</v>
      </c>
      <c r="J19" s="81" t="s">
        <v>508</v>
      </c>
      <c r="K19" s="81" t="s">
        <v>1187</v>
      </c>
      <c r="L19" s="81" t="s">
        <v>281</v>
      </c>
      <c r="M19" s="81">
        <v>1</v>
      </c>
      <c r="N19" s="150">
        <f>1/12</f>
        <v>8.3333333333333329E-2</v>
      </c>
      <c r="O19" s="150">
        <f t="shared" si="14"/>
        <v>0.90958333333333319</v>
      </c>
      <c r="P19" s="150">
        <f t="shared" si="0"/>
        <v>9.1666666666666674E-2</v>
      </c>
      <c r="Q19" s="150"/>
      <c r="R19" s="150">
        <f t="shared" si="15"/>
        <v>1.5416666666666665</v>
      </c>
      <c r="S19" s="150">
        <f t="shared" si="1"/>
        <v>2.0833333333333332E-2</v>
      </c>
      <c r="T19" s="150">
        <f>(R19+S19)*7.79%</f>
        <v>0.12171874999999997</v>
      </c>
      <c r="U19" s="204">
        <f t="shared" si="2"/>
        <v>1.6842187499999997</v>
      </c>
      <c r="V19" s="88">
        <v>29</v>
      </c>
      <c r="W19" s="150">
        <f t="shared" si="3"/>
        <v>25</v>
      </c>
      <c r="X19" s="125">
        <f t="shared" si="4"/>
        <v>15</v>
      </c>
      <c r="Y19" s="143">
        <f t="shared" si="5"/>
        <v>0.11228124999999997</v>
      </c>
      <c r="Z19" s="153">
        <f t="shared" si="6"/>
        <v>0.88771875</v>
      </c>
      <c r="AA19" s="153">
        <f t="shared" si="7"/>
        <v>0.4</v>
      </c>
      <c r="AB19" s="81" t="s">
        <v>488</v>
      </c>
      <c r="AC19" s="81" t="s">
        <v>67</v>
      </c>
      <c r="AD19" s="81">
        <v>12</v>
      </c>
      <c r="AE19" s="81">
        <v>480</v>
      </c>
      <c r="AF19" s="81" t="s">
        <v>1202</v>
      </c>
      <c r="AG19" s="81"/>
      <c r="AH19" s="146"/>
      <c r="AI19" s="154">
        <v>19</v>
      </c>
      <c r="AJ19" s="150">
        <f t="shared" si="8"/>
        <v>16.379310344827587</v>
      </c>
      <c r="AK19" s="130">
        <f t="shared" si="9"/>
        <v>0.10282598684210524</v>
      </c>
      <c r="AL19" s="130">
        <f t="shared" si="10"/>
        <v>0.8971740131578948</v>
      </c>
      <c r="AM19" s="33">
        <f t="shared" si="11"/>
        <v>0</v>
      </c>
      <c r="BB19" s="3">
        <v>1</v>
      </c>
      <c r="BC19" s="3">
        <v>1</v>
      </c>
      <c r="BD19" s="3"/>
      <c r="BE19" s="3">
        <v>1</v>
      </c>
      <c r="BF19" s="3">
        <v>1</v>
      </c>
      <c r="BG19" s="3">
        <v>1</v>
      </c>
      <c r="BH19" s="3"/>
      <c r="BI19" s="3"/>
      <c r="BJ19" s="3"/>
      <c r="BK19" s="3">
        <v>9</v>
      </c>
      <c r="BL19" s="3">
        <f t="shared" si="12"/>
        <v>5</v>
      </c>
      <c r="BM19" s="292">
        <f t="shared" si="13"/>
        <v>0.55555555555555558</v>
      </c>
      <c r="BN19" s="295"/>
      <c r="BO19" s="295"/>
      <c r="BP19" s="295"/>
      <c r="BQ19" s="295"/>
      <c r="BR19" s="322"/>
      <c r="BS19" s="81" t="str">
        <f t="shared" si="16"/>
        <v>Se mandó abierto a licencia</v>
      </c>
      <c r="BT19" s="81" t="s">
        <v>627</v>
      </c>
      <c r="CJ19" s="278"/>
      <c r="CK19" s="278"/>
      <c r="CL19" s="278"/>
      <c r="CM19" s="278"/>
      <c r="CN19" s="278"/>
      <c r="CO19" s="278"/>
      <c r="CP19" s="268"/>
      <c r="CQ19" s="268"/>
      <c r="CR19" s="267"/>
      <c r="CS19" s="267"/>
      <c r="CT19" s="267"/>
      <c r="CU19" s="267"/>
      <c r="CV19" s="267"/>
      <c r="CW19" s="267"/>
      <c r="CX19" s="267"/>
      <c r="CY19" s="267"/>
      <c r="CZ19" s="267"/>
      <c r="DA19" s="267"/>
    </row>
    <row r="20" spans="1:105" ht="65.099999999999994">
      <c r="A20" s="81">
        <v>4</v>
      </c>
      <c r="B20" s="81">
        <v>1</v>
      </c>
      <c r="C20" s="148">
        <v>46241</v>
      </c>
      <c r="D20" s="81" t="s">
        <v>277</v>
      </c>
      <c r="E20" s="149" t="s">
        <v>1199</v>
      </c>
      <c r="F20" s="91">
        <v>7506110696360</v>
      </c>
      <c r="G20" s="81" t="s">
        <v>1205</v>
      </c>
      <c r="H20" s="81" t="s">
        <v>1206</v>
      </c>
      <c r="I20" s="134" t="s">
        <v>60</v>
      </c>
      <c r="J20" s="81" t="s">
        <v>508</v>
      </c>
      <c r="K20" s="81" t="s">
        <v>1187</v>
      </c>
      <c r="L20" s="81" t="s">
        <v>281</v>
      </c>
      <c r="M20" s="81">
        <v>1</v>
      </c>
      <c r="N20" s="150">
        <f>1/12</f>
        <v>8.3333333333333329E-2</v>
      </c>
      <c r="O20" s="150">
        <f t="shared" si="14"/>
        <v>0.90958333333333319</v>
      </c>
      <c r="P20" s="150">
        <f t="shared" si="0"/>
        <v>9.1666666666666674E-2</v>
      </c>
      <c r="Q20" s="150"/>
      <c r="R20" s="150">
        <f t="shared" si="15"/>
        <v>1.5416666666666665</v>
      </c>
      <c r="S20" s="150">
        <f t="shared" si="1"/>
        <v>2.0833333333333332E-2</v>
      </c>
      <c r="T20" s="150">
        <f>(R20+S20)*7.79%</f>
        <v>0.12171874999999997</v>
      </c>
      <c r="U20" s="204">
        <f t="shared" si="2"/>
        <v>1.6842187499999997</v>
      </c>
      <c r="V20" s="88">
        <v>29</v>
      </c>
      <c r="W20" s="150">
        <f t="shared" si="3"/>
        <v>25</v>
      </c>
      <c r="X20" s="125">
        <f t="shared" si="4"/>
        <v>15</v>
      </c>
      <c r="Y20" s="143">
        <f t="shared" si="5"/>
        <v>0.11228124999999997</v>
      </c>
      <c r="Z20" s="153">
        <f t="shared" si="6"/>
        <v>0.88771875</v>
      </c>
      <c r="AA20" s="153">
        <f t="shared" si="7"/>
        <v>0.4</v>
      </c>
      <c r="AB20" s="81" t="s">
        <v>488</v>
      </c>
      <c r="AC20" s="81" t="s">
        <v>67</v>
      </c>
      <c r="AD20" s="81">
        <v>12</v>
      </c>
      <c r="AE20" s="81">
        <v>480</v>
      </c>
      <c r="AF20" s="81" t="s">
        <v>1202</v>
      </c>
      <c r="AG20" s="81"/>
      <c r="AH20" s="146"/>
      <c r="AI20" s="154">
        <v>19</v>
      </c>
      <c r="AJ20" s="150">
        <f t="shared" si="8"/>
        <v>16.379310344827587</v>
      </c>
      <c r="AK20" s="130">
        <f t="shared" si="9"/>
        <v>0.10282598684210524</v>
      </c>
      <c r="AL20" s="130">
        <f t="shared" si="10"/>
        <v>0.8971740131578948</v>
      </c>
      <c r="AM20" s="33">
        <f t="shared" si="11"/>
        <v>0</v>
      </c>
      <c r="BB20" s="3">
        <v>1</v>
      </c>
      <c r="BC20" s="3">
        <v>1</v>
      </c>
      <c r="BD20" s="3"/>
      <c r="BE20" s="3">
        <v>1</v>
      </c>
      <c r="BF20" s="3">
        <v>1</v>
      </c>
      <c r="BG20" s="3">
        <v>1</v>
      </c>
      <c r="BH20" s="3"/>
      <c r="BI20" s="3"/>
      <c r="BJ20" s="3"/>
      <c r="BK20" s="3">
        <v>9</v>
      </c>
      <c r="BL20" s="3">
        <f t="shared" si="12"/>
        <v>5</v>
      </c>
      <c r="BM20" s="292">
        <f t="shared" si="13"/>
        <v>0.55555555555555558</v>
      </c>
      <c r="BN20" s="295"/>
      <c r="BO20" s="295"/>
      <c r="BP20" s="295"/>
      <c r="BQ20" s="295"/>
      <c r="BR20" s="322"/>
      <c r="BS20" s="81" t="str">
        <f t="shared" si="16"/>
        <v>Se mandó abierto a licencia</v>
      </c>
      <c r="BT20" s="81" t="s">
        <v>627</v>
      </c>
      <c r="CJ20" s="278"/>
      <c r="CK20" s="278"/>
      <c r="CL20" s="278"/>
      <c r="CM20" s="278"/>
      <c r="CN20" s="278"/>
      <c r="CO20" s="278"/>
      <c r="CP20" s="268"/>
      <c r="CQ20" s="268"/>
      <c r="CR20" s="267"/>
      <c r="CS20" s="267"/>
      <c r="CT20" s="267"/>
      <c r="CU20" s="267"/>
      <c r="CV20" s="267"/>
      <c r="CW20" s="267"/>
      <c r="CX20" s="267"/>
      <c r="CY20" s="267"/>
      <c r="CZ20" s="267"/>
      <c r="DA20" s="267"/>
    </row>
    <row r="21" spans="1:105" ht="65.099999999999994">
      <c r="A21" s="81">
        <v>5</v>
      </c>
      <c r="B21" s="81">
        <v>1</v>
      </c>
      <c r="C21" s="148">
        <v>46241</v>
      </c>
      <c r="D21" s="81" t="s">
        <v>277</v>
      </c>
      <c r="E21" s="149" t="s">
        <v>1199</v>
      </c>
      <c r="F21" s="91">
        <v>7506110696377</v>
      </c>
      <c r="G21" s="81" t="s">
        <v>1207</v>
      </c>
      <c r="H21" s="81" t="s">
        <v>1208</v>
      </c>
      <c r="I21" s="134" t="s">
        <v>60</v>
      </c>
      <c r="J21" s="81" t="s">
        <v>508</v>
      </c>
      <c r="K21" s="81" t="s">
        <v>1187</v>
      </c>
      <c r="L21" s="81" t="s">
        <v>281</v>
      </c>
      <c r="M21" s="81">
        <v>1</v>
      </c>
      <c r="N21" s="150">
        <f>1/12</f>
        <v>8.3333333333333329E-2</v>
      </c>
      <c r="O21" s="150">
        <f t="shared" si="14"/>
        <v>0.90958333333333319</v>
      </c>
      <c r="P21" s="150">
        <f t="shared" si="0"/>
        <v>9.1666666666666674E-2</v>
      </c>
      <c r="Q21" s="150"/>
      <c r="R21" s="150">
        <f t="shared" si="15"/>
        <v>1.5416666666666665</v>
      </c>
      <c r="S21" s="150">
        <f t="shared" si="1"/>
        <v>2.0833333333333332E-2</v>
      </c>
      <c r="T21" s="150">
        <f>(R21+S21)*7.79%</f>
        <v>0.12171874999999997</v>
      </c>
      <c r="U21" s="204">
        <f t="shared" si="2"/>
        <v>1.6842187499999997</v>
      </c>
      <c r="V21" s="88">
        <v>29</v>
      </c>
      <c r="W21" s="150">
        <f t="shared" si="3"/>
        <v>25</v>
      </c>
      <c r="X21" s="125">
        <f t="shared" si="4"/>
        <v>15</v>
      </c>
      <c r="Y21" s="143">
        <f t="shared" si="5"/>
        <v>0.11228124999999997</v>
      </c>
      <c r="Z21" s="153">
        <f t="shared" si="6"/>
        <v>0.88771875</v>
      </c>
      <c r="AA21" s="153">
        <f t="shared" si="7"/>
        <v>0.4</v>
      </c>
      <c r="AB21" s="81" t="s">
        <v>488</v>
      </c>
      <c r="AC21" s="81" t="s">
        <v>67</v>
      </c>
      <c r="AD21" s="81">
        <v>12</v>
      </c>
      <c r="AE21" s="81">
        <v>480</v>
      </c>
      <c r="AF21" s="81" t="s">
        <v>1209</v>
      </c>
      <c r="AG21" s="81"/>
      <c r="AH21" s="146"/>
      <c r="AI21" s="154">
        <v>19</v>
      </c>
      <c r="AJ21" s="150">
        <f t="shared" si="8"/>
        <v>16.379310344827587</v>
      </c>
      <c r="AK21" s="130">
        <f t="shared" si="9"/>
        <v>0.10282598684210524</v>
      </c>
      <c r="AL21" s="130">
        <f t="shared" si="10"/>
        <v>0.8971740131578948</v>
      </c>
      <c r="AM21" s="33">
        <f t="shared" si="11"/>
        <v>0</v>
      </c>
      <c r="BB21" s="3">
        <v>1</v>
      </c>
      <c r="BC21" s="3">
        <v>1</v>
      </c>
      <c r="BD21" s="3"/>
      <c r="BE21" s="3">
        <v>1</v>
      </c>
      <c r="BF21" s="3">
        <v>1</v>
      </c>
      <c r="BG21" s="3">
        <v>1</v>
      </c>
      <c r="BH21" s="3"/>
      <c r="BI21" s="3"/>
      <c r="BJ21" s="3"/>
      <c r="BK21" s="3">
        <v>9</v>
      </c>
      <c r="BL21" s="3">
        <f t="shared" si="12"/>
        <v>5</v>
      </c>
      <c r="BM21" s="292">
        <f t="shared" si="13"/>
        <v>0.55555555555555558</v>
      </c>
      <c r="BN21" s="295"/>
      <c r="BO21" s="295"/>
      <c r="BP21" s="295"/>
      <c r="BQ21" s="295"/>
      <c r="BR21" s="322"/>
      <c r="BS21" s="81" t="str">
        <f t="shared" si="16"/>
        <v>En revisión de ajustes</v>
      </c>
      <c r="BT21" s="81" t="s">
        <v>1210</v>
      </c>
      <c r="CJ21" s="278"/>
      <c r="CK21" s="278"/>
      <c r="CL21" s="278"/>
      <c r="CM21" s="278"/>
      <c r="CN21" s="278"/>
      <c r="CO21" s="278"/>
      <c r="CP21" s="268"/>
      <c r="CQ21" s="268"/>
      <c r="CR21" s="267"/>
      <c r="CS21" s="267"/>
      <c r="CT21" s="267"/>
      <c r="CU21" s="267"/>
      <c r="CV21" s="267"/>
      <c r="CW21" s="267"/>
      <c r="CX21" s="267"/>
      <c r="CY21" s="267"/>
      <c r="CZ21" s="267"/>
      <c r="DA21" s="267"/>
    </row>
    <row r="22" spans="1:105" ht="65.099999999999994">
      <c r="A22" s="81">
        <v>6</v>
      </c>
      <c r="B22" s="81">
        <v>1</v>
      </c>
      <c r="C22" s="148">
        <v>46241</v>
      </c>
      <c r="D22" s="81" t="s">
        <v>277</v>
      </c>
      <c r="E22" s="149" t="s">
        <v>1199</v>
      </c>
      <c r="F22" s="91">
        <v>7506110696384</v>
      </c>
      <c r="G22" s="81" t="s">
        <v>1211</v>
      </c>
      <c r="H22" s="81" t="s">
        <v>1212</v>
      </c>
      <c r="I22" s="134" t="s">
        <v>60</v>
      </c>
      <c r="J22" s="81" t="s">
        <v>508</v>
      </c>
      <c r="K22" s="81" t="s">
        <v>1187</v>
      </c>
      <c r="L22" s="81" t="s">
        <v>281</v>
      </c>
      <c r="M22" s="81">
        <v>1</v>
      </c>
      <c r="N22" s="150">
        <f>1/12</f>
        <v>8.3333333333333329E-2</v>
      </c>
      <c r="O22" s="150">
        <f t="shared" si="14"/>
        <v>0.90958333333333319</v>
      </c>
      <c r="P22" s="150">
        <f t="shared" si="0"/>
        <v>9.1666666666666674E-2</v>
      </c>
      <c r="Q22" s="150"/>
      <c r="R22" s="150">
        <f t="shared" si="15"/>
        <v>1.5416666666666665</v>
      </c>
      <c r="S22" s="150">
        <f t="shared" si="1"/>
        <v>2.0833333333333332E-2</v>
      </c>
      <c r="T22" s="150">
        <f>(R22+S22)*7.79%</f>
        <v>0.12171874999999997</v>
      </c>
      <c r="U22" s="204">
        <f t="shared" si="2"/>
        <v>1.6842187499999997</v>
      </c>
      <c r="V22" s="88">
        <v>29</v>
      </c>
      <c r="W22" s="150">
        <f t="shared" si="3"/>
        <v>25</v>
      </c>
      <c r="X22" s="125">
        <f t="shared" si="4"/>
        <v>15</v>
      </c>
      <c r="Y22" s="143">
        <f t="shared" si="5"/>
        <v>0.11228124999999997</v>
      </c>
      <c r="Z22" s="153">
        <f t="shared" si="6"/>
        <v>0.88771875</v>
      </c>
      <c r="AA22" s="153">
        <f t="shared" si="7"/>
        <v>0.4</v>
      </c>
      <c r="AB22" s="81" t="s">
        <v>488</v>
      </c>
      <c r="AC22" s="81" t="s">
        <v>67</v>
      </c>
      <c r="AD22" s="81">
        <v>12</v>
      </c>
      <c r="AE22" s="81">
        <v>480</v>
      </c>
      <c r="AF22" s="81" t="s">
        <v>1209</v>
      </c>
      <c r="AG22" s="81"/>
      <c r="AH22" s="146"/>
      <c r="AI22" s="154">
        <v>19</v>
      </c>
      <c r="AJ22" s="150">
        <f t="shared" si="8"/>
        <v>16.379310344827587</v>
      </c>
      <c r="AK22" s="130">
        <f t="shared" si="9"/>
        <v>0.10282598684210524</v>
      </c>
      <c r="AL22" s="130">
        <f t="shared" si="10"/>
        <v>0.8971740131578948</v>
      </c>
      <c r="AM22" s="33">
        <f t="shared" si="11"/>
        <v>0</v>
      </c>
      <c r="BB22" s="3">
        <v>1</v>
      </c>
      <c r="BC22" s="3">
        <v>1</v>
      </c>
      <c r="BD22" s="3"/>
      <c r="BE22" s="3">
        <v>1</v>
      </c>
      <c r="BF22" s="3">
        <v>1</v>
      </c>
      <c r="BG22" s="3">
        <v>1</v>
      </c>
      <c r="BH22" s="3"/>
      <c r="BI22" s="3"/>
      <c r="BJ22" s="3"/>
      <c r="BK22" s="3">
        <v>9</v>
      </c>
      <c r="BL22" s="3">
        <f t="shared" si="12"/>
        <v>5</v>
      </c>
      <c r="BM22" s="292">
        <f t="shared" si="13"/>
        <v>0.55555555555555558</v>
      </c>
      <c r="BN22" s="295"/>
      <c r="BO22" s="295"/>
      <c r="BP22" s="295"/>
      <c r="BQ22" s="295"/>
      <c r="BR22" s="322"/>
      <c r="BS22" s="81" t="str">
        <f t="shared" si="16"/>
        <v>En revisión de ajustes</v>
      </c>
      <c r="BT22" s="81" t="s">
        <v>1210</v>
      </c>
      <c r="CJ22" s="278"/>
      <c r="CK22" s="278"/>
      <c r="CL22" s="278"/>
      <c r="CM22" s="278"/>
      <c r="CN22" s="278"/>
      <c r="CO22" s="278"/>
      <c r="CP22" s="268"/>
      <c r="CQ22" s="268"/>
      <c r="CR22" s="267"/>
      <c r="CS22" s="267"/>
      <c r="CT22" s="267"/>
      <c r="CU22" s="267"/>
      <c r="CV22" s="267"/>
      <c r="CW22" s="267"/>
      <c r="CX22" s="267"/>
      <c r="CY22" s="267"/>
      <c r="CZ22" s="267"/>
      <c r="DA22" s="267"/>
    </row>
    <row r="23" spans="1:105" ht="65.099999999999994">
      <c r="A23" s="81">
        <v>7</v>
      </c>
      <c r="B23" s="81">
        <v>2</v>
      </c>
      <c r="C23" s="148">
        <v>46241</v>
      </c>
      <c r="D23" s="81" t="s">
        <v>277</v>
      </c>
      <c r="E23" s="149" t="s">
        <v>1213</v>
      </c>
      <c r="F23" s="91">
        <v>7506110696391</v>
      </c>
      <c r="G23" s="81" t="s">
        <v>1214</v>
      </c>
      <c r="H23" s="81" t="s">
        <v>1215</v>
      </c>
      <c r="I23" s="134"/>
      <c r="J23" s="81" t="s">
        <v>1216</v>
      </c>
      <c r="K23" s="81" t="s">
        <v>1187</v>
      </c>
      <c r="L23" s="81" t="s">
        <v>281</v>
      </c>
      <c r="M23" s="81">
        <v>1</v>
      </c>
      <c r="N23" s="150">
        <v>0.78</v>
      </c>
      <c r="O23" s="150">
        <f t="shared" si="14"/>
        <v>8.5137</v>
      </c>
      <c r="P23" s="150" t="e">
        <f>#REF!*1.1</f>
        <v>#REF!</v>
      </c>
      <c r="Q23" s="150"/>
      <c r="R23" s="150">
        <f t="shared" si="15"/>
        <v>14.43</v>
      </c>
      <c r="S23" s="150">
        <f t="shared" si="1"/>
        <v>0.19500000000000001</v>
      </c>
      <c r="T23" s="150">
        <f>(R23+S23)*15.51%</f>
        <v>2.2683374999999999</v>
      </c>
      <c r="U23" s="204">
        <f t="shared" si="2"/>
        <v>16.893337500000001</v>
      </c>
      <c r="V23" s="88">
        <v>149</v>
      </c>
      <c r="W23" s="150">
        <f t="shared" si="3"/>
        <v>128.44827586206898</v>
      </c>
      <c r="X23" s="125">
        <f t="shared" si="4"/>
        <v>77.068965517241381</v>
      </c>
      <c r="Y23" s="143">
        <f t="shared" si="5"/>
        <v>0.21919766778523492</v>
      </c>
      <c r="Z23" s="153">
        <f t="shared" si="6"/>
        <v>0.78080233221476503</v>
      </c>
      <c r="AA23" s="153">
        <f t="shared" si="7"/>
        <v>0.4</v>
      </c>
      <c r="AB23" s="81" t="s">
        <v>625</v>
      </c>
      <c r="AC23" s="81" t="s">
        <v>67</v>
      </c>
      <c r="AD23" s="81">
        <v>4</v>
      </c>
      <c r="AE23" s="81">
        <v>24</v>
      </c>
      <c r="AF23" s="81"/>
      <c r="AG23" s="81"/>
      <c r="AH23" s="146"/>
      <c r="AI23" s="154">
        <v>89</v>
      </c>
      <c r="AJ23" s="150">
        <f t="shared" si="8"/>
        <v>76.724137931034491</v>
      </c>
      <c r="AK23" s="130">
        <f t="shared" si="9"/>
        <v>0.22018282584269663</v>
      </c>
      <c r="AL23" s="130">
        <f t="shared" si="10"/>
        <v>0.77981717415730334</v>
      </c>
      <c r="AM23" s="33">
        <f t="shared" si="11"/>
        <v>0</v>
      </c>
      <c r="BB23" s="3">
        <v>1</v>
      </c>
      <c r="BC23" s="3">
        <v>1</v>
      </c>
      <c r="BD23" s="3"/>
      <c r="BE23" s="3">
        <v>1</v>
      </c>
      <c r="BF23" s="3">
        <v>1</v>
      </c>
      <c r="BG23" s="3"/>
      <c r="BH23" s="3"/>
      <c r="BI23" s="3"/>
      <c r="BJ23" s="3"/>
      <c r="BK23" s="3">
        <v>9</v>
      </c>
      <c r="BL23" s="3">
        <f t="shared" si="12"/>
        <v>4</v>
      </c>
      <c r="BM23" s="292">
        <f t="shared" si="13"/>
        <v>0.44444444444444442</v>
      </c>
      <c r="BN23" s="295"/>
      <c r="BO23" s="295"/>
      <c r="BP23" s="295"/>
      <c r="BQ23" s="295"/>
      <c r="BR23" s="322"/>
      <c r="BS23" s="81">
        <f t="shared" si="16"/>
        <v>0</v>
      </c>
      <c r="BT23" s="81"/>
      <c r="CJ23" s="278"/>
      <c r="CK23" s="278"/>
      <c r="CL23" s="278"/>
      <c r="CM23" s="278"/>
      <c r="CN23" s="278"/>
      <c r="CO23" s="278"/>
      <c r="CP23" s="268"/>
      <c r="CQ23" s="268"/>
      <c r="CR23" s="267"/>
      <c r="CS23" s="267"/>
      <c r="CT23" s="267"/>
      <c r="CU23" s="267"/>
      <c r="CV23" s="267"/>
      <c r="CW23" s="267"/>
      <c r="CX23" s="267"/>
      <c r="CY23" s="267"/>
      <c r="CZ23" s="267"/>
      <c r="DA23" s="267"/>
    </row>
    <row r="24" spans="1:105" ht="65.099999999999994">
      <c r="A24" s="81">
        <v>8</v>
      </c>
      <c r="B24" s="81"/>
      <c r="C24" s="148">
        <v>46241</v>
      </c>
      <c r="D24" s="81" t="s">
        <v>277</v>
      </c>
      <c r="E24" s="149" t="s">
        <v>1213</v>
      </c>
      <c r="F24" s="91" t="s">
        <v>176</v>
      </c>
      <c r="G24" s="81" t="s">
        <v>1217</v>
      </c>
      <c r="H24" s="81" t="s">
        <v>1215</v>
      </c>
      <c r="I24" s="134"/>
      <c r="J24" s="81" t="s">
        <v>1216</v>
      </c>
      <c r="K24" s="81" t="s">
        <v>1187</v>
      </c>
      <c r="L24" s="81" t="s">
        <v>281</v>
      </c>
      <c r="M24" s="81">
        <v>1</v>
      </c>
      <c r="N24" s="150">
        <v>0.78</v>
      </c>
      <c r="O24" s="150">
        <f t="shared" si="14"/>
        <v>8.5137</v>
      </c>
      <c r="P24" s="150" t="e">
        <f>#REF!*1.1</f>
        <v>#REF!</v>
      </c>
      <c r="Q24" s="150"/>
      <c r="R24" s="150">
        <f t="shared" si="15"/>
        <v>14.43</v>
      </c>
      <c r="S24" s="150">
        <f t="shared" si="1"/>
        <v>0.19500000000000001</v>
      </c>
      <c r="T24" s="150">
        <f>(R24+S24)*15.51%</f>
        <v>2.2683374999999999</v>
      </c>
      <c r="U24" s="204">
        <f t="shared" si="2"/>
        <v>16.893337500000001</v>
      </c>
      <c r="V24" s="88">
        <v>149</v>
      </c>
      <c r="W24" s="150">
        <f t="shared" si="3"/>
        <v>128.44827586206898</v>
      </c>
      <c r="X24" s="125">
        <f t="shared" si="4"/>
        <v>77.068965517241381</v>
      </c>
      <c r="Y24" s="143">
        <f t="shared" si="5"/>
        <v>0.21919766778523492</v>
      </c>
      <c r="Z24" s="153">
        <f t="shared" si="6"/>
        <v>0.78080233221476503</v>
      </c>
      <c r="AA24" s="153">
        <f t="shared" si="7"/>
        <v>0.4</v>
      </c>
      <c r="AB24" s="81" t="s">
        <v>625</v>
      </c>
      <c r="AC24" s="81" t="s">
        <v>67</v>
      </c>
      <c r="AD24" s="81">
        <v>4</v>
      </c>
      <c r="AE24" s="81">
        <v>24</v>
      </c>
      <c r="AF24" s="81"/>
      <c r="AG24" s="81"/>
      <c r="AH24" s="146"/>
      <c r="AI24" s="154">
        <v>89</v>
      </c>
      <c r="AJ24" s="150">
        <f t="shared" si="8"/>
        <v>76.724137931034491</v>
      </c>
      <c r="AK24" s="130">
        <f t="shared" si="9"/>
        <v>0.22018282584269663</v>
      </c>
      <c r="AL24" s="130">
        <f t="shared" si="10"/>
        <v>0.77981717415730334</v>
      </c>
      <c r="AM24" s="33">
        <f t="shared" si="11"/>
        <v>0</v>
      </c>
      <c r="BB24" s="3">
        <v>1</v>
      </c>
      <c r="BC24" s="3">
        <v>1</v>
      </c>
      <c r="BD24" s="3"/>
      <c r="BE24" s="3">
        <v>1</v>
      </c>
      <c r="BF24" s="3">
        <v>1</v>
      </c>
      <c r="BG24" s="3"/>
      <c r="BH24" s="3"/>
      <c r="BI24" s="3"/>
      <c r="BJ24" s="3"/>
      <c r="BK24" s="3">
        <v>9</v>
      </c>
      <c r="BL24" s="3">
        <f t="shared" si="12"/>
        <v>4</v>
      </c>
      <c r="BM24" s="292">
        <f t="shared" si="13"/>
        <v>0.44444444444444442</v>
      </c>
      <c r="BN24" s="295"/>
      <c r="BO24" s="295"/>
      <c r="BP24" s="295"/>
      <c r="BQ24" s="295"/>
      <c r="BR24" s="322"/>
      <c r="BS24" s="81">
        <f t="shared" si="16"/>
        <v>0</v>
      </c>
      <c r="BT24" s="81"/>
      <c r="CJ24" s="278"/>
      <c r="CK24" s="278"/>
      <c r="CL24" s="278"/>
      <c r="CM24" s="278"/>
      <c r="CN24" s="278"/>
      <c r="CO24" s="278"/>
      <c r="CP24" s="268"/>
      <c r="CQ24" s="268"/>
      <c r="CR24" s="267"/>
      <c r="CS24" s="267"/>
      <c r="CT24" s="267"/>
      <c r="CU24" s="267"/>
      <c r="CV24" s="267"/>
      <c r="CW24" s="267"/>
      <c r="CX24" s="267"/>
      <c r="CY24" s="267"/>
      <c r="CZ24" s="267"/>
      <c r="DA24" s="267"/>
    </row>
    <row r="25" spans="1:105" ht="65.099999999999994">
      <c r="A25" s="81">
        <v>9</v>
      </c>
      <c r="B25" s="81">
        <v>1</v>
      </c>
      <c r="C25" s="148">
        <v>46241</v>
      </c>
      <c r="D25" s="81" t="s">
        <v>277</v>
      </c>
      <c r="E25" s="149" t="s">
        <v>1218</v>
      </c>
      <c r="F25" s="91">
        <v>7506110696407</v>
      </c>
      <c r="G25" s="81" t="s">
        <v>1219</v>
      </c>
      <c r="H25" s="81" t="s">
        <v>1220</v>
      </c>
      <c r="I25" s="134" t="s">
        <v>60</v>
      </c>
      <c r="J25" s="81" t="s">
        <v>492</v>
      </c>
      <c r="K25" s="81" t="s">
        <v>1187</v>
      </c>
      <c r="L25" s="81" t="s">
        <v>281</v>
      </c>
      <c r="M25" s="81">
        <v>1</v>
      </c>
      <c r="N25" s="150">
        <v>0.6</v>
      </c>
      <c r="O25" s="150">
        <f t="shared" si="14"/>
        <v>6.5489999999999995</v>
      </c>
      <c r="P25" s="150">
        <f>N25*1.1</f>
        <v>0.66</v>
      </c>
      <c r="Q25" s="150"/>
      <c r="R25" s="150">
        <f t="shared" si="15"/>
        <v>11.1</v>
      </c>
      <c r="S25" s="150">
        <f t="shared" si="1"/>
        <v>0.15</v>
      </c>
      <c r="T25" s="150">
        <f>(R25+S25)*11.78%</f>
        <v>1.3252499999999998</v>
      </c>
      <c r="U25" s="204">
        <f t="shared" si="2"/>
        <v>12.57525</v>
      </c>
      <c r="V25" s="88">
        <v>199</v>
      </c>
      <c r="W25" s="150">
        <f t="shared" si="3"/>
        <v>171.55172413793105</v>
      </c>
      <c r="X25" s="125">
        <f t="shared" si="4"/>
        <v>102.93103448275862</v>
      </c>
      <c r="Y25" s="143">
        <f t="shared" si="5"/>
        <v>0.12217160804020101</v>
      </c>
      <c r="Z25" s="153">
        <f t="shared" si="6"/>
        <v>0.877828391959799</v>
      </c>
      <c r="AA25" s="153">
        <f t="shared" si="7"/>
        <v>0.4</v>
      </c>
      <c r="AB25" s="81" t="s">
        <v>488</v>
      </c>
      <c r="AC25" s="81" t="s">
        <v>67</v>
      </c>
      <c r="AD25" s="81">
        <v>4</v>
      </c>
      <c r="AE25" s="81">
        <v>48</v>
      </c>
      <c r="AF25" s="81" t="s">
        <v>1209</v>
      </c>
      <c r="AG25" s="81"/>
      <c r="AH25" s="146"/>
      <c r="AI25" s="154">
        <v>119</v>
      </c>
      <c r="AJ25" s="150">
        <f t="shared" si="8"/>
        <v>102.58620689655173</v>
      </c>
      <c r="AK25" s="130">
        <f t="shared" si="9"/>
        <v>0.12258226890756302</v>
      </c>
      <c r="AL25" s="130">
        <f t="shared" si="10"/>
        <v>0.87741773109243693</v>
      </c>
      <c r="AM25" s="33">
        <f t="shared" si="11"/>
        <v>0</v>
      </c>
      <c r="BB25" s="3">
        <v>1</v>
      </c>
      <c r="BC25" s="3">
        <v>1</v>
      </c>
      <c r="BD25" s="3"/>
      <c r="BE25" s="3">
        <v>1</v>
      </c>
      <c r="BF25" s="3">
        <v>1</v>
      </c>
      <c r="BG25" s="3">
        <v>1</v>
      </c>
      <c r="BH25" s="3"/>
      <c r="BI25" s="3"/>
      <c r="BJ25" s="3"/>
      <c r="BK25" s="3">
        <v>9</v>
      </c>
      <c r="BL25" s="3">
        <f t="shared" si="12"/>
        <v>5</v>
      </c>
      <c r="BM25" s="292">
        <f t="shared" si="13"/>
        <v>0.55555555555555558</v>
      </c>
      <c r="BN25" s="295"/>
      <c r="BO25" s="295"/>
      <c r="BP25" s="295"/>
      <c r="BQ25" s="295"/>
      <c r="BR25" s="322"/>
      <c r="BS25" s="81" t="str">
        <f t="shared" si="16"/>
        <v>En revisión de ajustes</v>
      </c>
      <c r="BT25" s="81" t="s">
        <v>1210</v>
      </c>
      <c r="CJ25" s="278"/>
      <c r="CK25" s="278"/>
      <c r="CL25" s="278"/>
      <c r="CM25" s="278"/>
      <c r="CN25" s="278"/>
      <c r="CO25" s="278"/>
      <c r="CP25" s="268"/>
      <c r="CQ25" s="268"/>
      <c r="CR25" s="267"/>
      <c r="CS25" s="267"/>
      <c r="CT25" s="267"/>
      <c r="CU25" s="267"/>
      <c r="CV25" s="267"/>
      <c r="CW25" s="267"/>
      <c r="CX25" s="267"/>
      <c r="CY25" s="267"/>
      <c r="CZ25" s="267"/>
      <c r="DA25" s="267"/>
    </row>
    <row r="26" spans="1:105" ht="65.099999999999994">
      <c r="A26" s="81">
        <v>10</v>
      </c>
      <c r="B26" s="81">
        <v>1</v>
      </c>
      <c r="C26" s="148">
        <v>46241</v>
      </c>
      <c r="D26" s="81" t="s">
        <v>277</v>
      </c>
      <c r="E26" s="149" t="s">
        <v>1218</v>
      </c>
      <c r="F26" s="91">
        <v>7506110696414</v>
      </c>
      <c r="G26" s="81" t="s">
        <v>1221</v>
      </c>
      <c r="H26" s="81" t="s">
        <v>1222</v>
      </c>
      <c r="I26" s="134" t="s">
        <v>60</v>
      </c>
      <c r="J26" s="81" t="s">
        <v>492</v>
      </c>
      <c r="K26" s="81" t="s">
        <v>1187</v>
      </c>
      <c r="L26" s="81" t="s">
        <v>281</v>
      </c>
      <c r="M26" s="81">
        <v>1</v>
      </c>
      <c r="N26" s="150">
        <v>0.6</v>
      </c>
      <c r="O26" s="150">
        <f t="shared" si="14"/>
        <v>6.5489999999999995</v>
      </c>
      <c r="P26" s="150">
        <f>N26*1.1</f>
        <v>0.66</v>
      </c>
      <c r="Q26" s="150"/>
      <c r="R26" s="150">
        <f t="shared" si="15"/>
        <v>11.1</v>
      </c>
      <c r="S26" s="150">
        <f t="shared" si="1"/>
        <v>0.15</v>
      </c>
      <c r="T26" s="150">
        <f>(R26+S26)*11.78%</f>
        <v>1.3252499999999998</v>
      </c>
      <c r="U26" s="204">
        <f t="shared" si="2"/>
        <v>12.57525</v>
      </c>
      <c r="V26" s="88">
        <v>199</v>
      </c>
      <c r="W26" s="150">
        <f t="shared" si="3"/>
        <v>171.55172413793105</v>
      </c>
      <c r="X26" s="125">
        <f t="shared" si="4"/>
        <v>102.93103448275862</v>
      </c>
      <c r="Y26" s="143">
        <f t="shared" si="5"/>
        <v>0.12217160804020101</v>
      </c>
      <c r="Z26" s="153">
        <f t="shared" si="6"/>
        <v>0.877828391959799</v>
      </c>
      <c r="AA26" s="153">
        <f t="shared" si="7"/>
        <v>0.4</v>
      </c>
      <c r="AB26" s="81" t="s">
        <v>488</v>
      </c>
      <c r="AC26" s="81" t="s">
        <v>67</v>
      </c>
      <c r="AD26" s="81">
        <v>4</v>
      </c>
      <c r="AE26" s="81">
        <v>48</v>
      </c>
      <c r="AF26" s="81" t="s">
        <v>1209</v>
      </c>
      <c r="AG26" s="81"/>
      <c r="AH26" s="146"/>
      <c r="AI26" s="154">
        <v>119</v>
      </c>
      <c r="AJ26" s="150">
        <f t="shared" si="8"/>
        <v>102.58620689655173</v>
      </c>
      <c r="AK26" s="130">
        <f t="shared" si="9"/>
        <v>0.12258226890756302</v>
      </c>
      <c r="AL26" s="130">
        <f t="shared" si="10"/>
        <v>0.87741773109243693</v>
      </c>
      <c r="AM26" s="33">
        <f t="shared" si="11"/>
        <v>0</v>
      </c>
      <c r="BB26" s="3">
        <v>1</v>
      </c>
      <c r="BC26" s="3">
        <v>1</v>
      </c>
      <c r="BD26" s="3"/>
      <c r="BE26" s="3">
        <v>1</v>
      </c>
      <c r="BF26" s="3">
        <v>1</v>
      </c>
      <c r="BG26" s="3">
        <v>1</v>
      </c>
      <c r="BH26" s="3"/>
      <c r="BI26" s="3"/>
      <c r="BJ26" s="3"/>
      <c r="BK26" s="3">
        <v>9</v>
      </c>
      <c r="BL26" s="3">
        <f t="shared" si="12"/>
        <v>5</v>
      </c>
      <c r="BM26" s="292">
        <f t="shared" si="13"/>
        <v>0.55555555555555558</v>
      </c>
      <c r="BN26" s="295"/>
      <c r="BO26" s="295"/>
      <c r="BP26" s="295"/>
      <c r="BQ26" s="295"/>
      <c r="BR26" s="322"/>
      <c r="BS26" s="81" t="str">
        <f t="shared" si="16"/>
        <v>En revisión de ajustes</v>
      </c>
      <c r="BT26" s="81" t="s">
        <v>1210</v>
      </c>
      <c r="CJ26" s="278"/>
      <c r="CK26" s="278"/>
      <c r="CL26" s="278"/>
      <c r="CM26" s="278"/>
      <c r="CN26" s="278"/>
      <c r="CO26" s="278"/>
      <c r="CP26" s="268"/>
      <c r="CQ26" s="268"/>
      <c r="CR26" s="267"/>
      <c r="CS26" s="267"/>
      <c r="CT26" s="267"/>
      <c r="CU26" s="267"/>
      <c r="CV26" s="267"/>
      <c r="CW26" s="267"/>
      <c r="CX26" s="267"/>
      <c r="CY26" s="267"/>
      <c r="CZ26" s="267"/>
      <c r="DA26" s="267"/>
    </row>
    <row r="27" spans="1:105" ht="65.099999999999994">
      <c r="A27" s="81">
        <v>11</v>
      </c>
      <c r="B27" s="81">
        <v>1</v>
      </c>
      <c r="C27" s="148">
        <v>46241</v>
      </c>
      <c r="D27" s="81" t="s">
        <v>277</v>
      </c>
      <c r="E27" s="149" t="s">
        <v>1218</v>
      </c>
      <c r="F27" s="91">
        <v>7506110696421</v>
      </c>
      <c r="G27" s="81" t="s">
        <v>1223</v>
      </c>
      <c r="H27" s="81" t="s">
        <v>1224</v>
      </c>
      <c r="I27" s="134" t="s">
        <v>60</v>
      </c>
      <c r="J27" s="81" t="s">
        <v>508</v>
      </c>
      <c r="K27" s="81" t="s">
        <v>1187</v>
      </c>
      <c r="L27" s="81" t="s">
        <v>281</v>
      </c>
      <c r="M27" s="81">
        <v>1</v>
      </c>
      <c r="N27" s="150">
        <v>1.1000000000000001</v>
      </c>
      <c r="O27" s="150">
        <f t="shared" si="14"/>
        <v>12.006500000000001</v>
      </c>
      <c r="P27" s="150">
        <f>N27*1.2</f>
        <v>1.32</v>
      </c>
      <c r="Q27" s="150"/>
      <c r="R27" s="150">
        <f t="shared" si="15"/>
        <v>20.350000000000001</v>
      </c>
      <c r="S27" s="150">
        <f>R27*0.25</f>
        <v>5.0875000000000004</v>
      </c>
      <c r="T27" s="150">
        <f>(R27+S27)*48.41%</f>
        <v>12.314293749999999</v>
      </c>
      <c r="U27" s="204">
        <f t="shared" si="2"/>
        <v>37.751793749999997</v>
      </c>
      <c r="V27" s="88">
        <v>199</v>
      </c>
      <c r="W27" s="150">
        <f t="shared" si="3"/>
        <v>171.55172413793105</v>
      </c>
      <c r="X27" s="125">
        <f t="shared" si="4"/>
        <v>102.93103448275862</v>
      </c>
      <c r="Y27" s="143">
        <f t="shared" si="5"/>
        <v>0.36676784547738689</v>
      </c>
      <c r="Z27" s="153">
        <f t="shared" si="6"/>
        <v>0.63323215452261317</v>
      </c>
      <c r="AA27" s="153">
        <f t="shared" si="7"/>
        <v>0.4</v>
      </c>
      <c r="AB27" s="81" t="s">
        <v>536</v>
      </c>
      <c r="AC27" s="81" t="s">
        <v>67</v>
      </c>
      <c r="AD27" s="81"/>
      <c r="AE27" s="81"/>
      <c r="AF27" s="81"/>
      <c r="AG27" s="81"/>
      <c r="AH27" s="146"/>
      <c r="AI27" s="154">
        <v>119</v>
      </c>
      <c r="AJ27" s="150">
        <f t="shared" si="8"/>
        <v>102.58620689655173</v>
      </c>
      <c r="AK27" s="130">
        <f t="shared" si="9"/>
        <v>0.36800067857142854</v>
      </c>
      <c r="AL27" s="130">
        <f t="shared" si="10"/>
        <v>0.63199932142857151</v>
      </c>
      <c r="AM27" s="33">
        <f t="shared" si="11"/>
        <v>0</v>
      </c>
      <c r="BB27" s="3">
        <v>1</v>
      </c>
      <c r="BC27" s="3">
        <v>1</v>
      </c>
      <c r="BD27" s="3"/>
      <c r="BE27" s="3">
        <v>1</v>
      </c>
      <c r="BF27" s="3">
        <v>1</v>
      </c>
      <c r="BG27" s="3"/>
      <c r="BH27" s="3"/>
      <c r="BI27" s="3"/>
      <c r="BJ27" s="3"/>
      <c r="BK27" s="3">
        <v>9</v>
      </c>
      <c r="BL27" s="3">
        <f t="shared" si="12"/>
        <v>4</v>
      </c>
      <c r="BM27" s="292">
        <f t="shared" si="13"/>
        <v>0.44444444444444442</v>
      </c>
      <c r="BN27" s="295"/>
      <c r="BO27" s="295"/>
      <c r="BP27" s="295"/>
      <c r="BQ27" s="295"/>
      <c r="BR27" s="322"/>
      <c r="BS27" s="81">
        <f t="shared" si="16"/>
        <v>0</v>
      </c>
      <c r="BT27" s="81"/>
      <c r="CJ27" s="278"/>
      <c r="CK27" s="278"/>
      <c r="CL27" s="278"/>
      <c r="CM27" s="278"/>
      <c r="CN27" s="278"/>
      <c r="CO27" s="278"/>
      <c r="CP27" s="268"/>
      <c r="CQ27" s="268"/>
      <c r="CR27" s="267"/>
      <c r="CS27" s="267"/>
      <c r="CT27" s="267"/>
      <c r="CU27" s="267"/>
      <c r="CV27" s="267"/>
      <c r="CW27" s="267"/>
      <c r="CX27" s="267"/>
      <c r="CY27" s="267"/>
      <c r="CZ27" s="267"/>
      <c r="DA27" s="267"/>
    </row>
    <row r="28" spans="1:105" ht="65.099999999999994">
      <c r="A28" s="81">
        <v>12</v>
      </c>
      <c r="B28" s="81">
        <v>1</v>
      </c>
      <c r="C28" s="148">
        <v>46241</v>
      </c>
      <c r="D28" s="81" t="s">
        <v>277</v>
      </c>
      <c r="E28" s="149" t="s">
        <v>1218</v>
      </c>
      <c r="F28" s="91">
        <v>7506110696438</v>
      </c>
      <c r="G28" s="81" t="s">
        <v>1225</v>
      </c>
      <c r="H28" s="81" t="s">
        <v>1226</v>
      </c>
      <c r="I28" s="134"/>
      <c r="J28" s="81" t="s">
        <v>1227</v>
      </c>
      <c r="K28" s="81" t="s">
        <v>1187</v>
      </c>
      <c r="L28" s="81" t="s">
        <v>281</v>
      </c>
      <c r="M28" s="81">
        <v>1</v>
      </c>
      <c r="N28" s="150">
        <v>0.7</v>
      </c>
      <c r="O28" s="150">
        <v>15.09</v>
      </c>
      <c r="P28" s="150">
        <f>N28*1.1</f>
        <v>0.77</v>
      </c>
      <c r="Q28" s="150"/>
      <c r="R28" s="150">
        <f t="shared" si="15"/>
        <v>12.95</v>
      </c>
      <c r="S28" s="150">
        <f>R28*0.25</f>
        <v>3.2374999999999998</v>
      </c>
      <c r="T28" s="150">
        <f>(R28+S28)*12.25%</f>
        <v>1.9829687499999999</v>
      </c>
      <c r="U28" s="204">
        <f t="shared" si="2"/>
        <v>18.170468750000001</v>
      </c>
      <c r="V28" s="88">
        <v>159</v>
      </c>
      <c r="W28" s="150">
        <f t="shared" si="3"/>
        <v>137.06896551724139</v>
      </c>
      <c r="X28" s="125">
        <f t="shared" si="4"/>
        <v>82.24137931034484</v>
      </c>
      <c r="Y28" s="143">
        <f t="shared" si="5"/>
        <v>0.22094071016771485</v>
      </c>
      <c r="Z28" s="153">
        <f t="shared" si="6"/>
        <v>0.77905928983228512</v>
      </c>
      <c r="AA28" s="153">
        <f t="shared" si="7"/>
        <v>0.4</v>
      </c>
      <c r="AB28" s="81" t="s">
        <v>488</v>
      </c>
      <c r="AC28" s="81" t="s">
        <v>67</v>
      </c>
      <c r="AD28" s="81">
        <v>6</v>
      </c>
      <c r="AE28" s="81">
        <v>6</v>
      </c>
      <c r="AF28" s="81"/>
      <c r="AG28" s="81"/>
      <c r="AH28" s="146"/>
      <c r="AI28" s="154">
        <v>120</v>
      </c>
      <c r="AJ28" s="150">
        <f t="shared" si="8"/>
        <v>103.44827586206897</v>
      </c>
      <c r="AK28" s="130">
        <f t="shared" si="9"/>
        <v>0.17564786458333334</v>
      </c>
      <c r="AL28" s="130">
        <f t="shared" si="10"/>
        <v>0.82435213541666663</v>
      </c>
      <c r="AM28" s="33">
        <f t="shared" si="11"/>
        <v>0</v>
      </c>
      <c r="BB28" s="3">
        <v>1</v>
      </c>
      <c r="BC28" s="3">
        <v>1</v>
      </c>
      <c r="BD28" s="3"/>
      <c r="BE28" s="3">
        <v>1</v>
      </c>
      <c r="BF28" s="3">
        <v>1</v>
      </c>
      <c r="BG28" s="3"/>
      <c r="BH28" s="3"/>
      <c r="BI28" s="3"/>
      <c r="BJ28" s="3"/>
      <c r="BK28" s="3">
        <v>9</v>
      </c>
      <c r="BL28" s="3">
        <f t="shared" si="12"/>
        <v>4</v>
      </c>
      <c r="BM28" s="292">
        <f t="shared" si="13"/>
        <v>0.44444444444444442</v>
      </c>
      <c r="BN28" s="295"/>
      <c r="BO28" s="295"/>
      <c r="BP28" s="295"/>
      <c r="BQ28" s="295"/>
      <c r="BR28" s="322"/>
      <c r="BS28" s="81">
        <f t="shared" si="16"/>
        <v>0</v>
      </c>
      <c r="BT28" s="81"/>
      <c r="CJ28" s="278"/>
      <c r="CK28" s="278"/>
      <c r="CL28" s="278"/>
      <c r="CM28" s="278"/>
      <c r="CN28" s="278"/>
      <c r="CO28" s="278"/>
      <c r="CP28" s="268"/>
      <c r="CQ28" s="268"/>
      <c r="CR28" s="267"/>
      <c r="CS28" s="267"/>
      <c r="CT28" s="267"/>
      <c r="CU28" s="267"/>
      <c r="CV28" s="267"/>
      <c r="CW28" s="267"/>
      <c r="CX28" s="267"/>
      <c r="CY28" s="267"/>
      <c r="CZ28" s="267"/>
      <c r="DA28" s="267"/>
    </row>
    <row r="29" spans="1:105" ht="65.099999999999994">
      <c r="A29" s="81">
        <v>13</v>
      </c>
      <c r="B29" s="81">
        <v>1</v>
      </c>
      <c r="C29" s="148">
        <v>46241</v>
      </c>
      <c r="D29" s="81" t="s">
        <v>277</v>
      </c>
      <c r="E29" s="149" t="s">
        <v>1218</v>
      </c>
      <c r="F29" s="91">
        <v>7506110696452</v>
      </c>
      <c r="G29" s="81" t="s">
        <v>1228</v>
      </c>
      <c r="H29" s="81" t="s">
        <v>1229</v>
      </c>
      <c r="I29" s="134" t="s">
        <v>60</v>
      </c>
      <c r="J29" s="81" t="s">
        <v>1230</v>
      </c>
      <c r="K29" s="81" t="s">
        <v>1187</v>
      </c>
      <c r="L29" s="81" t="s">
        <v>281</v>
      </c>
      <c r="M29" s="81">
        <v>1</v>
      </c>
      <c r="N29" s="150">
        <v>0.8</v>
      </c>
      <c r="O29" s="150">
        <f>N29*$O$17</f>
        <v>8.7319999999999993</v>
      </c>
      <c r="P29" s="150">
        <f>N29*1.1</f>
        <v>0.88000000000000012</v>
      </c>
      <c r="Q29" s="150"/>
      <c r="R29" s="150">
        <f t="shared" si="15"/>
        <v>14.8</v>
      </c>
      <c r="S29" s="150">
        <f>R29*0.25</f>
        <v>3.7</v>
      </c>
      <c r="T29" s="150">
        <f>(R29+S29)*7.67%</f>
        <v>1.4189500000000002</v>
      </c>
      <c r="U29" s="204">
        <f t="shared" si="2"/>
        <v>19.918949999999999</v>
      </c>
      <c r="V29" s="88">
        <v>199</v>
      </c>
      <c r="W29" s="150">
        <f t="shared" si="3"/>
        <v>171.55172413793105</v>
      </c>
      <c r="X29" s="125">
        <f t="shared" si="4"/>
        <v>102.93103448275862</v>
      </c>
      <c r="Y29" s="143">
        <f t="shared" si="5"/>
        <v>0.19351743718592965</v>
      </c>
      <c r="Z29" s="153">
        <f t="shared" si="6"/>
        <v>0.80648256281407038</v>
      </c>
      <c r="AA29" s="153">
        <f t="shared" si="7"/>
        <v>0.4</v>
      </c>
      <c r="AB29" s="81" t="s">
        <v>488</v>
      </c>
      <c r="AC29" s="81" t="s">
        <v>67</v>
      </c>
      <c r="AD29" s="81"/>
      <c r="AE29" s="81"/>
      <c r="AF29" s="81"/>
      <c r="AG29" s="81"/>
      <c r="AH29" s="146"/>
      <c r="AI29" s="154">
        <v>119</v>
      </c>
      <c r="AJ29" s="150">
        <f t="shared" si="8"/>
        <v>102.58620689655173</v>
      </c>
      <c r="AK29" s="130">
        <f t="shared" si="9"/>
        <v>0.19416791596638652</v>
      </c>
      <c r="AL29" s="130">
        <f t="shared" si="10"/>
        <v>0.8058320840336135</v>
      </c>
      <c r="AM29" s="33">
        <f t="shared" si="11"/>
        <v>0</v>
      </c>
      <c r="BB29" s="3">
        <v>1</v>
      </c>
      <c r="BC29" s="3">
        <v>1</v>
      </c>
      <c r="BD29" s="3"/>
      <c r="BE29" s="3">
        <v>1</v>
      </c>
      <c r="BF29" s="3">
        <v>1</v>
      </c>
      <c r="BG29" s="3"/>
      <c r="BH29" s="3"/>
      <c r="BI29" s="3"/>
      <c r="BJ29" s="3"/>
      <c r="BK29" s="3">
        <v>9</v>
      </c>
      <c r="BL29" s="3">
        <f t="shared" si="12"/>
        <v>4</v>
      </c>
      <c r="BM29" s="292">
        <f t="shared" si="13"/>
        <v>0.44444444444444442</v>
      </c>
      <c r="BN29" s="295"/>
      <c r="BO29" s="295"/>
      <c r="BP29" s="295"/>
      <c r="BQ29" s="295"/>
      <c r="BR29" s="322"/>
      <c r="BS29" s="81">
        <f t="shared" si="16"/>
        <v>0</v>
      </c>
      <c r="BT29" s="81"/>
      <c r="CJ29" s="278"/>
      <c r="CK29" s="278"/>
      <c r="CL29" s="278"/>
      <c r="CM29" s="278"/>
      <c r="CN29" s="278"/>
      <c r="CO29" s="278"/>
      <c r="CP29" s="268"/>
      <c r="CQ29" s="268"/>
      <c r="CR29" s="267"/>
      <c r="CS29" s="267"/>
      <c r="CT29" s="267"/>
      <c r="CU29" s="267"/>
      <c r="CV29" s="267"/>
      <c r="CW29" s="267"/>
      <c r="CX29" s="267"/>
      <c r="CY29" s="267"/>
      <c r="CZ29" s="267"/>
      <c r="DA29" s="267"/>
    </row>
    <row r="30" spans="1:105" ht="65.099999999999994">
      <c r="A30" s="81">
        <v>14</v>
      </c>
      <c r="B30" s="81">
        <v>1</v>
      </c>
      <c r="C30" s="148">
        <v>46241</v>
      </c>
      <c r="D30" s="81" t="s">
        <v>277</v>
      </c>
      <c r="E30" s="149" t="s">
        <v>1218</v>
      </c>
      <c r="F30" s="91">
        <v>7506110696469</v>
      </c>
      <c r="G30" s="81" t="s">
        <v>1231</v>
      </c>
      <c r="H30" s="81" t="s">
        <v>1232</v>
      </c>
      <c r="I30" s="134" t="s">
        <v>60</v>
      </c>
      <c r="J30" s="81" t="s">
        <v>1233</v>
      </c>
      <c r="K30" s="81" t="s">
        <v>1187</v>
      </c>
      <c r="L30" s="81" t="s">
        <v>281</v>
      </c>
      <c r="M30" s="81">
        <v>1</v>
      </c>
      <c r="N30" s="150">
        <v>0.25</v>
      </c>
      <c r="O30" s="150">
        <f>N30*$O$17</f>
        <v>2.7287499999999998</v>
      </c>
      <c r="P30" s="150">
        <f>N30*1.1</f>
        <v>0.27500000000000002</v>
      </c>
      <c r="Q30" s="150"/>
      <c r="R30" s="150">
        <f t="shared" si="15"/>
        <v>4.625</v>
      </c>
      <c r="S30" s="150">
        <f>R30*0.36</f>
        <v>1.665</v>
      </c>
      <c r="T30" s="150">
        <f>(R30+S30)*24.03%</f>
        <v>1.511487</v>
      </c>
      <c r="U30" s="204">
        <f t="shared" si="2"/>
        <v>7.8014869999999998</v>
      </c>
      <c r="V30" s="88">
        <v>69</v>
      </c>
      <c r="W30" s="150">
        <f t="shared" si="3"/>
        <v>59.482758620689658</v>
      </c>
      <c r="X30" s="125">
        <f t="shared" si="4"/>
        <v>35.689655172413794</v>
      </c>
      <c r="Y30" s="143">
        <f t="shared" si="5"/>
        <v>0.21859238937198067</v>
      </c>
      <c r="Z30" s="153">
        <f t="shared" si="6"/>
        <v>0.78140761062801933</v>
      </c>
      <c r="AA30" s="153">
        <f t="shared" si="7"/>
        <v>0.4</v>
      </c>
      <c r="AB30" s="81" t="s">
        <v>284</v>
      </c>
      <c r="AC30" s="81" t="s">
        <v>67</v>
      </c>
      <c r="AD30" s="81">
        <v>6</v>
      </c>
      <c r="AE30" s="81">
        <v>144</v>
      </c>
      <c r="AF30" s="81"/>
      <c r="AG30" s="81"/>
      <c r="AH30" s="146"/>
      <c r="AI30" s="154">
        <v>39</v>
      </c>
      <c r="AJ30" s="150">
        <f t="shared" si="8"/>
        <v>33.620689655172413</v>
      </c>
      <c r="AK30" s="130">
        <f t="shared" si="9"/>
        <v>0.23204422871794872</v>
      </c>
      <c r="AL30" s="130">
        <f t="shared" si="10"/>
        <v>0.76795577128205128</v>
      </c>
      <c r="AM30" s="33">
        <f t="shared" si="11"/>
        <v>0</v>
      </c>
      <c r="BB30" s="3">
        <v>1</v>
      </c>
      <c r="BC30" s="3">
        <v>1</v>
      </c>
      <c r="BD30" s="3"/>
      <c r="BE30" s="3">
        <v>1</v>
      </c>
      <c r="BF30" s="3">
        <v>1</v>
      </c>
      <c r="BG30" s="3"/>
      <c r="BH30" s="3"/>
      <c r="BI30" s="3"/>
      <c r="BJ30" s="3"/>
      <c r="BK30" s="3">
        <v>9</v>
      </c>
      <c r="BL30" s="3">
        <f t="shared" si="12"/>
        <v>4</v>
      </c>
      <c r="BM30" s="292">
        <f t="shared" si="13"/>
        <v>0.44444444444444442</v>
      </c>
      <c r="BN30" s="295"/>
      <c r="BO30" s="295"/>
      <c r="BP30" s="295"/>
      <c r="BQ30" s="295"/>
      <c r="BR30" s="322"/>
      <c r="BS30" s="81">
        <f t="shared" si="16"/>
        <v>0</v>
      </c>
      <c r="BT30" s="81"/>
      <c r="CJ30" s="278"/>
      <c r="CK30" s="278"/>
      <c r="CL30" s="278"/>
      <c r="CM30" s="278"/>
      <c r="CN30" s="278"/>
      <c r="CO30" s="278"/>
      <c r="CP30" s="268"/>
      <c r="CQ30" s="268"/>
      <c r="CR30" s="267"/>
      <c r="CS30" s="267"/>
      <c r="CT30" s="267"/>
      <c r="CU30" s="267"/>
      <c r="CV30" s="267"/>
      <c r="CW30" s="267"/>
      <c r="CX30" s="267"/>
      <c r="CY30" s="267"/>
      <c r="CZ30" s="267"/>
      <c r="DA30" s="267"/>
    </row>
    <row r="31" spans="1:105" ht="65.099999999999994">
      <c r="A31" s="81">
        <v>15</v>
      </c>
      <c r="B31" s="81">
        <v>1</v>
      </c>
      <c r="C31" s="148">
        <v>46241</v>
      </c>
      <c r="D31" s="81" t="s">
        <v>277</v>
      </c>
      <c r="E31" s="149" t="s">
        <v>1218</v>
      </c>
      <c r="F31" s="91" t="s">
        <v>176</v>
      </c>
      <c r="G31" s="81" t="s">
        <v>1234</v>
      </c>
      <c r="H31" s="81" t="s">
        <v>1235</v>
      </c>
      <c r="I31" s="134"/>
      <c r="J31" s="81" t="s">
        <v>1236</v>
      </c>
      <c r="K31" s="81" t="s">
        <v>1187</v>
      </c>
      <c r="L31" s="81" t="s">
        <v>281</v>
      </c>
      <c r="M31" s="81" t="s">
        <v>1237</v>
      </c>
      <c r="N31" s="150">
        <v>1.4</v>
      </c>
      <c r="O31" s="150">
        <f>N31*$O$17</f>
        <v>15.280999999999997</v>
      </c>
      <c r="P31" s="150">
        <f>N31*1.15</f>
        <v>1.6099999999999999</v>
      </c>
      <c r="Q31" s="150"/>
      <c r="R31" s="150">
        <f t="shared" si="15"/>
        <v>25.9</v>
      </c>
      <c r="S31" s="150">
        <f>R31*0.15</f>
        <v>3.8849999999999998</v>
      </c>
      <c r="T31" s="150">
        <f>(R31+S31)*3.56%</f>
        <v>1.0603459999999998</v>
      </c>
      <c r="U31" s="204">
        <f t="shared" si="2"/>
        <v>30.845345999999996</v>
      </c>
      <c r="V31" s="88">
        <v>149</v>
      </c>
      <c r="W31" s="150">
        <f t="shared" si="3"/>
        <v>128.44827586206898</v>
      </c>
      <c r="X31" s="125">
        <f t="shared" si="4"/>
        <v>77.068965517241381</v>
      </c>
      <c r="Y31" s="143">
        <f t="shared" si="5"/>
        <v>0.40023044026845633</v>
      </c>
      <c r="Z31" s="153">
        <f t="shared" si="6"/>
        <v>0.59976955973154367</v>
      </c>
      <c r="AA31" s="153">
        <f t="shared" si="7"/>
        <v>0.4</v>
      </c>
      <c r="AB31" s="81" t="s">
        <v>536</v>
      </c>
      <c r="AC31" s="81" t="s">
        <v>67</v>
      </c>
      <c r="AD31" s="81"/>
      <c r="AE31" s="81"/>
      <c r="AF31" s="81"/>
      <c r="AG31" s="81"/>
      <c r="AH31" s="146"/>
      <c r="AI31" s="154">
        <v>89</v>
      </c>
      <c r="AJ31" s="150">
        <f t="shared" si="8"/>
        <v>76.724137931034491</v>
      </c>
      <c r="AK31" s="130">
        <f t="shared" si="9"/>
        <v>0.40202922876404484</v>
      </c>
      <c r="AL31" s="130">
        <f t="shared" si="10"/>
        <v>0.59797077123595521</v>
      </c>
      <c r="AM31" s="33">
        <f t="shared" si="11"/>
        <v>0</v>
      </c>
      <c r="BB31" s="3">
        <v>1</v>
      </c>
      <c r="BC31" s="3">
        <v>1</v>
      </c>
      <c r="BD31" s="3"/>
      <c r="BE31" s="3">
        <v>1</v>
      </c>
      <c r="BF31" s="3">
        <v>1</v>
      </c>
      <c r="BG31" s="3"/>
      <c r="BH31" s="3"/>
      <c r="BI31" s="3"/>
      <c r="BJ31" s="3"/>
      <c r="BK31" s="3">
        <v>9</v>
      </c>
      <c r="BL31" s="3">
        <f t="shared" si="12"/>
        <v>4</v>
      </c>
      <c r="BM31" s="292">
        <f t="shared" si="13"/>
        <v>0.44444444444444442</v>
      </c>
      <c r="BN31" s="295"/>
      <c r="BO31" s="295"/>
      <c r="BP31" s="295"/>
      <c r="BQ31" s="295"/>
      <c r="BR31" s="322"/>
      <c r="BS31" s="81">
        <f t="shared" si="16"/>
        <v>0</v>
      </c>
      <c r="BT31" s="81"/>
      <c r="CJ31" s="278"/>
      <c r="CK31" s="278"/>
      <c r="CL31" s="278"/>
      <c r="CM31" s="278"/>
      <c r="CN31" s="278"/>
      <c r="CO31" s="278"/>
      <c r="CP31" s="268"/>
      <c r="CQ31" s="268"/>
      <c r="CR31" s="267"/>
      <c r="CS31" s="267"/>
      <c r="CT31" s="267"/>
      <c r="CU31" s="267"/>
      <c r="CV31" s="267"/>
      <c r="CW31" s="267"/>
      <c r="CX31" s="267"/>
      <c r="CY31" s="267"/>
      <c r="CZ31" s="267"/>
      <c r="DA31" s="267"/>
    </row>
    <row r="32" spans="1:105" ht="65.099999999999994">
      <c r="A32" s="81">
        <v>16</v>
      </c>
      <c r="B32" s="81"/>
      <c r="C32" s="148">
        <v>46241</v>
      </c>
      <c r="D32" s="81" t="s">
        <v>277</v>
      </c>
      <c r="E32" s="149" t="s">
        <v>1218</v>
      </c>
      <c r="F32" s="91" t="s">
        <v>176</v>
      </c>
      <c r="G32" s="81" t="s">
        <v>1238</v>
      </c>
      <c r="H32" s="81" t="s">
        <v>1239</v>
      </c>
      <c r="I32" s="134"/>
      <c r="J32" s="81" t="s">
        <v>1240</v>
      </c>
      <c r="K32" s="81" t="s">
        <v>1187</v>
      </c>
      <c r="L32" s="81" t="s">
        <v>281</v>
      </c>
      <c r="M32" s="81" t="s">
        <v>1237</v>
      </c>
      <c r="N32" s="150"/>
      <c r="O32" s="150"/>
      <c r="P32" s="150"/>
      <c r="Q32" s="150"/>
      <c r="R32" s="150"/>
      <c r="S32" s="150"/>
      <c r="T32" s="150"/>
      <c r="U32" s="204"/>
      <c r="V32" s="88"/>
      <c r="W32" s="150"/>
      <c r="X32" s="125"/>
      <c r="Y32" s="143"/>
      <c r="Z32" s="153"/>
      <c r="AA32" s="153"/>
      <c r="AB32" s="81" t="s">
        <v>536</v>
      </c>
      <c r="AC32" s="81" t="s">
        <v>67</v>
      </c>
      <c r="AD32" s="81"/>
      <c r="AE32" s="81"/>
      <c r="AF32" s="81"/>
      <c r="AG32" s="81"/>
      <c r="AH32" s="146"/>
      <c r="AI32" s="154"/>
      <c r="AJ32" s="150">
        <f t="shared" si="8"/>
        <v>0</v>
      </c>
      <c r="AK32" s="130" t="e">
        <f t="shared" si="9"/>
        <v>#DIV/0!</v>
      </c>
      <c r="AL32" s="130" t="e">
        <f t="shared" si="10"/>
        <v>#DIV/0!</v>
      </c>
      <c r="AM32" s="33" t="e">
        <f t="shared" si="11"/>
        <v>#DIV/0!</v>
      </c>
      <c r="BB32" s="3">
        <v>1</v>
      </c>
      <c r="BC32" s="3">
        <v>1</v>
      </c>
      <c r="BD32" s="3"/>
      <c r="BE32" s="3">
        <v>1</v>
      </c>
      <c r="BF32" s="3">
        <v>1</v>
      </c>
      <c r="BG32" s="3"/>
      <c r="BH32" s="3"/>
      <c r="BI32" s="3"/>
      <c r="BJ32" s="3"/>
      <c r="BK32" s="3">
        <v>9</v>
      </c>
      <c r="BL32" s="3">
        <f t="shared" si="12"/>
        <v>4</v>
      </c>
      <c r="BM32" s="292">
        <f t="shared" si="13"/>
        <v>0.44444444444444442</v>
      </c>
      <c r="BN32" s="295"/>
      <c r="BO32" s="295"/>
      <c r="BP32" s="295"/>
      <c r="BQ32" s="295"/>
      <c r="BR32" s="322"/>
      <c r="BS32" s="81">
        <f t="shared" si="16"/>
        <v>0</v>
      </c>
      <c r="BT32" s="81"/>
      <c r="CJ32" s="278"/>
      <c r="CK32" s="278"/>
      <c r="CL32" s="278"/>
      <c r="CM32" s="278"/>
      <c r="CN32" s="278"/>
      <c r="CO32" s="278"/>
      <c r="CP32" s="268"/>
      <c r="CQ32" s="268"/>
      <c r="CR32" s="267"/>
      <c r="CS32" s="267"/>
      <c r="CT32" s="267"/>
      <c r="CU32" s="267"/>
      <c r="CV32" s="267"/>
      <c r="CW32" s="267"/>
      <c r="CX32" s="267"/>
      <c r="CY32" s="267"/>
      <c r="CZ32" s="267"/>
      <c r="DA32" s="267"/>
    </row>
    <row r="33" spans="1:105" ht="65.099999999999994">
      <c r="A33" s="81">
        <v>17</v>
      </c>
      <c r="B33" s="81">
        <v>1</v>
      </c>
      <c r="C33" s="148">
        <v>46241</v>
      </c>
      <c r="D33" s="81" t="s">
        <v>277</v>
      </c>
      <c r="E33" s="149" t="s">
        <v>1218</v>
      </c>
      <c r="F33" s="91">
        <v>7506110696513</v>
      </c>
      <c r="G33" s="81" t="s">
        <v>1241</v>
      </c>
      <c r="H33" s="81" t="s">
        <v>1242</v>
      </c>
      <c r="I33" s="134"/>
      <c r="J33" s="81" t="s">
        <v>1243</v>
      </c>
      <c r="K33" s="81" t="s">
        <v>1187</v>
      </c>
      <c r="L33" s="81" t="s">
        <v>281</v>
      </c>
      <c r="M33" s="81">
        <v>1</v>
      </c>
      <c r="N33" s="150">
        <v>0.5</v>
      </c>
      <c r="O33" s="150">
        <f>N33*$O$17</f>
        <v>5.4574999999999996</v>
      </c>
      <c r="P33" s="150">
        <f>N33*1.15</f>
        <v>0.57499999999999996</v>
      </c>
      <c r="Q33" s="150"/>
      <c r="R33" s="150">
        <f>N33*$R$18</f>
        <v>0.77083333333333326</v>
      </c>
      <c r="S33" s="150">
        <f>R33*0.15</f>
        <v>0.11562499999999998</v>
      </c>
      <c r="T33" s="150">
        <f>(R33+S33)*54.88%</f>
        <v>0.48648833333333336</v>
      </c>
      <c r="U33" s="204">
        <f>R33+S33+T33</f>
        <v>1.3729466666666665</v>
      </c>
      <c r="V33" s="88">
        <v>79</v>
      </c>
      <c r="W33" s="150">
        <f>+V33/1.16</f>
        <v>68.103448275862078</v>
      </c>
      <c r="X33" s="125">
        <f>+W33*0.6</f>
        <v>40.862068965517246</v>
      </c>
      <c r="Y33" s="143">
        <f>U33/X33</f>
        <v>3.3599538677918421E-2</v>
      </c>
      <c r="Z33" s="153">
        <f>1-U33/X33</f>
        <v>0.96640046132208157</v>
      </c>
      <c r="AA33" s="153">
        <f>1-(X33/(V33/1.16))</f>
        <v>0.4</v>
      </c>
      <c r="AB33" s="81" t="s">
        <v>536</v>
      </c>
      <c r="AC33" s="81" t="s">
        <v>67</v>
      </c>
      <c r="AD33" s="81">
        <v>6</v>
      </c>
      <c r="AE33" s="81">
        <v>48</v>
      </c>
      <c r="AF33" s="81"/>
      <c r="AG33" s="81"/>
      <c r="AH33" s="146"/>
      <c r="AI33" s="154">
        <v>59</v>
      </c>
      <c r="AJ33" s="150">
        <f t="shared" si="8"/>
        <v>50.862068965517246</v>
      </c>
      <c r="AK33" s="130">
        <f t="shared" si="9"/>
        <v>2.6993527683615813E-2</v>
      </c>
      <c r="AL33" s="130">
        <f t="shared" si="10"/>
        <v>0.97300647231638415</v>
      </c>
      <c r="AM33" s="33">
        <f t="shared" si="11"/>
        <v>0</v>
      </c>
      <c r="BB33" s="3">
        <v>1</v>
      </c>
      <c r="BC33" s="3">
        <v>1</v>
      </c>
      <c r="BD33" s="3"/>
      <c r="BE33" s="3">
        <v>1</v>
      </c>
      <c r="BF33" s="3">
        <v>1</v>
      </c>
      <c r="BG33" s="3"/>
      <c r="BH33" s="3"/>
      <c r="BI33" s="3"/>
      <c r="BJ33" s="3"/>
      <c r="BK33" s="3">
        <v>9</v>
      </c>
      <c r="BL33" s="3">
        <f t="shared" si="12"/>
        <v>4</v>
      </c>
      <c r="BM33" s="292">
        <f t="shared" si="13"/>
        <v>0.44444444444444442</v>
      </c>
      <c r="BN33" s="295"/>
      <c r="BO33" s="295"/>
      <c r="BP33" s="295"/>
      <c r="BQ33" s="295"/>
      <c r="BR33" s="322"/>
      <c r="BS33" s="81">
        <f t="shared" si="16"/>
        <v>0</v>
      </c>
      <c r="BT33" s="81"/>
      <c r="CJ33" s="278"/>
      <c r="CK33" s="278"/>
      <c r="CL33" s="278"/>
      <c r="CM33" s="278"/>
      <c r="CN33" s="278"/>
      <c r="CO33" s="278"/>
      <c r="CP33" s="268"/>
      <c r="CQ33" s="268"/>
      <c r="CR33" s="267"/>
      <c r="CS33" s="267"/>
      <c r="CT33" s="267"/>
      <c r="CU33" s="267"/>
      <c r="CV33" s="267"/>
      <c r="CW33" s="267"/>
      <c r="CX33" s="267"/>
      <c r="CY33" s="267"/>
      <c r="CZ33" s="267"/>
      <c r="DA33" s="267"/>
    </row>
    <row r="34" spans="1:105" ht="34.5">
      <c r="A34" s="81">
        <v>18</v>
      </c>
      <c r="B34" s="81">
        <v>2</v>
      </c>
      <c r="C34" s="148">
        <v>46241</v>
      </c>
      <c r="D34" s="81" t="s">
        <v>277</v>
      </c>
      <c r="E34" s="149" t="s">
        <v>537</v>
      </c>
      <c r="F34" s="91">
        <v>7506110696551</v>
      </c>
      <c r="G34" s="81" t="s">
        <v>1244</v>
      </c>
      <c r="H34" s="81" t="s">
        <v>1245</v>
      </c>
      <c r="I34" s="134"/>
      <c r="J34" s="81" t="s">
        <v>1246</v>
      </c>
      <c r="K34" s="81" t="s">
        <v>1187</v>
      </c>
      <c r="L34" s="81" t="s">
        <v>281</v>
      </c>
      <c r="M34" s="81">
        <v>1</v>
      </c>
      <c r="N34" s="150">
        <v>3.3</v>
      </c>
      <c r="O34" s="150">
        <f>N34*$O$17</f>
        <v>36.019499999999994</v>
      </c>
      <c r="P34" s="150">
        <f>N34*1.2</f>
        <v>3.9599999999999995</v>
      </c>
      <c r="Q34" s="150"/>
      <c r="R34" s="150">
        <f>N34*$R$18</f>
        <v>5.0874999999999995</v>
      </c>
      <c r="S34" s="150">
        <f>R34*0.15</f>
        <v>0.76312499999999994</v>
      </c>
      <c r="T34" s="150">
        <f>(R34+S34)*28.56%</f>
        <v>1.6709384999999994</v>
      </c>
      <c r="U34" s="204">
        <f>R34+S34+T34</f>
        <v>7.5215634999999983</v>
      </c>
      <c r="V34" s="88">
        <v>499</v>
      </c>
      <c r="W34" s="150">
        <f>+V34/1.16</f>
        <v>430.17241379310349</v>
      </c>
      <c r="X34" s="125">
        <f>+W34*0.6</f>
        <v>258.10344827586209</v>
      </c>
      <c r="Y34" s="130">
        <f>U34/X34</f>
        <v>2.9141662191048755E-2</v>
      </c>
      <c r="Z34" s="153">
        <f>1-U34/X34</f>
        <v>0.97085833780895125</v>
      </c>
      <c r="AA34" s="155">
        <f>1-(X34/(V34/1.16))</f>
        <v>0.4</v>
      </c>
      <c r="AB34" s="81" t="s">
        <v>536</v>
      </c>
      <c r="AC34" s="81" t="s">
        <v>67</v>
      </c>
      <c r="AD34" s="81">
        <v>6</v>
      </c>
      <c r="AE34" s="81">
        <v>144</v>
      </c>
      <c r="AF34" s="81"/>
      <c r="AG34" s="81"/>
      <c r="AH34" s="146"/>
      <c r="AI34" s="155"/>
      <c r="AJ34" s="150">
        <f t="shared" si="8"/>
        <v>0</v>
      </c>
      <c r="AK34" s="130" t="e">
        <f t="shared" si="9"/>
        <v>#DIV/0!</v>
      </c>
      <c r="AL34" s="130" t="e">
        <f t="shared" si="10"/>
        <v>#DIV/0!</v>
      </c>
      <c r="AM34" s="33" t="e">
        <f t="shared" si="11"/>
        <v>#DIV/0!</v>
      </c>
      <c r="BB34" s="3">
        <v>1</v>
      </c>
      <c r="BC34" s="3">
        <v>1</v>
      </c>
      <c r="BD34" s="3"/>
      <c r="BE34" s="3">
        <v>1</v>
      </c>
      <c r="BF34" s="3">
        <v>1</v>
      </c>
      <c r="BG34" s="3"/>
      <c r="BH34" s="3"/>
      <c r="BI34" s="3"/>
      <c r="BJ34" s="3"/>
      <c r="BK34" s="3">
        <v>9</v>
      </c>
      <c r="BL34" s="3">
        <f t="shared" si="12"/>
        <v>4</v>
      </c>
      <c r="BM34" s="292">
        <f t="shared" si="13"/>
        <v>0.44444444444444442</v>
      </c>
      <c r="BN34" s="295"/>
      <c r="BO34" s="295"/>
      <c r="BP34" s="295"/>
      <c r="BQ34" s="295"/>
      <c r="BR34" s="322"/>
      <c r="BS34" s="81">
        <f t="shared" si="16"/>
        <v>0</v>
      </c>
      <c r="BT34" s="81"/>
      <c r="CJ34" s="278"/>
      <c r="CK34" s="278"/>
      <c r="CL34" s="278"/>
      <c r="CM34" s="278"/>
      <c r="CN34" s="278"/>
      <c r="CO34" s="278"/>
      <c r="CP34" s="268"/>
      <c r="CQ34" s="268"/>
      <c r="CR34" s="267"/>
      <c r="CS34" s="267"/>
      <c r="CT34" s="267"/>
      <c r="CU34" s="267"/>
      <c r="CV34" s="267"/>
      <c r="CW34" s="267"/>
      <c r="CX34" s="267"/>
      <c r="CY34" s="267"/>
      <c r="CZ34" s="267"/>
      <c r="DA34" s="267"/>
    </row>
    <row r="35" spans="1:105" ht="34.5">
      <c r="A35" s="81">
        <v>19</v>
      </c>
      <c r="B35" s="81">
        <v>2</v>
      </c>
      <c r="C35" s="148">
        <v>46241</v>
      </c>
      <c r="D35" s="81" t="s">
        <v>277</v>
      </c>
      <c r="E35" s="149" t="s">
        <v>537</v>
      </c>
      <c r="F35" s="91">
        <v>7506110696568</v>
      </c>
      <c r="G35" s="81" t="s">
        <v>1247</v>
      </c>
      <c r="H35" s="81" t="s">
        <v>1248</v>
      </c>
      <c r="I35" s="134"/>
      <c r="J35" s="81" t="s">
        <v>1249</v>
      </c>
      <c r="K35" s="81" t="s">
        <v>1187</v>
      </c>
      <c r="L35" s="81" t="s">
        <v>281</v>
      </c>
      <c r="M35" s="81">
        <v>1</v>
      </c>
      <c r="N35" s="150">
        <v>1.05</v>
      </c>
      <c r="O35" s="150">
        <f>N35*$O$17</f>
        <v>11.460749999999999</v>
      </c>
      <c r="P35" s="150">
        <f>N35*1.2</f>
        <v>1.26</v>
      </c>
      <c r="Q35" s="150"/>
      <c r="R35" s="150">
        <f>N35*$R$18</f>
        <v>1.6187499999999999</v>
      </c>
      <c r="S35" s="150">
        <f>R35*0.15</f>
        <v>0.24281249999999999</v>
      </c>
      <c r="T35" s="150">
        <f>(R35+S35)*19.95%</f>
        <v>0.37138171874999992</v>
      </c>
      <c r="U35" s="204">
        <f>R35+S35+T35</f>
        <v>2.2329442187499997</v>
      </c>
      <c r="V35" s="88">
        <v>199</v>
      </c>
      <c r="W35" s="150">
        <f>+V35/1.16</f>
        <v>171.55172413793105</v>
      </c>
      <c r="X35" s="125">
        <f>+W35*0.6</f>
        <v>102.93103448275862</v>
      </c>
      <c r="Y35" s="130">
        <f>U35/X35</f>
        <v>2.1693595425041873E-2</v>
      </c>
      <c r="Z35" s="153">
        <f>1-U35/X35</f>
        <v>0.9783064045749581</v>
      </c>
      <c r="AA35" s="155">
        <f>1-(X35/(V35/1.16))</f>
        <v>0.4</v>
      </c>
      <c r="AB35" s="81" t="s">
        <v>536</v>
      </c>
      <c r="AC35" s="81" t="s">
        <v>67</v>
      </c>
      <c r="AD35" s="81">
        <v>6</v>
      </c>
      <c r="AE35" s="81">
        <v>144</v>
      </c>
      <c r="AF35" s="81"/>
      <c r="AG35" s="81"/>
      <c r="AH35" s="146"/>
      <c r="AI35" s="155"/>
      <c r="AJ35" s="150">
        <f t="shared" si="8"/>
        <v>0</v>
      </c>
      <c r="AK35" s="130" t="e">
        <f t="shared" si="9"/>
        <v>#DIV/0!</v>
      </c>
      <c r="AL35" s="130" t="e">
        <f t="shared" si="10"/>
        <v>#DIV/0!</v>
      </c>
      <c r="AM35" s="33" t="e">
        <f t="shared" si="11"/>
        <v>#DIV/0!</v>
      </c>
      <c r="BB35" s="3">
        <v>1</v>
      </c>
      <c r="BC35" s="3">
        <v>1</v>
      </c>
      <c r="BD35" s="3"/>
      <c r="BE35" s="3">
        <v>1</v>
      </c>
      <c r="BF35" s="3">
        <v>1</v>
      </c>
      <c r="BG35" s="3"/>
      <c r="BH35" s="3"/>
      <c r="BI35" s="3"/>
      <c r="BJ35" s="3"/>
      <c r="BK35" s="3">
        <v>9</v>
      </c>
      <c r="BL35" s="3">
        <f t="shared" si="12"/>
        <v>4</v>
      </c>
      <c r="BM35" s="292">
        <f t="shared" si="13"/>
        <v>0.44444444444444442</v>
      </c>
      <c r="BN35" s="295"/>
      <c r="BO35" s="295"/>
      <c r="BP35" s="295"/>
      <c r="BQ35" s="295"/>
      <c r="BR35" s="322"/>
      <c r="BS35" s="81">
        <f t="shared" si="16"/>
        <v>0</v>
      </c>
      <c r="BT35" s="81"/>
      <c r="CJ35" s="278"/>
      <c r="CK35" s="278"/>
      <c r="CL35" s="278"/>
      <c r="CM35" s="278"/>
      <c r="CN35" s="278"/>
      <c r="CO35" s="278"/>
      <c r="CP35" s="268"/>
      <c r="CQ35" s="268"/>
      <c r="CR35" s="267"/>
      <c r="CS35" s="267"/>
      <c r="CT35" s="267"/>
      <c r="CU35" s="267"/>
      <c r="CV35" s="267"/>
      <c r="CW35" s="267"/>
      <c r="CX35" s="267"/>
      <c r="CY35" s="267"/>
      <c r="CZ35" s="267"/>
      <c r="DA35" s="267"/>
    </row>
    <row r="36" spans="1:105" ht="34.5">
      <c r="A36" s="81">
        <v>20</v>
      </c>
      <c r="B36" s="81">
        <v>2</v>
      </c>
      <c r="C36" s="148">
        <v>46241</v>
      </c>
      <c r="D36" s="81" t="s">
        <v>277</v>
      </c>
      <c r="E36" s="149" t="s">
        <v>1250</v>
      </c>
      <c r="F36" s="91">
        <v>7506110696575</v>
      </c>
      <c r="G36" s="81" t="s">
        <v>1251</v>
      </c>
      <c r="H36" s="81" t="s">
        <v>1252</v>
      </c>
      <c r="I36" s="134" t="s">
        <v>60</v>
      </c>
      <c r="J36" s="81" t="s">
        <v>1243</v>
      </c>
      <c r="K36" s="81" t="s">
        <v>1187</v>
      </c>
      <c r="L36" s="81" t="s">
        <v>281</v>
      </c>
      <c r="M36" s="81">
        <v>1</v>
      </c>
      <c r="N36" s="150">
        <v>0.17</v>
      </c>
      <c r="O36" s="150">
        <f>N36*$O$17</f>
        <v>1.85555</v>
      </c>
      <c r="P36" s="150" t="e">
        <f>#REF!</f>
        <v>#REF!</v>
      </c>
      <c r="Q36" s="150"/>
      <c r="R36" s="150">
        <f>N36*$R$18</f>
        <v>0.26208333333333333</v>
      </c>
      <c r="S36" s="150">
        <f>R36*0.15</f>
        <v>3.93125E-2</v>
      </c>
      <c r="T36" s="150">
        <f>(R36+S36)*46.2%</f>
        <v>0.13924487499999999</v>
      </c>
      <c r="U36" s="204">
        <f>R36+S36+T36</f>
        <v>0.4406407083333333</v>
      </c>
      <c r="V36" s="88">
        <v>39</v>
      </c>
      <c r="W36" s="150">
        <f>+V36/1.16</f>
        <v>33.620689655172413</v>
      </c>
      <c r="X36" s="125">
        <f>+W36*0.6</f>
        <v>20.172413793103448</v>
      </c>
      <c r="Y36" s="143">
        <f>U36/X36</f>
        <v>2.1843727421652418E-2</v>
      </c>
      <c r="Z36" s="153">
        <f>1-U36/X36</f>
        <v>0.97815627257834759</v>
      </c>
      <c r="AA36" s="153">
        <f>1-(X36/(V36/1.16))</f>
        <v>0.4</v>
      </c>
      <c r="AB36" s="81" t="s">
        <v>625</v>
      </c>
      <c r="AC36" s="81" t="s">
        <v>67</v>
      </c>
      <c r="AD36" s="81"/>
      <c r="AE36" s="81"/>
      <c r="AF36" s="81"/>
      <c r="AG36" s="81"/>
      <c r="AH36" s="146"/>
      <c r="AI36" s="154">
        <v>59</v>
      </c>
      <c r="AJ36" s="150">
        <f t="shared" si="8"/>
        <v>50.862068965517246</v>
      </c>
      <c r="AK36" s="130">
        <f t="shared" si="9"/>
        <v>8.6634444350282471E-3</v>
      </c>
      <c r="AL36" s="130">
        <f t="shared" si="10"/>
        <v>0.9913365555649718</v>
      </c>
      <c r="AM36" s="33">
        <f t="shared" si="11"/>
        <v>0</v>
      </c>
      <c r="BB36" s="3">
        <v>1</v>
      </c>
      <c r="BC36" s="3">
        <v>1</v>
      </c>
      <c r="BD36" s="3"/>
      <c r="BE36" s="3">
        <v>1</v>
      </c>
      <c r="BF36" s="3">
        <v>1</v>
      </c>
      <c r="BG36" s="3"/>
      <c r="BH36" s="3"/>
      <c r="BI36" s="3"/>
      <c r="BJ36" s="3"/>
      <c r="BK36" s="3">
        <v>9</v>
      </c>
      <c r="BL36" s="3">
        <f t="shared" si="12"/>
        <v>4</v>
      </c>
      <c r="BM36" s="292">
        <f t="shared" si="13"/>
        <v>0.44444444444444442</v>
      </c>
      <c r="BN36" s="295"/>
      <c r="BO36" s="295"/>
      <c r="BP36" s="295"/>
      <c r="BQ36" s="295"/>
      <c r="BR36" s="322"/>
      <c r="BS36" s="81">
        <f t="shared" si="16"/>
        <v>0</v>
      </c>
      <c r="BT36" s="81"/>
      <c r="CJ36" s="278"/>
      <c r="CK36" s="278"/>
      <c r="CL36" s="278"/>
      <c r="CM36" s="278"/>
      <c r="CN36" s="278"/>
      <c r="CO36" s="278"/>
      <c r="CP36" s="268"/>
      <c r="CQ36" s="268"/>
      <c r="CR36" s="267"/>
      <c r="CS36" s="267"/>
      <c r="CT36" s="267"/>
      <c r="CU36" s="267"/>
      <c r="CV36" s="267"/>
      <c r="CW36" s="267"/>
      <c r="CX36" s="267"/>
      <c r="CY36" s="267"/>
      <c r="CZ36" s="267"/>
      <c r="DA36" s="267"/>
    </row>
    <row r="37" spans="1:105" ht="34.5">
      <c r="A37" s="81">
        <v>21</v>
      </c>
      <c r="B37" s="81"/>
      <c r="C37" s="148">
        <v>46241</v>
      </c>
      <c r="D37" s="81" t="s">
        <v>277</v>
      </c>
      <c r="E37" s="149" t="s">
        <v>1250</v>
      </c>
      <c r="F37" s="91" t="s">
        <v>176</v>
      </c>
      <c r="G37" s="81" t="s">
        <v>1253</v>
      </c>
      <c r="H37" s="81" t="s">
        <v>1254</v>
      </c>
      <c r="I37" s="134"/>
      <c r="J37" s="81" t="s">
        <v>1255</v>
      </c>
      <c r="K37" s="81" t="s">
        <v>1187</v>
      </c>
      <c r="L37" s="81" t="s">
        <v>281</v>
      </c>
      <c r="M37" s="81">
        <v>1</v>
      </c>
      <c r="N37" s="150"/>
      <c r="O37" s="150"/>
      <c r="P37" s="150"/>
      <c r="Q37" s="150"/>
      <c r="R37" s="150"/>
      <c r="S37" s="150">
        <f>R37*0.15</f>
        <v>0</v>
      </c>
      <c r="T37" s="150"/>
      <c r="U37" s="204"/>
      <c r="V37" s="88"/>
      <c r="W37" s="150"/>
      <c r="X37" s="125"/>
      <c r="Y37" s="143"/>
      <c r="Z37" s="153"/>
      <c r="AA37" s="153"/>
      <c r="AB37" s="81" t="s">
        <v>625</v>
      </c>
      <c r="AC37" s="81" t="s">
        <v>67</v>
      </c>
      <c r="AD37" s="81"/>
      <c r="AE37" s="81"/>
      <c r="AF37" s="81"/>
      <c r="AG37" s="81"/>
      <c r="AH37" s="146"/>
      <c r="AI37" s="154"/>
      <c r="AJ37" s="150">
        <f t="shared" si="8"/>
        <v>0</v>
      </c>
      <c r="AK37" s="130" t="e">
        <f t="shared" si="9"/>
        <v>#DIV/0!</v>
      </c>
      <c r="AL37" s="130" t="e">
        <f t="shared" si="10"/>
        <v>#DIV/0!</v>
      </c>
      <c r="AM37" s="33" t="e">
        <f t="shared" si="11"/>
        <v>#DIV/0!</v>
      </c>
      <c r="BB37" s="3">
        <v>1</v>
      </c>
      <c r="BC37" s="3">
        <v>1</v>
      </c>
      <c r="BD37" s="3"/>
      <c r="BE37" s="3">
        <v>1</v>
      </c>
      <c r="BF37" s="3">
        <v>1</v>
      </c>
      <c r="BG37" s="3"/>
      <c r="BH37" s="3"/>
      <c r="BI37" s="3"/>
      <c r="BJ37" s="3"/>
      <c r="BK37" s="3">
        <v>9</v>
      </c>
      <c r="BL37" s="3">
        <f t="shared" si="12"/>
        <v>4</v>
      </c>
      <c r="BM37" s="292">
        <f t="shared" si="13"/>
        <v>0.44444444444444442</v>
      </c>
      <c r="BN37" s="295"/>
      <c r="BO37" s="295"/>
      <c r="BP37" s="295"/>
      <c r="BQ37" s="295"/>
      <c r="BR37" s="322"/>
      <c r="BS37" s="81">
        <f t="shared" si="16"/>
        <v>0</v>
      </c>
      <c r="BT37" s="81"/>
      <c r="CJ37" s="278"/>
      <c r="CK37" s="278"/>
      <c r="CL37" s="278"/>
      <c r="CM37" s="278"/>
      <c r="CN37" s="278"/>
      <c r="CO37" s="278"/>
      <c r="CP37" s="268"/>
      <c r="CQ37" s="268"/>
      <c r="CR37" s="267"/>
      <c r="CS37" s="267"/>
      <c r="CT37" s="267"/>
      <c r="CU37" s="267"/>
      <c r="CV37" s="267"/>
      <c r="CW37" s="267"/>
      <c r="CX37" s="267"/>
      <c r="CY37" s="267"/>
      <c r="CZ37" s="267"/>
      <c r="DA37" s="267"/>
    </row>
    <row r="38" spans="1:105" ht="34.5">
      <c r="A38" s="81">
        <v>22</v>
      </c>
      <c r="B38" s="81"/>
      <c r="C38" s="148">
        <v>46241</v>
      </c>
      <c r="D38" s="81" t="s">
        <v>277</v>
      </c>
      <c r="E38" s="149" t="s">
        <v>1250</v>
      </c>
      <c r="F38" s="91" t="s">
        <v>176</v>
      </c>
      <c r="G38" s="81" t="s">
        <v>1256</v>
      </c>
      <c r="H38" s="81" t="s">
        <v>1257</v>
      </c>
      <c r="I38" s="134"/>
      <c r="J38" s="81" t="s">
        <v>1240</v>
      </c>
      <c r="K38" s="81" t="s">
        <v>1187</v>
      </c>
      <c r="L38" s="81" t="s">
        <v>281</v>
      </c>
      <c r="M38" s="81">
        <v>1</v>
      </c>
      <c r="N38" s="150"/>
      <c r="O38" s="150"/>
      <c r="P38" s="150"/>
      <c r="Q38" s="150"/>
      <c r="R38" s="150"/>
      <c r="S38" s="150"/>
      <c r="T38" s="150"/>
      <c r="U38" s="204"/>
      <c r="V38" s="88"/>
      <c r="W38" s="150"/>
      <c r="X38" s="125"/>
      <c r="Y38" s="143"/>
      <c r="Z38" s="153"/>
      <c r="AA38" s="153"/>
      <c r="AB38" s="81" t="s">
        <v>625</v>
      </c>
      <c r="AC38" s="81" t="s">
        <v>67</v>
      </c>
      <c r="AD38" s="81"/>
      <c r="AE38" s="81"/>
      <c r="AF38" s="81"/>
      <c r="AG38" s="81"/>
      <c r="AH38" s="146"/>
      <c r="AI38" s="154"/>
      <c r="AJ38" s="150">
        <f t="shared" si="8"/>
        <v>0</v>
      </c>
      <c r="AK38" s="130" t="e">
        <f t="shared" si="9"/>
        <v>#DIV/0!</v>
      </c>
      <c r="AL38" s="130" t="e">
        <f t="shared" si="10"/>
        <v>#DIV/0!</v>
      </c>
      <c r="AM38" s="33" t="e">
        <f t="shared" si="11"/>
        <v>#DIV/0!</v>
      </c>
      <c r="BB38" s="3">
        <v>1</v>
      </c>
      <c r="BC38" s="3">
        <v>1</v>
      </c>
      <c r="BD38" s="3"/>
      <c r="BE38" s="3">
        <v>1</v>
      </c>
      <c r="BF38" s="3">
        <v>1</v>
      </c>
      <c r="BG38" s="3"/>
      <c r="BH38" s="3"/>
      <c r="BI38" s="3"/>
      <c r="BJ38" s="3"/>
      <c r="BK38" s="3">
        <v>9</v>
      </c>
      <c r="BL38" s="3">
        <f t="shared" si="12"/>
        <v>4</v>
      </c>
      <c r="BM38" s="292">
        <f t="shared" si="13"/>
        <v>0.44444444444444442</v>
      </c>
      <c r="BN38" s="295"/>
      <c r="BO38" s="295"/>
      <c r="BP38" s="295"/>
      <c r="BQ38" s="295"/>
      <c r="BR38" s="322"/>
      <c r="BS38" s="81">
        <f t="shared" si="16"/>
        <v>0</v>
      </c>
      <c r="BT38" s="81"/>
      <c r="CJ38" s="278"/>
      <c r="CK38" s="278"/>
      <c r="CL38" s="278"/>
      <c r="CM38" s="278"/>
      <c r="CN38" s="278"/>
      <c r="CO38" s="278"/>
      <c r="CP38" s="268"/>
      <c r="CQ38" s="268"/>
      <c r="CR38" s="267"/>
      <c r="CS38" s="267"/>
      <c r="CT38" s="267"/>
      <c r="CU38" s="267"/>
      <c r="CV38" s="267"/>
      <c r="CW38" s="267"/>
      <c r="CX38" s="267"/>
      <c r="CY38" s="267"/>
      <c r="CZ38" s="267"/>
      <c r="DA38" s="267"/>
    </row>
    <row r="39" spans="1:105" ht="34.5">
      <c r="A39" s="81">
        <v>23</v>
      </c>
      <c r="B39" s="81">
        <v>1</v>
      </c>
      <c r="C39" s="148">
        <v>46241</v>
      </c>
      <c r="D39" s="81" t="s">
        <v>277</v>
      </c>
      <c r="E39" s="149" t="s">
        <v>1258</v>
      </c>
      <c r="F39" s="91">
        <v>7506110696629</v>
      </c>
      <c r="G39" s="81" t="s">
        <v>1259</v>
      </c>
      <c r="H39" s="81" t="s">
        <v>1260</v>
      </c>
      <c r="I39" s="156" t="s">
        <v>1261</v>
      </c>
      <c r="J39" s="81" t="s">
        <v>982</v>
      </c>
      <c r="K39" s="81" t="s">
        <v>1187</v>
      </c>
      <c r="L39" s="81" t="s">
        <v>281</v>
      </c>
      <c r="M39" s="81">
        <v>1</v>
      </c>
      <c r="N39" s="150">
        <v>0.25</v>
      </c>
      <c r="O39" s="150">
        <f t="shared" ref="O39:O76" si="17">N39*$O$17</f>
        <v>2.7287499999999998</v>
      </c>
      <c r="P39" s="150">
        <f t="shared" ref="P39:P46" si="18">N39*1.1</f>
        <v>0.27500000000000002</v>
      </c>
      <c r="Q39" s="150"/>
      <c r="R39" s="150">
        <f t="shared" ref="R39:R76" si="19">N39*$R$18</f>
        <v>0.38541666666666663</v>
      </c>
      <c r="S39" s="150">
        <f>R39*0.25</f>
        <v>9.6354166666666657E-2</v>
      </c>
      <c r="T39" s="150">
        <f>(R39+S39)*8.82%</f>
        <v>4.2492187499999994E-2</v>
      </c>
      <c r="U39" s="204">
        <f t="shared" ref="U39:U76" si="20">R39+S39+T39</f>
        <v>0.5242630208333332</v>
      </c>
      <c r="V39" s="88">
        <v>59</v>
      </c>
      <c r="W39" s="150">
        <f t="shared" ref="W39:W76" si="21">+V39/1.16</f>
        <v>50.862068965517246</v>
      </c>
      <c r="X39" s="125">
        <f t="shared" ref="X39:X76" si="22">+W39*0.6</f>
        <v>30.517241379310345</v>
      </c>
      <c r="Y39" s="143">
        <f t="shared" ref="Y39:Y76" si="23">U39/X39</f>
        <v>1.7179240230696793E-2</v>
      </c>
      <c r="Z39" s="152">
        <f t="shared" ref="Z39:Z76" si="24">1-U39/X39</f>
        <v>0.98282075976930316</v>
      </c>
      <c r="AA39" s="153">
        <f t="shared" ref="AA39:AA76" si="25">1-(X39/(V39/1.16))</f>
        <v>0.4</v>
      </c>
      <c r="AB39" s="81" t="s">
        <v>865</v>
      </c>
      <c r="AC39" s="81" t="s">
        <v>67</v>
      </c>
      <c r="AD39" s="81">
        <v>6</v>
      </c>
      <c r="AE39" s="81">
        <v>144</v>
      </c>
      <c r="AF39" s="81"/>
      <c r="AG39" s="81"/>
      <c r="AH39" s="146"/>
      <c r="AI39" s="157">
        <v>39</v>
      </c>
      <c r="AJ39" s="150">
        <f t="shared" si="8"/>
        <v>33.620689655172413</v>
      </c>
      <c r="AK39" s="130">
        <f t="shared" si="9"/>
        <v>1.5593464209401706E-2</v>
      </c>
      <c r="AL39" s="130">
        <f t="shared" si="10"/>
        <v>0.98440653579059834</v>
      </c>
      <c r="AM39" s="33">
        <f t="shared" si="11"/>
        <v>0</v>
      </c>
      <c r="BB39" s="3">
        <v>1</v>
      </c>
      <c r="BC39" s="3">
        <v>1</v>
      </c>
      <c r="BD39" s="3"/>
      <c r="BE39" s="3">
        <v>1</v>
      </c>
      <c r="BF39" s="3">
        <v>1</v>
      </c>
      <c r="BG39" s="3"/>
      <c r="BH39" s="3"/>
      <c r="BI39" s="3"/>
      <c r="BJ39" s="3"/>
      <c r="BK39" s="3">
        <v>9</v>
      </c>
      <c r="BL39" s="3">
        <f t="shared" si="12"/>
        <v>4</v>
      </c>
      <c r="BM39" s="292">
        <f t="shared" si="13"/>
        <v>0.44444444444444442</v>
      </c>
      <c r="BN39" s="295"/>
      <c r="BO39" s="295"/>
      <c r="BP39" s="295"/>
      <c r="BQ39" s="295"/>
      <c r="BR39" s="322"/>
      <c r="BS39" s="81">
        <f t="shared" si="16"/>
        <v>0</v>
      </c>
      <c r="BT39" s="81"/>
      <c r="CJ39" s="278"/>
      <c r="CK39" s="278"/>
      <c r="CL39" s="278"/>
      <c r="CM39" s="278"/>
      <c r="CN39" s="278"/>
      <c r="CO39" s="278"/>
      <c r="CP39" s="268"/>
      <c r="CQ39" s="268"/>
      <c r="CR39" s="267"/>
      <c r="CS39" s="267"/>
      <c r="CT39" s="267"/>
      <c r="CU39" s="267"/>
      <c r="CV39" s="267"/>
      <c r="CW39" s="267"/>
      <c r="CX39" s="267"/>
      <c r="CY39" s="267"/>
      <c r="CZ39" s="267"/>
      <c r="DA39" s="267"/>
    </row>
    <row r="40" spans="1:105" ht="34.5">
      <c r="A40" s="81">
        <v>24</v>
      </c>
      <c r="B40" s="81">
        <v>1</v>
      </c>
      <c r="C40" s="148">
        <v>46241</v>
      </c>
      <c r="D40" s="81" t="s">
        <v>277</v>
      </c>
      <c r="E40" s="149" t="s">
        <v>1258</v>
      </c>
      <c r="F40" s="91" t="s">
        <v>176</v>
      </c>
      <c r="G40" s="81" t="s">
        <v>1262</v>
      </c>
      <c r="H40" s="81" t="s">
        <v>1263</v>
      </c>
      <c r="I40" s="134"/>
      <c r="J40" s="81" t="s">
        <v>982</v>
      </c>
      <c r="K40" s="81" t="s">
        <v>1187</v>
      </c>
      <c r="L40" s="81" t="s">
        <v>281</v>
      </c>
      <c r="M40" s="81">
        <v>1</v>
      </c>
      <c r="N40" s="150">
        <v>0.25</v>
      </c>
      <c r="O40" s="150">
        <f t="shared" si="17"/>
        <v>2.7287499999999998</v>
      </c>
      <c r="P40" s="150">
        <f t="shared" si="18"/>
        <v>0.27500000000000002</v>
      </c>
      <c r="Q40" s="150"/>
      <c r="R40" s="150">
        <f t="shared" si="19"/>
        <v>0.38541666666666663</v>
      </c>
      <c r="S40" s="150">
        <f>R40*0.25</f>
        <v>9.6354166666666657E-2</v>
      </c>
      <c r="T40" s="150">
        <f>(R40+S40)*8.82%</f>
        <v>4.2492187499999994E-2</v>
      </c>
      <c r="U40" s="204">
        <f t="shared" si="20"/>
        <v>0.5242630208333332</v>
      </c>
      <c r="V40" s="88">
        <v>59</v>
      </c>
      <c r="W40" s="150">
        <f t="shared" si="21"/>
        <v>50.862068965517246</v>
      </c>
      <c r="X40" s="125">
        <f t="shared" si="22"/>
        <v>30.517241379310345</v>
      </c>
      <c r="Y40" s="143">
        <f t="shared" si="23"/>
        <v>1.7179240230696793E-2</v>
      </c>
      <c r="Z40" s="153">
        <f t="shared" si="24"/>
        <v>0.98282075976930316</v>
      </c>
      <c r="AA40" s="153">
        <f t="shared" si="25"/>
        <v>0.4</v>
      </c>
      <c r="AB40" s="81" t="s">
        <v>865</v>
      </c>
      <c r="AC40" s="81" t="s">
        <v>67</v>
      </c>
      <c r="AD40" s="81">
        <v>6</v>
      </c>
      <c r="AE40" s="81">
        <v>144</v>
      </c>
      <c r="AF40" s="81"/>
      <c r="AG40" s="81"/>
      <c r="AH40" s="146"/>
      <c r="AI40" s="157">
        <v>39</v>
      </c>
      <c r="AJ40" s="150">
        <f t="shared" si="8"/>
        <v>33.620689655172413</v>
      </c>
      <c r="AK40" s="130">
        <f t="shared" si="9"/>
        <v>1.5593464209401706E-2</v>
      </c>
      <c r="AL40" s="130">
        <f t="shared" si="10"/>
        <v>0.98440653579059834</v>
      </c>
      <c r="AM40" s="33">
        <f t="shared" si="11"/>
        <v>0</v>
      </c>
      <c r="BB40" s="3">
        <v>1</v>
      </c>
      <c r="BC40" s="3">
        <v>1</v>
      </c>
      <c r="BD40" s="3"/>
      <c r="BE40" s="3">
        <v>1</v>
      </c>
      <c r="BF40" s="3">
        <v>1</v>
      </c>
      <c r="BG40" s="3"/>
      <c r="BH40" s="3"/>
      <c r="BI40" s="3"/>
      <c r="BJ40" s="3"/>
      <c r="BK40" s="3">
        <v>9</v>
      </c>
      <c r="BL40" s="3">
        <f t="shared" si="12"/>
        <v>4</v>
      </c>
      <c r="BM40" s="292">
        <f t="shared" si="13"/>
        <v>0.44444444444444442</v>
      </c>
      <c r="BN40" s="295"/>
      <c r="BO40" s="295"/>
      <c r="BP40" s="295"/>
      <c r="BQ40" s="295"/>
      <c r="BR40" s="322"/>
      <c r="BS40" s="81">
        <f t="shared" si="16"/>
        <v>0</v>
      </c>
      <c r="BT40" s="81"/>
      <c r="CJ40" s="278"/>
      <c r="CK40" s="278"/>
      <c r="CL40" s="278"/>
      <c r="CM40" s="278"/>
      <c r="CN40" s="278"/>
      <c r="CO40" s="278"/>
      <c r="CP40" s="268"/>
      <c r="CQ40" s="268"/>
      <c r="CR40" s="267"/>
      <c r="CS40" s="267"/>
      <c r="CT40" s="267"/>
      <c r="CU40" s="267"/>
      <c r="CV40" s="267"/>
      <c r="CW40" s="267"/>
      <c r="CX40" s="267"/>
      <c r="CY40" s="267"/>
      <c r="CZ40" s="267"/>
      <c r="DA40" s="267"/>
    </row>
    <row r="41" spans="1:105" ht="34.5">
      <c r="A41" s="81">
        <v>25</v>
      </c>
      <c r="B41" s="81">
        <v>1</v>
      </c>
      <c r="C41" s="148">
        <v>46241</v>
      </c>
      <c r="D41" s="81" t="s">
        <v>277</v>
      </c>
      <c r="E41" s="149" t="s">
        <v>1258</v>
      </c>
      <c r="F41" s="91" t="s">
        <v>176</v>
      </c>
      <c r="G41" s="81" t="s">
        <v>1264</v>
      </c>
      <c r="H41" s="81" t="s">
        <v>1265</v>
      </c>
      <c r="I41" s="134"/>
      <c r="J41" s="81" t="s">
        <v>982</v>
      </c>
      <c r="K41" s="81" t="s">
        <v>1187</v>
      </c>
      <c r="L41" s="81" t="s">
        <v>281</v>
      </c>
      <c r="M41" s="81">
        <v>1</v>
      </c>
      <c r="N41" s="150">
        <v>0.25</v>
      </c>
      <c r="O41" s="150">
        <f t="shared" si="17"/>
        <v>2.7287499999999998</v>
      </c>
      <c r="P41" s="150">
        <f t="shared" si="18"/>
        <v>0.27500000000000002</v>
      </c>
      <c r="Q41" s="150"/>
      <c r="R41" s="150">
        <f t="shared" si="19"/>
        <v>0.38541666666666663</v>
      </c>
      <c r="S41" s="150">
        <f>R41*0.25</f>
        <v>9.6354166666666657E-2</v>
      </c>
      <c r="T41" s="150">
        <f>(R41+S41)*8.82%</f>
        <v>4.2492187499999994E-2</v>
      </c>
      <c r="U41" s="204">
        <f t="shared" si="20"/>
        <v>0.5242630208333332</v>
      </c>
      <c r="V41" s="88">
        <v>59</v>
      </c>
      <c r="W41" s="150">
        <f t="shared" si="21"/>
        <v>50.862068965517246</v>
      </c>
      <c r="X41" s="125">
        <f t="shared" si="22"/>
        <v>30.517241379310345</v>
      </c>
      <c r="Y41" s="143">
        <f t="shared" si="23"/>
        <v>1.7179240230696793E-2</v>
      </c>
      <c r="Z41" s="153">
        <f t="shared" si="24"/>
        <v>0.98282075976930316</v>
      </c>
      <c r="AA41" s="153">
        <f t="shared" si="25"/>
        <v>0.4</v>
      </c>
      <c r="AB41" s="81" t="s">
        <v>865</v>
      </c>
      <c r="AC41" s="81" t="s">
        <v>67</v>
      </c>
      <c r="AD41" s="81">
        <v>6</v>
      </c>
      <c r="AE41" s="81">
        <v>144</v>
      </c>
      <c r="AF41" s="81"/>
      <c r="AG41" s="81"/>
      <c r="AH41" s="146"/>
      <c r="AI41" s="157">
        <v>39</v>
      </c>
      <c r="AJ41" s="150">
        <f t="shared" si="8"/>
        <v>33.620689655172413</v>
      </c>
      <c r="AK41" s="130">
        <f t="shared" si="9"/>
        <v>1.5593464209401706E-2</v>
      </c>
      <c r="AL41" s="130">
        <f t="shared" si="10"/>
        <v>0.98440653579059834</v>
      </c>
      <c r="AM41" s="33">
        <f t="shared" si="11"/>
        <v>0</v>
      </c>
      <c r="BB41" s="3">
        <v>1</v>
      </c>
      <c r="BC41" s="3">
        <v>1</v>
      </c>
      <c r="BD41" s="3"/>
      <c r="BE41" s="3">
        <v>1</v>
      </c>
      <c r="BF41" s="3">
        <v>1</v>
      </c>
      <c r="BG41" s="3"/>
      <c r="BH41" s="3"/>
      <c r="BI41" s="3"/>
      <c r="BJ41" s="3"/>
      <c r="BK41" s="3">
        <v>9</v>
      </c>
      <c r="BL41" s="3">
        <f t="shared" si="12"/>
        <v>4</v>
      </c>
      <c r="BM41" s="292">
        <f t="shared" si="13"/>
        <v>0.44444444444444442</v>
      </c>
      <c r="BN41" s="295"/>
      <c r="BO41" s="295"/>
      <c r="BP41" s="295"/>
      <c r="BQ41" s="295"/>
      <c r="BR41" s="322"/>
      <c r="BS41" s="81">
        <f t="shared" si="16"/>
        <v>0</v>
      </c>
      <c r="BT41" s="81"/>
      <c r="CJ41" s="278"/>
      <c r="CK41" s="278"/>
      <c r="CL41" s="278"/>
      <c r="CM41" s="278"/>
      <c r="CN41" s="278"/>
      <c r="CO41" s="278"/>
      <c r="CP41" s="268"/>
      <c r="CQ41" s="268"/>
      <c r="CR41" s="267"/>
      <c r="CS41" s="267"/>
      <c r="CT41" s="267"/>
      <c r="CU41" s="267"/>
      <c r="CV41" s="267"/>
      <c r="CW41" s="267"/>
      <c r="CX41" s="267"/>
      <c r="CY41" s="267"/>
      <c r="CZ41" s="267"/>
      <c r="DA41" s="267"/>
    </row>
    <row r="42" spans="1:105" ht="34.5">
      <c r="A42" s="81">
        <v>26</v>
      </c>
      <c r="B42" s="81">
        <v>1</v>
      </c>
      <c r="C42" s="148">
        <v>46241</v>
      </c>
      <c r="D42" s="81" t="s">
        <v>277</v>
      </c>
      <c r="E42" s="149" t="s">
        <v>1258</v>
      </c>
      <c r="F42" s="91" t="s">
        <v>176</v>
      </c>
      <c r="G42" s="81" t="s">
        <v>1266</v>
      </c>
      <c r="H42" s="81" t="s">
        <v>1267</v>
      </c>
      <c r="I42" s="156"/>
      <c r="J42" s="81" t="s">
        <v>982</v>
      </c>
      <c r="K42" s="81" t="s">
        <v>1187</v>
      </c>
      <c r="L42" s="81" t="s">
        <v>281</v>
      </c>
      <c r="M42" s="81">
        <v>1</v>
      </c>
      <c r="N42" s="150">
        <v>0.25</v>
      </c>
      <c r="O42" s="150">
        <f t="shared" si="17"/>
        <v>2.7287499999999998</v>
      </c>
      <c r="P42" s="150">
        <f t="shared" si="18"/>
        <v>0.27500000000000002</v>
      </c>
      <c r="Q42" s="150"/>
      <c r="R42" s="150">
        <f t="shared" si="19"/>
        <v>0.38541666666666663</v>
      </c>
      <c r="S42" s="150">
        <f>R42*0.25</f>
        <v>9.6354166666666657E-2</v>
      </c>
      <c r="T42" s="150">
        <f>(R42+S42)*8.82%</f>
        <v>4.2492187499999994E-2</v>
      </c>
      <c r="U42" s="204">
        <f t="shared" si="20"/>
        <v>0.5242630208333332</v>
      </c>
      <c r="V42" s="88">
        <v>59</v>
      </c>
      <c r="W42" s="150">
        <f t="shared" si="21"/>
        <v>50.862068965517246</v>
      </c>
      <c r="X42" s="125">
        <f t="shared" si="22"/>
        <v>30.517241379310345</v>
      </c>
      <c r="Y42" s="143">
        <f t="shared" si="23"/>
        <v>1.7179240230696793E-2</v>
      </c>
      <c r="Z42" s="153">
        <f t="shared" si="24"/>
        <v>0.98282075976930316</v>
      </c>
      <c r="AA42" s="153">
        <f t="shared" si="25"/>
        <v>0.4</v>
      </c>
      <c r="AB42" s="81" t="s">
        <v>865</v>
      </c>
      <c r="AC42" s="81" t="s">
        <v>67</v>
      </c>
      <c r="AD42" s="81">
        <v>6</v>
      </c>
      <c r="AE42" s="81">
        <v>144</v>
      </c>
      <c r="AF42" s="81"/>
      <c r="AG42" s="81"/>
      <c r="AH42" s="146"/>
      <c r="AI42" s="157">
        <v>39</v>
      </c>
      <c r="AJ42" s="150">
        <f t="shared" si="8"/>
        <v>33.620689655172413</v>
      </c>
      <c r="AK42" s="130">
        <f t="shared" si="9"/>
        <v>1.5593464209401706E-2</v>
      </c>
      <c r="AL42" s="130">
        <f t="shared" si="10"/>
        <v>0.98440653579059834</v>
      </c>
      <c r="AM42" s="33">
        <f t="shared" si="11"/>
        <v>0</v>
      </c>
      <c r="BB42" s="3">
        <v>1</v>
      </c>
      <c r="BC42" s="3">
        <v>1</v>
      </c>
      <c r="BD42" s="3"/>
      <c r="BE42" s="3">
        <v>1</v>
      </c>
      <c r="BF42" s="3">
        <v>1</v>
      </c>
      <c r="BG42" s="3"/>
      <c r="BH42" s="3"/>
      <c r="BI42" s="3"/>
      <c r="BJ42" s="3"/>
      <c r="BK42" s="3">
        <v>9</v>
      </c>
      <c r="BL42" s="3">
        <f t="shared" si="12"/>
        <v>4</v>
      </c>
      <c r="BM42" s="292">
        <f t="shared" si="13"/>
        <v>0.44444444444444442</v>
      </c>
      <c r="BN42" s="295"/>
      <c r="BO42" s="295"/>
      <c r="BP42" s="295"/>
      <c r="BQ42" s="295"/>
      <c r="BR42" s="322"/>
      <c r="BS42" s="81">
        <f t="shared" si="16"/>
        <v>0</v>
      </c>
      <c r="BT42" s="81"/>
      <c r="CJ42" s="278"/>
      <c r="CK42" s="278"/>
      <c r="CL42" s="278"/>
      <c r="CM42" s="278"/>
      <c r="CN42" s="278"/>
      <c r="CO42" s="278"/>
      <c r="CP42" s="268"/>
      <c r="CQ42" s="268"/>
      <c r="CR42" s="267"/>
      <c r="CS42" s="267"/>
      <c r="CT42" s="267"/>
      <c r="CU42" s="267"/>
      <c r="CV42" s="267"/>
      <c r="CW42" s="267"/>
      <c r="CX42" s="267"/>
      <c r="CY42" s="267"/>
      <c r="CZ42" s="267"/>
      <c r="DA42" s="267"/>
    </row>
    <row r="43" spans="1:105" ht="34.5">
      <c r="A43" s="81">
        <v>27</v>
      </c>
      <c r="B43" s="81">
        <v>1</v>
      </c>
      <c r="C43" s="148">
        <v>46241</v>
      </c>
      <c r="D43" s="81" t="s">
        <v>277</v>
      </c>
      <c r="E43" s="149" t="s">
        <v>1258</v>
      </c>
      <c r="F43" s="91" t="s">
        <v>176</v>
      </c>
      <c r="G43" s="81" t="s">
        <v>1268</v>
      </c>
      <c r="H43" s="81" t="s">
        <v>1269</v>
      </c>
      <c r="I43" s="134"/>
      <c r="J43" s="81" t="s">
        <v>982</v>
      </c>
      <c r="K43" s="81" t="s">
        <v>1187</v>
      </c>
      <c r="L43" s="81" t="s">
        <v>281</v>
      </c>
      <c r="M43" s="81">
        <v>1</v>
      </c>
      <c r="N43" s="150">
        <v>0.25</v>
      </c>
      <c r="O43" s="150">
        <f t="shared" si="17"/>
        <v>2.7287499999999998</v>
      </c>
      <c r="P43" s="150">
        <f t="shared" si="18"/>
        <v>0.27500000000000002</v>
      </c>
      <c r="Q43" s="150"/>
      <c r="R43" s="150">
        <f t="shared" si="19"/>
        <v>0.38541666666666663</v>
      </c>
      <c r="S43" s="150">
        <f>R43*0.25</f>
        <v>9.6354166666666657E-2</v>
      </c>
      <c r="T43" s="150">
        <f>(R43+S43)*8.82%</f>
        <v>4.2492187499999994E-2</v>
      </c>
      <c r="U43" s="204">
        <f t="shared" si="20"/>
        <v>0.5242630208333332</v>
      </c>
      <c r="V43" s="88">
        <v>59</v>
      </c>
      <c r="W43" s="150">
        <f t="shared" si="21"/>
        <v>50.862068965517246</v>
      </c>
      <c r="X43" s="125">
        <f t="shared" si="22"/>
        <v>30.517241379310345</v>
      </c>
      <c r="Y43" s="143">
        <f t="shared" si="23"/>
        <v>1.7179240230696793E-2</v>
      </c>
      <c r="Z43" s="153">
        <f t="shared" si="24"/>
        <v>0.98282075976930316</v>
      </c>
      <c r="AA43" s="153">
        <f t="shared" si="25"/>
        <v>0.4</v>
      </c>
      <c r="AB43" s="81" t="s">
        <v>865</v>
      </c>
      <c r="AC43" s="81" t="s">
        <v>67</v>
      </c>
      <c r="AD43" s="81">
        <v>6</v>
      </c>
      <c r="AE43" s="81">
        <v>144</v>
      </c>
      <c r="AF43" s="81"/>
      <c r="AG43" s="81"/>
      <c r="AH43" s="146"/>
      <c r="AI43" s="157">
        <v>40</v>
      </c>
      <c r="AJ43" s="150">
        <f t="shared" si="8"/>
        <v>34.482758620689658</v>
      </c>
      <c r="AK43" s="130">
        <f t="shared" si="9"/>
        <v>1.5203627604166662E-2</v>
      </c>
      <c r="AL43" s="130">
        <f t="shared" si="10"/>
        <v>0.98479637239583329</v>
      </c>
      <c r="AM43" s="33">
        <f t="shared" si="11"/>
        <v>0</v>
      </c>
      <c r="BB43" s="3">
        <v>1</v>
      </c>
      <c r="BC43" s="3">
        <v>1</v>
      </c>
      <c r="BD43" s="3"/>
      <c r="BE43" s="3">
        <v>1</v>
      </c>
      <c r="BF43" s="3">
        <v>1</v>
      </c>
      <c r="BG43" s="3"/>
      <c r="BH43" s="3"/>
      <c r="BI43" s="3"/>
      <c r="BJ43" s="3"/>
      <c r="BK43" s="3">
        <v>9</v>
      </c>
      <c r="BL43" s="3">
        <f t="shared" si="12"/>
        <v>4</v>
      </c>
      <c r="BM43" s="292">
        <f t="shared" si="13"/>
        <v>0.44444444444444442</v>
      </c>
      <c r="BN43" s="295"/>
      <c r="BO43" s="295"/>
      <c r="BP43" s="295"/>
      <c r="BQ43" s="295"/>
      <c r="BR43" s="322"/>
      <c r="BS43" s="81">
        <f t="shared" si="16"/>
        <v>0</v>
      </c>
      <c r="BT43" s="81"/>
      <c r="CJ43" s="278"/>
      <c r="CK43" s="278"/>
      <c r="CL43" s="278"/>
      <c r="CM43" s="278"/>
      <c r="CN43" s="278"/>
      <c r="CO43" s="278"/>
      <c r="CP43" s="268"/>
      <c r="CQ43" s="268"/>
      <c r="CR43" s="267"/>
      <c r="CS43" s="267"/>
      <c r="CT43" s="267"/>
      <c r="CU43" s="267"/>
      <c r="CV43" s="267"/>
      <c r="CW43" s="267"/>
      <c r="CX43" s="267"/>
      <c r="CY43" s="267"/>
      <c r="CZ43" s="267"/>
      <c r="DA43" s="267"/>
    </row>
    <row r="44" spans="1:105" ht="34.5">
      <c r="A44" s="81">
        <v>28</v>
      </c>
      <c r="B44" s="81">
        <v>1</v>
      </c>
      <c r="C44" s="148">
        <v>46241</v>
      </c>
      <c r="D44" s="81" t="s">
        <v>277</v>
      </c>
      <c r="E44" s="149" t="s">
        <v>537</v>
      </c>
      <c r="F44" s="91" t="s">
        <v>176</v>
      </c>
      <c r="G44" s="81" t="s">
        <v>1270</v>
      </c>
      <c r="H44" s="81" t="s">
        <v>1271</v>
      </c>
      <c r="I44" s="134" t="s">
        <v>1261</v>
      </c>
      <c r="J44" s="81" t="s">
        <v>1272</v>
      </c>
      <c r="K44" s="81" t="s">
        <v>1187</v>
      </c>
      <c r="L44" s="81" t="s">
        <v>281</v>
      </c>
      <c r="M44" s="81">
        <v>1</v>
      </c>
      <c r="N44" s="150">
        <v>0.4</v>
      </c>
      <c r="O44" s="150">
        <f t="shared" si="17"/>
        <v>4.3659999999999997</v>
      </c>
      <c r="P44" s="150">
        <f t="shared" si="18"/>
        <v>0.44000000000000006</v>
      </c>
      <c r="Q44" s="150"/>
      <c r="R44" s="150">
        <f t="shared" si="19"/>
        <v>0.6166666666666667</v>
      </c>
      <c r="S44" s="150">
        <f>R44*0.36</f>
        <v>0.222</v>
      </c>
      <c r="T44" s="150">
        <f>(R44+S44)*16.69%</f>
        <v>0.13997346666666668</v>
      </c>
      <c r="U44" s="204">
        <f t="shared" si="20"/>
        <v>0.97864013333333333</v>
      </c>
      <c r="V44" s="88">
        <v>69</v>
      </c>
      <c r="W44" s="150">
        <f t="shared" si="21"/>
        <v>59.482758620689658</v>
      </c>
      <c r="X44" s="125">
        <f t="shared" si="22"/>
        <v>35.689655172413794</v>
      </c>
      <c r="Y44" s="143">
        <f t="shared" si="23"/>
        <v>2.7420834653784219E-2</v>
      </c>
      <c r="Z44" s="153">
        <f t="shared" si="24"/>
        <v>0.9725791653462158</v>
      </c>
      <c r="AA44" s="153">
        <f t="shared" si="25"/>
        <v>0.4</v>
      </c>
      <c r="AB44" s="81" t="s">
        <v>284</v>
      </c>
      <c r="AC44" s="81" t="s">
        <v>67</v>
      </c>
      <c r="AD44" s="81">
        <v>6</v>
      </c>
      <c r="AE44" s="81">
        <v>144</v>
      </c>
      <c r="AF44" s="81"/>
      <c r="AG44" s="81"/>
      <c r="AH44" s="146"/>
      <c r="AI44" s="157">
        <v>40</v>
      </c>
      <c r="AJ44" s="150">
        <f t="shared" si="8"/>
        <v>34.482758620689658</v>
      </c>
      <c r="AK44" s="130">
        <f t="shared" si="9"/>
        <v>2.8380563866666663E-2</v>
      </c>
      <c r="AL44" s="130">
        <f t="shared" si="10"/>
        <v>0.97161943613333335</v>
      </c>
      <c r="AM44" s="33">
        <f t="shared" si="11"/>
        <v>0</v>
      </c>
      <c r="BB44" s="3">
        <v>1</v>
      </c>
      <c r="BC44" s="3">
        <v>1</v>
      </c>
      <c r="BD44" s="3"/>
      <c r="BE44" s="3">
        <v>1</v>
      </c>
      <c r="BF44" s="3">
        <v>1</v>
      </c>
      <c r="BG44" s="3"/>
      <c r="BH44" s="3"/>
      <c r="BI44" s="3"/>
      <c r="BJ44" s="3"/>
      <c r="BK44" s="3">
        <v>9</v>
      </c>
      <c r="BL44" s="3">
        <f t="shared" si="12"/>
        <v>4</v>
      </c>
      <c r="BM44" s="292">
        <f t="shared" si="13"/>
        <v>0.44444444444444442</v>
      </c>
      <c r="BN44" s="295"/>
      <c r="BO44" s="295"/>
      <c r="BP44" s="295"/>
      <c r="BQ44" s="295"/>
      <c r="BR44" s="322"/>
      <c r="BS44" s="81">
        <f t="shared" si="16"/>
        <v>0</v>
      </c>
      <c r="BT44" s="81"/>
      <c r="CJ44" s="278"/>
      <c r="CK44" s="278"/>
      <c r="CL44" s="278"/>
      <c r="CM44" s="278"/>
      <c r="CN44" s="278"/>
      <c r="CO44" s="278"/>
      <c r="CP44" s="268"/>
      <c r="CQ44" s="268"/>
      <c r="CR44" s="341"/>
      <c r="CS44" s="341"/>
      <c r="CT44" s="341"/>
      <c r="CU44" s="341"/>
      <c r="CV44" s="341"/>
      <c r="CW44" s="341"/>
      <c r="CX44" s="341"/>
      <c r="CY44" s="341"/>
      <c r="CZ44" s="341"/>
      <c r="DA44" s="341"/>
    </row>
    <row r="45" spans="1:105" ht="34.5">
      <c r="A45" s="81">
        <v>29</v>
      </c>
      <c r="B45" s="81">
        <v>1</v>
      </c>
      <c r="C45" s="148">
        <v>46241</v>
      </c>
      <c r="D45" s="81" t="s">
        <v>277</v>
      </c>
      <c r="E45" s="149" t="s">
        <v>537</v>
      </c>
      <c r="F45" s="91" t="s">
        <v>176</v>
      </c>
      <c r="G45" s="81" t="s">
        <v>1273</v>
      </c>
      <c r="H45" s="81" t="s">
        <v>1274</v>
      </c>
      <c r="I45" s="134" t="s">
        <v>1261</v>
      </c>
      <c r="J45" s="81" t="s">
        <v>1275</v>
      </c>
      <c r="K45" s="81" t="s">
        <v>1187</v>
      </c>
      <c r="L45" s="81" t="s">
        <v>281</v>
      </c>
      <c r="M45" s="81">
        <v>1</v>
      </c>
      <c r="N45" s="150">
        <v>0.4</v>
      </c>
      <c r="O45" s="150">
        <f t="shared" si="17"/>
        <v>4.3659999999999997</v>
      </c>
      <c r="P45" s="150">
        <f t="shared" si="18"/>
        <v>0.44000000000000006</v>
      </c>
      <c r="Q45" s="150"/>
      <c r="R45" s="150">
        <f t="shared" si="19"/>
        <v>0.6166666666666667</v>
      </c>
      <c r="S45" s="150">
        <f>R45*0.36</f>
        <v>0.222</v>
      </c>
      <c r="T45" s="150">
        <f>(R45+S45)*16.69%</f>
        <v>0.13997346666666668</v>
      </c>
      <c r="U45" s="204">
        <f t="shared" si="20"/>
        <v>0.97864013333333333</v>
      </c>
      <c r="V45" s="88">
        <v>69</v>
      </c>
      <c r="W45" s="150">
        <f t="shared" si="21"/>
        <v>59.482758620689658</v>
      </c>
      <c r="X45" s="125">
        <f t="shared" si="22"/>
        <v>35.689655172413794</v>
      </c>
      <c r="Y45" s="143">
        <f t="shared" si="23"/>
        <v>2.7420834653784219E-2</v>
      </c>
      <c r="Z45" s="153">
        <f t="shared" si="24"/>
        <v>0.9725791653462158</v>
      </c>
      <c r="AA45" s="153">
        <f t="shared" si="25"/>
        <v>0.4</v>
      </c>
      <c r="AB45" s="81" t="s">
        <v>284</v>
      </c>
      <c r="AC45" s="81" t="s">
        <v>67</v>
      </c>
      <c r="AD45" s="81">
        <v>6</v>
      </c>
      <c r="AE45" s="81">
        <v>144</v>
      </c>
      <c r="AF45" s="81"/>
      <c r="AG45" s="81"/>
      <c r="AH45" s="146"/>
      <c r="AI45" s="157">
        <v>40</v>
      </c>
      <c r="AJ45" s="150">
        <f t="shared" si="8"/>
        <v>34.482758620689658</v>
      </c>
      <c r="AK45" s="130">
        <f t="shared" si="9"/>
        <v>2.8380563866666663E-2</v>
      </c>
      <c r="AL45" s="130">
        <f t="shared" si="10"/>
        <v>0.97161943613333335</v>
      </c>
      <c r="AM45" s="33">
        <f t="shared" si="11"/>
        <v>0</v>
      </c>
      <c r="BB45" s="3">
        <v>1</v>
      </c>
      <c r="BC45" s="3">
        <v>1</v>
      </c>
      <c r="BD45" s="3"/>
      <c r="BE45" s="3">
        <v>1</v>
      </c>
      <c r="BF45" s="3">
        <v>1</v>
      </c>
      <c r="BG45" s="3"/>
      <c r="BH45" s="3"/>
      <c r="BI45" s="3"/>
      <c r="BJ45" s="3"/>
      <c r="BK45" s="3">
        <v>9</v>
      </c>
      <c r="BL45" s="3">
        <f t="shared" si="12"/>
        <v>4</v>
      </c>
      <c r="BM45" s="292">
        <f t="shared" si="13"/>
        <v>0.44444444444444442</v>
      </c>
      <c r="BN45" s="295"/>
      <c r="BO45" s="295"/>
      <c r="BP45" s="295"/>
      <c r="BQ45" s="295"/>
      <c r="BR45" s="322"/>
      <c r="BS45" s="81">
        <f t="shared" si="16"/>
        <v>0</v>
      </c>
      <c r="BT45" s="81"/>
      <c r="CJ45" s="278"/>
      <c r="CK45" s="278"/>
      <c r="CL45" s="278"/>
      <c r="CM45" s="278"/>
      <c r="CN45" s="278"/>
      <c r="CO45" s="278"/>
      <c r="CP45" s="268"/>
      <c r="CQ45" s="268"/>
      <c r="CR45" s="267"/>
      <c r="CS45" s="267"/>
      <c r="CT45" s="267"/>
      <c r="CU45" s="267"/>
      <c r="CV45" s="267"/>
      <c r="CW45" s="267"/>
      <c r="CX45" s="267"/>
      <c r="CY45" s="267"/>
      <c r="CZ45" s="267"/>
      <c r="DA45" s="267"/>
    </row>
    <row r="46" spans="1:105" ht="34.5">
      <c r="A46" s="81">
        <v>32</v>
      </c>
      <c r="B46" s="81">
        <v>2</v>
      </c>
      <c r="C46" s="148">
        <v>46241</v>
      </c>
      <c r="D46" s="81" t="s">
        <v>277</v>
      </c>
      <c r="E46" s="149" t="s">
        <v>1276</v>
      </c>
      <c r="F46" s="91" t="s">
        <v>176</v>
      </c>
      <c r="G46" s="81" t="s">
        <v>1277</v>
      </c>
      <c r="H46" s="81" t="s">
        <v>1278</v>
      </c>
      <c r="I46" s="156"/>
      <c r="J46" s="81" t="s">
        <v>1216</v>
      </c>
      <c r="K46" s="81" t="s">
        <v>1187</v>
      </c>
      <c r="L46" s="81" t="s">
        <v>281</v>
      </c>
      <c r="M46" s="81">
        <v>2</v>
      </c>
      <c r="N46" s="150">
        <v>0.76</v>
      </c>
      <c r="O46" s="150">
        <f t="shared" si="17"/>
        <v>8.295399999999999</v>
      </c>
      <c r="P46" s="150">
        <f t="shared" si="18"/>
        <v>0.83600000000000008</v>
      </c>
      <c r="Q46" s="150"/>
      <c r="R46" s="150">
        <f t="shared" si="19"/>
        <v>1.1716666666666666</v>
      </c>
      <c r="S46" s="150">
        <f>R46*0.35</f>
        <v>0.4100833333333333</v>
      </c>
      <c r="T46" s="150">
        <f>(R46+S46)*22.84%</f>
        <v>0.36127169999999997</v>
      </c>
      <c r="U46" s="204">
        <f t="shared" si="20"/>
        <v>1.9430217000000001</v>
      </c>
      <c r="V46" s="88">
        <v>89</v>
      </c>
      <c r="W46" s="150">
        <f t="shared" si="21"/>
        <v>76.724137931034491</v>
      </c>
      <c r="X46" s="125">
        <f t="shared" si="22"/>
        <v>46.03448275862069</v>
      </c>
      <c r="Y46" s="143">
        <f t="shared" si="23"/>
        <v>4.2207962022471908E-2</v>
      </c>
      <c r="Z46" s="153">
        <f t="shared" si="24"/>
        <v>0.9577920379775281</v>
      </c>
      <c r="AA46" s="153">
        <f t="shared" si="25"/>
        <v>0.4</v>
      </c>
      <c r="AB46" s="81" t="s">
        <v>625</v>
      </c>
      <c r="AC46" s="81" t="s">
        <v>99</v>
      </c>
      <c r="AD46" s="81"/>
      <c r="AE46" s="81"/>
      <c r="AF46" s="81"/>
      <c r="AG46" s="81"/>
      <c r="AH46" s="146"/>
      <c r="AI46" s="157">
        <v>49</v>
      </c>
      <c r="AJ46" s="150">
        <f t="shared" si="8"/>
        <v>42.241379310344833</v>
      </c>
      <c r="AK46" s="130">
        <f t="shared" si="9"/>
        <v>4.5998064734693873E-2</v>
      </c>
      <c r="AL46" s="130">
        <f t="shared" si="10"/>
        <v>0.95400193526530608</v>
      </c>
      <c r="AM46" s="33">
        <f t="shared" si="11"/>
        <v>0</v>
      </c>
      <c r="BB46" s="3">
        <v>1</v>
      </c>
      <c r="BC46" s="3">
        <v>1</v>
      </c>
      <c r="BD46" s="3"/>
      <c r="BE46" s="3">
        <v>1</v>
      </c>
      <c r="BF46" s="3">
        <v>1</v>
      </c>
      <c r="BG46" s="3"/>
      <c r="BH46" s="3"/>
      <c r="BI46" s="3"/>
      <c r="BJ46" s="3"/>
      <c r="BK46" s="3">
        <v>9</v>
      </c>
      <c r="BL46" s="3">
        <f t="shared" si="12"/>
        <v>4</v>
      </c>
      <c r="BM46" s="292">
        <f t="shared" si="13"/>
        <v>0.44444444444444442</v>
      </c>
      <c r="BN46" s="295"/>
      <c r="BO46" s="295"/>
      <c r="BP46" s="295"/>
      <c r="BQ46" s="295"/>
      <c r="BR46" s="322"/>
      <c r="BS46" s="81">
        <f t="shared" si="16"/>
        <v>0</v>
      </c>
      <c r="BT46" s="81"/>
      <c r="CJ46" s="278"/>
      <c r="CK46" s="278"/>
      <c r="CL46" s="278"/>
      <c r="CM46" s="278"/>
      <c r="CN46" s="278"/>
      <c r="CO46" s="278"/>
      <c r="CP46" s="268"/>
      <c r="CQ46" s="268"/>
      <c r="CR46" s="267"/>
      <c r="CS46" s="267"/>
      <c r="CT46" s="267"/>
      <c r="CU46" s="267"/>
      <c r="CV46" s="267"/>
      <c r="CW46" s="267"/>
      <c r="CX46" s="267"/>
      <c r="CY46" s="267"/>
      <c r="CZ46" s="267"/>
      <c r="DA46" s="267"/>
    </row>
    <row r="47" spans="1:105" ht="65.099999999999994">
      <c r="A47" s="81">
        <v>33</v>
      </c>
      <c r="B47" s="81">
        <v>2</v>
      </c>
      <c r="C47" s="148">
        <v>46241</v>
      </c>
      <c r="D47" s="81" t="s">
        <v>277</v>
      </c>
      <c r="E47" s="149" t="s">
        <v>1218</v>
      </c>
      <c r="F47" s="91" t="s">
        <v>176</v>
      </c>
      <c r="G47" s="81" t="s">
        <v>1279</v>
      </c>
      <c r="H47" s="81" t="s">
        <v>1280</v>
      </c>
      <c r="I47" s="134"/>
      <c r="J47" s="81" t="s">
        <v>1281</v>
      </c>
      <c r="K47" s="81" t="s">
        <v>1187</v>
      </c>
      <c r="L47" s="81" t="s">
        <v>281</v>
      </c>
      <c r="M47" s="81">
        <v>1</v>
      </c>
      <c r="N47" s="150">
        <v>0.25</v>
      </c>
      <c r="O47" s="150">
        <f t="shared" si="17"/>
        <v>2.7287499999999998</v>
      </c>
      <c r="P47" s="150">
        <f>N47*1.15</f>
        <v>0.28749999999999998</v>
      </c>
      <c r="Q47" s="150"/>
      <c r="R47" s="150">
        <f t="shared" si="19"/>
        <v>0.38541666666666663</v>
      </c>
      <c r="S47" s="150">
        <f>R47*0.07</f>
        <v>2.6979166666666665E-2</v>
      </c>
      <c r="T47" s="150">
        <f>(R47+S47)*30.01%</f>
        <v>0.12375998958333334</v>
      </c>
      <c r="U47" s="204">
        <f t="shared" si="20"/>
        <v>0.53615582291666664</v>
      </c>
      <c r="V47" s="88">
        <v>79</v>
      </c>
      <c r="W47" s="150">
        <f t="shared" si="21"/>
        <v>68.103448275862078</v>
      </c>
      <c r="X47" s="125">
        <f t="shared" si="22"/>
        <v>40.862068965517246</v>
      </c>
      <c r="Y47" s="143">
        <f t="shared" si="23"/>
        <v>1.3121112965893106E-2</v>
      </c>
      <c r="Z47" s="153">
        <f t="shared" si="24"/>
        <v>0.98687888703410687</v>
      </c>
      <c r="AA47" s="153">
        <f t="shared" si="25"/>
        <v>0.4</v>
      </c>
      <c r="AB47" s="81" t="s">
        <v>536</v>
      </c>
      <c r="AC47" s="81" t="s">
        <v>67</v>
      </c>
      <c r="AD47" s="81">
        <v>6</v>
      </c>
      <c r="AE47" s="81">
        <v>144</v>
      </c>
      <c r="AF47" s="81"/>
      <c r="AG47" s="81"/>
      <c r="AH47" s="146"/>
      <c r="AI47" s="157">
        <v>49</v>
      </c>
      <c r="AJ47" s="150">
        <f t="shared" si="8"/>
        <v>42.241379310344833</v>
      </c>
      <c r="AK47" s="130">
        <f t="shared" si="9"/>
        <v>1.2692668460884352E-2</v>
      </c>
      <c r="AL47" s="130">
        <f t="shared" si="10"/>
        <v>0.98730733153911565</v>
      </c>
      <c r="AM47" s="33">
        <f t="shared" si="11"/>
        <v>0</v>
      </c>
      <c r="BB47" s="3">
        <v>1</v>
      </c>
      <c r="BC47" s="3">
        <v>1</v>
      </c>
      <c r="BD47" s="3"/>
      <c r="BE47" s="3">
        <v>1</v>
      </c>
      <c r="BF47" s="3">
        <v>1</v>
      </c>
      <c r="BG47" s="3"/>
      <c r="BH47" s="3"/>
      <c r="BI47" s="3"/>
      <c r="BJ47" s="3"/>
      <c r="BK47" s="3">
        <v>9</v>
      </c>
      <c r="BL47" s="3">
        <f t="shared" si="12"/>
        <v>4</v>
      </c>
      <c r="BM47" s="292">
        <f t="shared" si="13"/>
        <v>0.44444444444444442</v>
      </c>
      <c r="BN47" s="295"/>
      <c r="BO47" s="295"/>
      <c r="BP47" s="295"/>
      <c r="BQ47" s="295"/>
      <c r="BR47" s="322"/>
      <c r="BS47" s="81">
        <f t="shared" si="16"/>
        <v>0</v>
      </c>
      <c r="BT47" s="81"/>
      <c r="CJ47" s="278"/>
      <c r="CK47" s="278"/>
      <c r="CL47" s="278"/>
      <c r="CM47" s="278"/>
      <c r="CN47" s="278"/>
      <c r="CO47" s="278"/>
      <c r="CP47" s="268"/>
      <c r="CQ47" s="268"/>
      <c r="CR47" s="267"/>
      <c r="CS47" s="267"/>
      <c r="CT47" s="267"/>
      <c r="CU47" s="267"/>
      <c r="CV47" s="267"/>
      <c r="CW47" s="267"/>
      <c r="CX47" s="267"/>
      <c r="CY47" s="267"/>
      <c r="CZ47" s="267"/>
      <c r="DA47" s="267"/>
    </row>
    <row r="48" spans="1:105" ht="34.5">
      <c r="A48" s="81">
        <v>34</v>
      </c>
      <c r="B48" s="81">
        <v>2</v>
      </c>
      <c r="C48" s="148">
        <v>46241</v>
      </c>
      <c r="D48" s="81" t="s">
        <v>277</v>
      </c>
      <c r="E48" s="149" t="s">
        <v>1282</v>
      </c>
      <c r="F48" s="91" t="s">
        <v>176</v>
      </c>
      <c r="G48" s="81" t="s">
        <v>1283</v>
      </c>
      <c r="H48" s="81" t="s">
        <v>1284</v>
      </c>
      <c r="I48" s="134"/>
      <c r="J48" s="81" t="s">
        <v>1285</v>
      </c>
      <c r="K48" s="81" t="s">
        <v>1187</v>
      </c>
      <c r="L48" s="81" t="s">
        <v>281</v>
      </c>
      <c r="M48" s="81">
        <v>1</v>
      </c>
      <c r="N48" s="150">
        <v>1</v>
      </c>
      <c r="O48" s="150">
        <f t="shared" si="17"/>
        <v>10.914999999999999</v>
      </c>
      <c r="P48" s="150">
        <f t="shared" ref="P48:P76" si="26">N48*1.1</f>
        <v>1.1000000000000001</v>
      </c>
      <c r="Q48" s="150"/>
      <c r="R48" s="150">
        <f t="shared" si="19"/>
        <v>1.5416666666666665</v>
      </c>
      <c r="S48" s="150">
        <f>R48*0.25</f>
        <v>0.38541666666666663</v>
      </c>
      <c r="T48" s="150">
        <f>(R48+S48)*29.45%</f>
        <v>0.56752604166666654</v>
      </c>
      <c r="U48" s="204">
        <f t="shared" si="20"/>
        <v>2.4946093749999996</v>
      </c>
      <c r="V48" s="88">
        <v>139</v>
      </c>
      <c r="W48" s="150">
        <f t="shared" si="21"/>
        <v>119.82758620689656</v>
      </c>
      <c r="X48" s="125">
        <f t="shared" si="22"/>
        <v>71.896551724137936</v>
      </c>
      <c r="Y48" s="143">
        <f t="shared" si="23"/>
        <v>3.4697204736211025E-2</v>
      </c>
      <c r="Z48" s="153">
        <f t="shared" si="24"/>
        <v>0.96530279526378893</v>
      </c>
      <c r="AA48" s="153">
        <f t="shared" si="25"/>
        <v>0.4</v>
      </c>
      <c r="AB48" s="81" t="s">
        <v>488</v>
      </c>
      <c r="AC48" s="81" t="s">
        <v>67</v>
      </c>
      <c r="AD48" s="81"/>
      <c r="AE48" s="81"/>
      <c r="AF48" s="81"/>
      <c r="AG48" s="81"/>
      <c r="AH48" s="146"/>
      <c r="AI48" s="157">
        <v>55</v>
      </c>
      <c r="AJ48" s="150">
        <f t="shared" si="8"/>
        <v>47.413793103448278</v>
      </c>
      <c r="AK48" s="130">
        <f t="shared" si="9"/>
        <v>5.2613579545454536E-2</v>
      </c>
      <c r="AL48" s="130">
        <f t="shared" si="10"/>
        <v>0.94738642045454546</v>
      </c>
      <c r="AM48" s="33">
        <f t="shared" si="11"/>
        <v>0</v>
      </c>
      <c r="BB48" s="3">
        <v>1</v>
      </c>
      <c r="BC48" s="3">
        <v>1</v>
      </c>
      <c r="BD48" s="3"/>
      <c r="BE48" s="3">
        <v>1</v>
      </c>
      <c r="BF48" s="3">
        <v>1</v>
      </c>
      <c r="BG48" s="3"/>
      <c r="BH48" s="3"/>
      <c r="BI48" s="3"/>
      <c r="BJ48" s="3"/>
      <c r="BK48" s="3">
        <v>9</v>
      </c>
      <c r="BL48" s="3">
        <f t="shared" si="12"/>
        <v>4</v>
      </c>
      <c r="BM48" s="292">
        <f t="shared" si="13"/>
        <v>0.44444444444444442</v>
      </c>
      <c r="BN48" s="295"/>
      <c r="BO48" s="295"/>
      <c r="BP48" s="295"/>
      <c r="BQ48" s="295"/>
      <c r="BR48" s="322"/>
      <c r="BS48" s="81">
        <f t="shared" si="16"/>
        <v>0</v>
      </c>
      <c r="BT48" s="81"/>
      <c r="CJ48" s="278"/>
      <c r="CK48" s="278"/>
      <c r="CL48" s="278"/>
      <c r="CM48" s="278"/>
      <c r="CN48" s="278"/>
      <c r="CO48" s="278"/>
      <c r="CP48" s="268"/>
      <c r="CQ48" s="268"/>
      <c r="CR48" s="267"/>
      <c r="CS48" s="267"/>
      <c r="CT48" s="267"/>
      <c r="CU48" s="267"/>
      <c r="CV48" s="267"/>
      <c r="CW48" s="267"/>
      <c r="CX48" s="267"/>
      <c r="CY48" s="267"/>
      <c r="CZ48" s="267"/>
      <c r="DA48" s="267"/>
    </row>
    <row r="49" spans="1:105" ht="34.5">
      <c r="A49" s="81">
        <v>35</v>
      </c>
      <c r="B49" s="81">
        <v>2</v>
      </c>
      <c r="C49" s="148">
        <v>46241</v>
      </c>
      <c r="D49" s="81" t="s">
        <v>277</v>
      </c>
      <c r="E49" s="149" t="s">
        <v>1282</v>
      </c>
      <c r="F49" s="91" t="s">
        <v>176</v>
      </c>
      <c r="G49" s="81" t="s">
        <v>1286</v>
      </c>
      <c r="H49" s="81" t="s">
        <v>1287</v>
      </c>
      <c r="I49" s="134"/>
      <c r="J49" s="81" t="s">
        <v>1288</v>
      </c>
      <c r="K49" s="81" t="s">
        <v>1187</v>
      </c>
      <c r="L49" s="81" t="s">
        <v>281</v>
      </c>
      <c r="M49" s="81">
        <v>1</v>
      </c>
      <c r="N49" s="150">
        <v>0.71</v>
      </c>
      <c r="O49" s="150">
        <f t="shared" si="17"/>
        <v>7.749649999999999</v>
      </c>
      <c r="P49" s="150">
        <f t="shared" si="26"/>
        <v>0.78100000000000003</v>
      </c>
      <c r="Q49" s="150"/>
      <c r="R49" s="150">
        <f t="shared" si="19"/>
        <v>1.0945833333333332</v>
      </c>
      <c r="S49" s="150">
        <f>R49*0.25</f>
        <v>0.27364583333333331</v>
      </c>
      <c r="T49" s="150">
        <f>(R49+S49)*15.87%</f>
        <v>0.21713796874999997</v>
      </c>
      <c r="U49" s="204">
        <f t="shared" si="20"/>
        <v>1.5853671354166665</v>
      </c>
      <c r="V49" s="88">
        <v>149</v>
      </c>
      <c r="W49" s="150">
        <f t="shared" si="21"/>
        <v>128.44827586206898</v>
      </c>
      <c r="X49" s="125">
        <f t="shared" si="22"/>
        <v>77.068965517241381</v>
      </c>
      <c r="Y49" s="143">
        <f t="shared" si="23"/>
        <v>2.0570759251491422E-2</v>
      </c>
      <c r="Z49" s="153">
        <f t="shared" si="24"/>
        <v>0.97942924074850857</v>
      </c>
      <c r="AA49" s="153">
        <f t="shared" si="25"/>
        <v>0.4</v>
      </c>
      <c r="AB49" s="81" t="s">
        <v>488</v>
      </c>
      <c r="AC49" s="81" t="s">
        <v>67</v>
      </c>
      <c r="AD49" s="81"/>
      <c r="AE49" s="81"/>
      <c r="AF49" s="81"/>
      <c r="AG49" s="81"/>
      <c r="AH49" s="146"/>
      <c r="AI49" s="157">
        <f>V49*0.6</f>
        <v>89.399999999999991</v>
      </c>
      <c r="AJ49" s="150">
        <f t="shared" ref="AJ49:AJ76" si="27">AI49/1.16</f>
        <v>77.068965517241381</v>
      </c>
      <c r="AK49" s="130">
        <f t="shared" ref="AK49:AK76" si="28">U49/AJ49</f>
        <v>2.0570759251491422E-2</v>
      </c>
      <c r="AL49" s="130">
        <f t="shared" ref="AL49:AL76" si="29">1-(U49/AJ49)</f>
        <v>0.97942924074850857</v>
      </c>
      <c r="AM49" s="33">
        <f t="shared" ref="AM49:AM76" si="30">1-(AJ49/(AI49/1.16))</f>
        <v>0</v>
      </c>
      <c r="BB49" s="3">
        <v>1</v>
      </c>
      <c r="BC49" s="3">
        <v>1</v>
      </c>
      <c r="BD49" s="3"/>
      <c r="BE49" s="3">
        <v>1</v>
      </c>
      <c r="BF49" s="3">
        <v>1</v>
      </c>
      <c r="BG49" s="3"/>
      <c r="BH49" s="3"/>
      <c r="BI49" s="3"/>
      <c r="BJ49" s="3"/>
      <c r="BK49" s="3">
        <v>9</v>
      </c>
      <c r="BL49" s="3">
        <f t="shared" ref="BL49:BL76" si="31">SUM(BB49:BJ49)</f>
        <v>4</v>
      </c>
      <c r="BM49" s="292">
        <f t="shared" ref="BM49:BM76" si="32">+BL49/BK49</f>
        <v>0.44444444444444442</v>
      </c>
      <c r="BN49" s="295"/>
      <c r="BO49" s="295"/>
      <c r="BP49" s="295"/>
      <c r="BQ49" s="295"/>
      <c r="BR49" s="322"/>
      <c r="BS49" s="81">
        <f t="shared" si="16"/>
        <v>0</v>
      </c>
      <c r="BT49" s="81"/>
      <c r="CJ49" s="278"/>
      <c r="CK49" s="278"/>
      <c r="CL49" s="278"/>
      <c r="CM49" s="278"/>
      <c r="CN49" s="278"/>
      <c r="CO49" s="278"/>
      <c r="CP49" s="268"/>
      <c r="CQ49" s="268"/>
      <c r="CR49" s="267"/>
      <c r="CS49" s="267"/>
      <c r="CT49" s="267"/>
      <c r="CU49" s="267"/>
      <c r="CV49" s="267"/>
      <c r="CW49" s="267"/>
      <c r="CX49" s="267"/>
      <c r="CY49" s="267"/>
      <c r="CZ49" s="267"/>
      <c r="DA49" s="267"/>
    </row>
    <row r="50" spans="1:105" ht="129.94999999999999">
      <c r="A50" s="81">
        <v>36</v>
      </c>
      <c r="B50" s="81">
        <v>1</v>
      </c>
      <c r="C50" s="148">
        <v>46241</v>
      </c>
      <c r="D50" s="81" t="s">
        <v>277</v>
      </c>
      <c r="E50" s="149" t="s">
        <v>1289</v>
      </c>
      <c r="F50" s="91" t="s">
        <v>176</v>
      </c>
      <c r="G50" s="81" t="s">
        <v>1290</v>
      </c>
      <c r="H50" s="81" t="s">
        <v>1291</v>
      </c>
      <c r="I50" s="134"/>
      <c r="J50" s="81" t="s">
        <v>375</v>
      </c>
      <c r="K50" s="81" t="s">
        <v>1187</v>
      </c>
      <c r="L50" s="81" t="s">
        <v>281</v>
      </c>
      <c r="M50" s="81">
        <v>1</v>
      </c>
      <c r="N50" s="150">
        <v>0.35</v>
      </c>
      <c r="O50" s="150">
        <f t="shared" si="17"/>
        <v>3.8202499999999993</v>
      </c>
      <c r="P50" s="150">
        <f t="shared" si="26"/>
        <v>0.38500000000000001</v>
      </c>
      <c r="Q50" s="150"/>
      <c r="R50" s="150">
        <f t="shared" si="19"/>
        <v>0.53958333333333319</v>
      </c>
      <c r="S50" s="150">
        <f t="shared" ref="S50:S62" si="33">R50*0.36</f>
        <v>0.19424999999999995</v>
      </c>
      <c r="T50" s="150">
        <f t="shared" ref="T50:T58" si="34">(R50+S50)*4%</f>
        <v>2.9353333333333325E-2</v>
      </c>
      <c r="U50" s="204">
        <f t="shared" si="20"/>
        <v>0.76318666666666646</v>
      </c>
      <c r="V50" s="88">
        <v>159</v>
      </c>
      <c r="W50" s="150">
        <f t="shared" si="21"/>
        <v>137.06896551724139</v>
      </c>
      <c r="X50" s="125">
        <f t="shared" si="22"/>
        <v>82.24137931034484</v>
      </c>
      <c r="Y50" s="143">
        <f t="shared" si="23"/>
        <v>9.2798378756114575E-3</v>
      </c>
      <c r="Z50" s="158">
        <f t="shared" si="24"/>
        <v>0.99072016212438851</v>
      </c>
      <c r="AA50" s="158">
        <f t="shared" si="25"/>
        <v>0.4</v>
      </c>
      <c r="AB50" s="81" t="s">
        <v>284</v>
      </c>
      <c r="AC50" s="81" t="s">
        <v>67</v>
      </c>
      <c r="AD50" s="81">
        <v>6</v>
      </c>
      <c r="AE50" s="81">
        <v>144</v>
      </c>
      <c r="AF50" s="81" t="s">
        <v>1292</v>
      </c>
      <c r="AG50" s="81"/>
      <c r="AH50" s="146"/>
      <c r="AI50" s="157">
        <v>109</v>
      </c>
      <c r="AJ50" s="150">
        <f t="shared" si="27"/>
        <v>93.965517241379317</v>
      </c>
      <c r="AK50" s="130">
        <f t="shared" si="28"/>
        <v>8.1219865443425045E-3</v>
      </c>
      <c r="AL50" s="130">
        <f t="shared" si="29"/>
        <v>0.99187801345565751</v>
      </c>
      <c r="AM50" s="33">
        <f t="shared" si="30"/>
        <v>0</v>
      </c>
      <c r="BB50" s="3">
        <v>1</v>
      </c>
      <c r="BC50" s="3">
        <v>1</v>
      </c>
      <c r="BD50" s="3"/>
      <c r="BE50" s="3">
        <v>1</v>
      </c>
      <c r="BF50" s="3">
        <v>1</v>
      </c>
      <c r="BG50" s="3"/>
      <c r="BH50" s="3"/>
      <c r="BI50" s="3"/>
      <c r="BJ50" s="3"/>
      <c r="BK50" s="3">
        <v>9</v>
      </c>
      <c r="BL50" s="3">
        <f t="shared" si="31"/>
        <v>4</v>
      </c>
      <c r="BM50" s="292">
        <f t="shared" si="32"/>
        <v>0.44444444444444442</v>
      </c>
      <c r="BN50" s="295"/>
      <c r="BO50" s="295"/>
      <c r="BP50" s="295"/>
      <c r="BQ50" s="295"/>
      <c r="BR50" s="322"/>
      <c r="BS50" s="81" t="str">
        <f t="shared" si="16"/>
        <v>PENDIENTE INFORMACION DE PROVEEDOR</v>
      </c>
      <c r="BT50" s="81"/>
      <c r="CJ50" s="278"/>
      <c r="CK50" s="278"/>
      <c r="CL50" s="278"/>
      <c r="CM50" s="278"/>
      <c r="CN50" s="278"/>
      <c r="CO50" s="278"/>
      <c r="CP50" s="268"/>
      <c r="CQ50" s="268"/>
      <c r="CR50" s="267"/>
      <c r="CS50" s="267"/>
      <c r="CT50" s="267"/>
      <c r="CU50" s="267"/>
      <c r="CV50" s="267"/>
      <c r="CW50" s="267"/>
      <c r="CX50" s="267"/>
      <c r="CY50" s="267"/>
      <c r="CZ50" s="267"/>
      <c r="DA50" s="267"/>
    </row>
    <row r="51" spans="1:105" ht="129.94999999999999">
      <c r="A51" s="81">
        <v>37</v>
      </c>
      <c r="B51" s="81">
        <v>1</v>
      </c>
      <c r="C51" s="148">
        <v>46241</v>
      </c>
      <c r="D51" s="81" t="s">
        <v>277</v>
      </c>
      <c r="E51" s="149" t="s">
        <v>1289</v>
      </c>
      <c r="F51" s="91" t="s">
        <v>176</v>
      </c>
      <c r="G51" s="81" t="s">
        <v>1293</v>
      </c>
      <c r="H51" s="81" t="s">
        <v>1294</v>
      </c>
      <c r="I51" s="134"/>
      <c r="J51" s="81" t="s">
        <v>375</v>
      </c>
      <c r="K51" s="81" t="s">
        <v>1187</v>
      </c>
      <c r="L51" s="81" t="s">
        <v>281</v>
      </c>
      <c r="M51" s="81">
        <v>1</v>
      </c>
      <c r="N51" s="150">
        <v>0.35</v>
      </c>
      <c r="O51" s="150">
        <f t="shared" si="17"/>
        <v>3.8202499999999993</v>
      </c>
      <c r="P51" s="150">
        <f t="shared" si="26"/>
        <v>0.38500000000000001</v>
      </c>
      <c r="Q51" s="150"/>
      <c r="R51" s="150">
        <f t="shared" si="19"/>
        <v>0.53958333333333319</v>
      </c>
      <c r="S51" s="150">
        <f t="shared" si="33"/>
        <v>0.19424999999999995</v>
      </c>
      <c r="T51" s="150">
        <f t="shared" si="34"/>
        <v>2.9353333333333325E-2</v>
      </c>
      <c r="U51" s="204">
        <f t="shared" si="20"/>
        <v>0.76318666666666646</v>
      </c>
      <c r="V51" s="88">
        <v>159</v>
      </c>
      <c r="W51" s="150">
        <f t="shared" si="21"/>
        <v>137.06896551724139</v>
      </c>
      <c r="X51" s="125">
        <f t="shared" si="22"/>
        <v>82.24137931034484</v>
      </c>
      <c r="Y51" s="143">
        <f t="shared" si="23"/>
        <v>9.2798378756114575E-3</v>
      </c>
      <c r="Z51" s="153">
        <f t="shared" si="24"/>
        <v>0.99072016212438851</v>
      </c>
      <c r="AA51" s="153">
        <f t="shared" si="25"/>
        <v>0.4</v>
      </c>
      <c r="AB51" s="81" t="s">
        <v>284</v>
      </c>
      <c r="AC51" s="81" t="s">
        <v>67</v>
      </c>
      <c r="AD51" s="81">
        <v>6</v>
      </c>
      <c r="AE51" s="81">
        <v>144</v>
      </c>
      <c r="AF51" s="81" t="s">
        <v>1292</v>
      </c>
      <c r="AG51" s="81"/>
      <c r="AH51" s="146"/>
      <c r="AI51" s="157">
        <v>109</v>
      </c>
      <c r="AJ51" s="150">
        <f t="shared" si="27"/>
        <v>93.965517241379317</v>
      </c>
      <c r="AK51" s="130">
        <f t="shared" si="28"/>
        <v>8.1219865443425045E-3</v>
      </c>
      <c r="AL51" s="130">
        <f t="shared" si="29"/>
        <v>0.99187801345565751</v>
      </c>
      <c r="AM51" s="33">
        <f t="shared" si="30"/>
        <v>0</v>
      </c>
      <c r="BB51" s="3">
        <v>1</v>
      </c>
      <c r="BC51" s="3">
        <v>1</v>
      </c>
      <c r="BD51" s="3"/>
      <c r="BE51" s="3">
        <v>1</v>
      </c>
      <c r="BF51" s="3">
        <v>1</v>
      </c>
      <c r="BG51" s="3"/>
      <c r="BH51" s="3"/>
      <c r="BI51" s="3"/>
      <c r="BJ51" s="3"/>
      <c r="BK51" s="3">
        <v>9</v>
      </c>
      <c r="BL51" s="3">
        <f t="shared" si="31"/>
        <v>4</v>
      </c>
      <c r="BM51" s="292">
        <f t="shared" si="32"/>
        <v>0.44444444444444442</v>
      </c>
      <c r="BN51" s="295"/>
      <c r="BO51" s="295"/>
      <c r="BP51" s="295"/>
      <c r="BQ51" s="295"/>
      <c r="BR51" s="322"/>
      <c r="BS51" s="81" t="str">
        <f t="shared" si="16"/>
        <v>PENDIENTE INFORMACION DE PROVEEDOR</v>
      </c>
      <c r="BT51" s="81"/>
      <c r="CJ51" s="278"/>
      <c r="CK51" s="278"/>
      <c r="CL51" s="278"/>
      <c r="CM51" s="278"/>
      <c r="CN51" s="278"/>
      <c r="CO51" s="278"/>
      <c r="CP51" s="268"/>
      <c r="CQ51" s="268"/>
      <c r="CR51" s="267"/>
      <c r="CS51" s="267"/>
      <c r="CT51" s="267"/>
      <c r="CU51" s="267"/>
      <c r="CV51" s="267"/>
      <c r="CW51" s="267"/>
      <c r="CX51" s="267"/>
      <c r="CY51" s="267"/>
      <c r="CZ51" s="267"/>
      <c r="DA51" s="267"/>
    </row>
    <row r="52" spans="1:105" ht="129.94999999999999">
      <c r="A52" s="81">
        <v>38</v>
      </c>
      <c r="B52" s="81">
        <v>1</v>
      </c>
      <c r="C52" s="148">
        <v>46241</v>
      </c>
      <c r="D52" s="81" t="s">
        <v>277</v>
      </c>
      <c r="E52" s="149" t="s">
        <v>1289</v>
      </c>
      <c r="F52" s="91" t="s">
        <v>176</v>
      </c>
      <c r="G52" s="81" t="s">
        <v>1295</v>
      </c>
      <c r="H52" s="81" t="s">
        <v>1296</v>
      </c>
      <c r="I52" s="134"/>
      <c r="J52" s="81" t="s">
        <v>375</v>
      </c>
      <c r="K52" s="81" t="s">
        <v>1187</v>
      </c>
      <c r="L52" s="81" t="s">
        <v>281</v>
      </c>
      <c r="M52" s="81">
        <v>1</v>
      </c>
      <c r="N52" s="150">
        <v>0.35</v>
      </c>
      <c r="O52" s="150">
        <f t="shared" si="17"/>
        <v>3.8202499999999993</v>
      </c>
      <c r="P52" s="150">
        <f t="shared" si="26"/>
        <v>0.38500000000000001</v>
      </c>
      <c r="Q52" s="150"/>
      <c r="R52" s="150">
        <f t="shared" si="19"/>
        <v>0.53958333333333319</v>
      </c>
      <c r="S52" s="150">
        <f t="shared" si="33"/>
        <v>0.19424999999999995</v>
      </c>
      <c r="T52" s="150">
        <f t="shared" si="34"/>
        <v>2.9353333333333325E-2</v>
      </c>
      <c r="U52" s="204">
        <f t="shared" si="20"/>
        <v>0.76318666666666646</v>
      </c>
      <c r="V52" s="88">
        <v>159</v>
      </c>
      <c r="W52" s="150">
        <f t="shared" si="21"/>
        <v>137.06896551724139</v>
      </c>
      <c r="X52" s="125">
        <f t="shared" si="22"/>
        <v>82.24137931034484</v>
      </c>
      <c r="Y52" s="143">
        <f t="shared" si="23"/>
        <v>9.2798378756114575E-3</v>
      </c>
      <c r="Z52" s="153">
        <f t="shared" si="24"/>
        <v>0.99072016212438851</v>
      </c>
      <c r="AA52" s="153">
        <f t="shared" si="25"/>
        <v>0.4</v>
      </c>
      <c r="AB52" s="81" t="s">
        <v>284</v>
      </c>
      <c r="AC52" s="81" t="s">
        <v>67</v>
      </c>
      <c r="AD52" s="81">
        <v>6</v>
      </c>
      <c r="AE52" s="81">
        <v>144</v>
      </c>
      <c r="AF52" s="81" t="s">
        <v>1292</v>
      </c>
      <c r="AG52" s="81"/>
      <c r="AH52" s="146"/>
      <c r="AI52" s="157">
        <v>109</v>
      </c>
      <c r="AJ52" s="150">
        <f t="shared" si="27"/>
        <v>93.965517241379317</v>
      </c>
      <c r="AK52" s="130">
        <f t="shared" si="28"/>
        <v>8.1219865443425045E-3</v>
      </c>
      <c r="AL52" s="130">
        <f t="shared" si="29"/>
        <v>0.99187801345565751</v>
      </c>
      <c r="AM52" s="33">
        <f t="shared" si="30"/>
        <v>0</v>
      </c>
      <c r="BB52" s="3">
        <v>1</v>
      </c>
      <c r="BC52" s="3">
        <v>1</v>
      </c>
      <c r="BD52" s="3"/>
      <c r="BE52" s="3">
        <v>1</v>
      </c>
      <c r="BF52" s="3">
        <v>1</v>
      </c>
      <c r="BG52" s="3"/>
      <c r="BH52" s="3"/>
      <c r="BI52" s="3"/>
      <c r="BJ52" s="3"/>
      <c r="BK52" s="3">
        <v>9</v>
      </c>
      <c r="BL52" s="3">
        <f t="shared" si="31"/>
        <v>4</v>
      </c>
      <c r="BM52" s="292">
        <f t="shared" si="32"/>
        <v>0.44444444444444442</v>
      </c>
      <c r="BN52" s="295"/>
      <c r="BO52" s="295"/>
      <c r="BP52" s="295"/>
      <c r="BQ52" s="295"/>
      <c r="BR52" s="322"/>
      <c r="BS52" s="81" t="str">
        <f t="shared" si="16"/>
        <v>PENDIENTE INFORMACION DE PROVEEDOR</v>
      </c>
      <c r="BT52" s="81"/>
      <c r="CJ52" s="278"/>
      <c r="CK52" s="278"/>
      <c r="CL52" s="278"/>
      <c r="CM52" s="278"/>
      <c r="CN52" s="278"/>
      <c r="CO52" s="278"/>
      <c r="CP52" s="268"/>
      <c r="CQ52" s="268"/>
      <c r="CR52" s="267"/>
      <c r="CS52" s="267"/>
      <c r="CT52" s="267"/>
      <c r="CU52" s="267"/>
      <c r="CV52" s="267"/>
      <c r="CW52" s="267"/>
      <c r="CX52" s="267"/>
      <c r="CY52" s="267"/>
      <c r="CZ52" s="267"/>
      <c r="DA52" s="267"/>
    </row>
    <row r="53" spans="1:105" ht="129.94999999999999">
      <c r="A53" s="81">
        <v>39</v>
      </c>
      <c r="B53" s="81">
        <v>1</v>
      </c>
      <c r="C53" s="148">
        <v>46241</v>
      </c>
      <c r="D53" s="81" t="s">
        <v>277</v>
      </c>
      <c r="E53" s="149" t="s">
        <v>1289</v>
      </c>
      <c r="F53" s="91" t="s">
        <v>176</v>
      </c>
      <c r="G53" s="81" t="s">
        <v>1297</v>
      </c>
      <c r="H53" s="81" t="s">
        <v>1298</v>
      </c>
      <c r="I53" s="134" t="s">
        <v>1261</v>
      </c>
      <c r="J53" s="81" t="s">
        <v>375</v>
      </c>
      <c r="K53" s="81" t="s">
        <v>1187</v>
      </c>
      <c r="L53" s="81" t="s">
        <v>281</v>
      </c>
      <c r="M53" s="81">
        <v>1</v>
      </c>
      <c r="N53" s="150">
        <v>0.35</v>
      </c>
      <c r="O53" s="150">
        <f t="shared" si="17"/>
        <v>3.8202499999999993</v>
      </c>
      <c r="P53" s="150">
        <f t="shared" si="26"/>
        <v>0.38500000000000001</v>
      </c>
      <c r="Q53" s="150"/>
      <c r="R53" s="150">
        <f t="shared" si="19"/>
        <v>0.53958333333333319</v>
      </c>
      <c r="S53" s="150">
        <f t="shared" si="33"/>
        <v>0.19424999999999995</v>
      </c>
      <c r="T53" s="150">
        <f t="shared" si="34"/>
        <v>2.9353333333333325E-2</v>
      </c>
      <c r="U53" s="204">
        <f t="shared" si="20"/>
        <v>0.76318666666666646</v>
      </c>
      <c r="V53" s="88">
        <v>159</v>
      </c>
      <c r="W53" s="150">
        <f t="shared" si="21"/>
        <v>137.06896551724139</v>
      </c>
      <c r="X53" s="125">
        <f t="shared" si="22"/>
        <v>82.24137931034484</v>
      </c>
      <c r="Y53" s="143">
        <f t="shared" si="23"/>
        <v>9.2798378756114575E-3</v>
      </c>
      <c r="Z53" s="153">
        <f t="shared" si="24"/>
        <v>0.99072016212438851</v>
      </c>
      <c r="AA53" s="153">
        <f t="shared" si="25"/>
        <v>0.4</v>
      </c>
      <c r="AB53" s="81" t="s">
        <v>284</v>
      </c>
      <c r="AC53" s="81" t="s">
        <v>67</v>
      </c>
      <c r="AD53" s="81">
        <v>6</v>
      </c>
      <c r="AE53" s="81">
        <v>144</v>
      </c>
      <c r="AF53" s="81" t="s">
        <v>1292</v>
      </c>
      <c r="AG53" s="81"/>
      <c r="AH53" s="146"/>
      <c r="AI53" s="157">
        <v>109</v>
      </c>
      <c r="AJ53" s="150">
        <f t="shared" si="27"/>
        <v>93.965517241379317</v>
      </c>
      <c r="AK53" s="130">
        <f t="shared" si="28"/>
        <v>8.1219865443425045E-3</v>
      </c>
      <c r="AL53" s="130">
        <f t="shared" si="29"/>
        <v>0.99187801345565751</v>
      </c>
      <c r="AM53" s="33">
        <f t="shared" si="30"/>
        <v>0</v>
      </c>
      <c r="BB53" s="3">
        <v>1</v>
      </c>
      <c r="BC53" s="3">
        <v>1</v>
      </c>
      <c r="BD53" s="3"/>
      <c r="BE53" s="3">
        <v>1</v>
      </c>
      <c r="BF53" s="3">
        <v>1</v>
      </c>
      <c r="BG53" s="3"/>
      <c r="BH53" s="3"/>
      <c r="BI53" s="3"/>
      <c r="BJ53" s="3"/>
      <c r="BK53" s="3">
        <v>9</v>
      </c>
      <c r="BL53" s="3">
        <f t="shared" si="31"/>
        <v>4</v>
      </c>
      <c r="BM53" s="292">
        <f t="shared" si="32"/>
        <v>0.44444444444444442</v>
      </c>
      <c r="BN53" s="295"/>
      <c r="BO53" s="295"/>
      <c r="BP53" s="295"/>
      <c r="BQ53" s="295"/>
      <c r="BR53" s="322"/>
      <c r="BS53" s="81" t="str">
        <f t="shared" si="16"/>
        <v>PENDIENTE INFORMACION DE PROVEEDOR</v>
      </c>
      <c r="BT53" s="81"/>
      <c r="CJ53" s="278"/>
      <c r="CK53" s="278"/>
      <c r="CL53" s="278"/>
      <c r="CM53" s="278"/>
      <c r="CN53" s="278"/>
      <c r="CO53" s="278"/>
      <c r="CP53" s="268"/>
      <c r="CQ53" s="268"/>
      <c r="CR53" s="267"/>
      <c r="CS53" s="267"/>
      <c r="CT53" s="267"/>
      <c r="CU53" s="267"/>
      <c r="CV53" s="267"/>
      <c r="CW53" s="267"/>
      <c r="CX53" s="267"/>
      <c r="CY53" s="267"/>
      <c r="CZ53" s="267"/>
      <c r="DA53" s="267"/>
    </row>
    <row r="54" spans="1:105" ht="129.94999999999999">
      <c r="A54" s="81">
        <v>40</v>
      </c>
      <c r="B54" s="81">
        <v>1</v>
      </c>
      <c r="C54" s="148">
        <v>46241</v>
      </c>
      <c r="D54" s="81" t="s">
        <v>277</v>
      </c>
      <c r="E54" s="149" t="s">
        <v>1289</v>
      </c>
      <c r="F54" s="91" t="s">
        <v>176</v>
      </c>
      <c r="G54" s="81" t="s">
        <v>1299</v>
      </c>
      <c r="H54" s="81" t="s">
        <v>1300</v>
      </c>
      <c r="I54" s="134"/>
      <c r="J54" s="81" t="s">
        <v>375</v>
      </c>
      <c r="K54" s="81" t="s">
        <v>1187</v>
      </c>
      <c r="L54" s="81" t="s">
        <v>281</v>
      </c>
      <c r="M54" s="81">
        <v>1</v>
      </c>
      <c r="N54" s="150">
        <v>0.35</v>
      </c>
      <c r="O54" s="150">
        <f t="shared" si="17"/>
        <v>3.8202499999999993</v>
      </c>
      <c r="P54" s="150">
        <f t="shared" si="26"/>
        <v>0.38500000000000001</v>
      </c>
      <c r="Q54" s="150"/>
      <c r="R54" s="150">
        <f t="shared" si="19"/>
        <v>0.53958333333333319</v>
      </c>
      <c r="S54" s="150">
        <f t="shared" si="33"/>
        <v>0.19424999999999995</v>
      </c>
      <c r="T54" s="150">
        <f t="shared" si="34"/>
        <v>2.9353333333333325E-2</v>
      </c>
      <c r="U54" s="204">
        <f t="shared" si="20"/>
        <v>0.76318666666666646</v>
      </c>
      <c r="V54" s="88">
        <v>159</v>
      </c>
      <c r="W54" s="150">
        <f t="shared" si="21"/>
        <v>137.06896551724139</v>
      </c>
      <c r="X54" s="125">
        <f t="shared" si="22"/>
        <v>82.24137931034484</v>
      </c>
      <c r="Y54" s="143">
        <f t="shared" si="23"/>
        <v>9.2798378756114575E-3</v>
      </c>
      <c r="Z54" s="153">
        <f t="shared" si="24"/>
        <v>0.99072016212438851</v>
      </c>
      <c r="AA54" s="153">
        <f t="shared" si="25"/>
        <v>0.4</v>
      </c>
      <c r="AB54" s="81" t="s">
        <v>284</v>
      </c>
      <c r="AC54" s="81" t="s">
        <v>67</v>
      </c>
      <c r="AD54" s="81">
        <v>6</v>
      </c>
      <c r="AE54" s="81">
        <v>144</v>
      </c>
      <c r="AF54" s="81" t="s">
        <v>1292</v>
      </c>
      <c r="AG54" s="81"/>
      <c r="AH54" s="146"/>
      <c r="AI54" s="157">
        <v>109</v>
      </c>
      <c r="AJ54" s="150">
        <f t="shared" si="27"/>
        <v>93.965517241379317</v>
      </c>
      <c r="AK54" s="130">
        <f t="shared" si="28"/>
        <v>8.1219865443425045E-3</v>
      </c>
      <c r="AL54" s="130">
        <f t="shared" si="29"/>
        <v>0.99187801345565751</v>
      </c>
      <c r="AM54" s="33">
        <f t="shared" si="30"/>
        <v>0</v>
      </c>
      <c r="BB54" s="3">
        <v>1</v>
      </c>
      <c r="BC54" s="3">
        <v>1</v>
      </c>
      <c r="BD54" s="3"/>
      <c r="BE54" s="3">
        <v>1</v>
      </c>
      <c r="BF54" s="3">
        <v>1</v>
      </c>
      <c r="BG54" s="3"/>
      <c r="BH54" s="3"/>
      <c r="BI54" s="3"/>
      <c r="BJ54" s="3"/>
      <c r="BK54" s="3">
        <v>9</v>
      </c>
      <c r="BL54" s="3">
        <f t="shared" si="31"/>
        <v>4</v>
      </c>
      <c r="BM54" s="292">
        <f t="shared" si="32"/>
        <v>0.44444444444444442</v>
      </c>
      <c r="BN54" s="295"/>
      <c r="BO54" s="295"/>
      <c r="BP54" s="295"/>
      <c r="BQ54" s="295"/>
      <c r="BR54" s="322"/>
      <c r="BS54" s="81" t="str">
        <f t="shared" si="16"/>
        <v>PENDIENTE INFORMACION DE PROVEEDOR</v>
      </c>
      <c r="BT54" s="81"/>
      <c r="CJ54" s="278"/>
      <c r="CK54" s="278"/>
      <c r="CL54" s="278"/>
      <c r="CM54" s="278"/>
      <c r="CN54" s="278"/>
      <c r="CO54" s="278"/>
      <c r="CP54" s="268"/>
      <c r="CQ54" s="268"/>
      <c r="CR54" s="267"/>
      <c r="CS54" s="267"/>
      <c r="CT54" s="267"/>
      <c r="CU54" s="267"/>
      <c r="CV54" s="267"/>
      <c r="CW54" s="267"/>
      <c r="CX54" s="267"/>
      <c r="CY54" s="267"/>
      <c r="CZ54" s="267"/>
      <c r="DA54" s="267"/>
    </row>
    <row r="55" spans="1:105" ht="129.94999999999999">
      <c r="A55" s="81">
        <v>41</v>
      </c>
      <c r="B55" s="81">
        <v>1</v>
      </c>
      <c r="C55" s="148">
        <v>46241</v>
      </c>
      <c r="D55" s="81" t="s">
        <v>277</v>
      </c>
      <c r="E55" s="149" t="s">
        <v>1289</v>
      </c>
      <c r="F55" s="91" t="s">
        <v>176</v>
      </c>
      <c r="G55" s="81" t="s">
        <v>1301</v>
      </c>
      <c r="H55" s="81" t="s">
        <v>1302</v>
      </c>
      <c r="I55" s="134" t="s">
        <v>1261</v>
      </c>
      <c r="J55" s="81" t="s">
        <v>375</v>
      </c>
      <c r="K55" s="81" t="s">
        <v>1187</v>
      </c>
      <c r="L55" s="81" t="s">
        <v>281</v>
      </c>
      <c r="M55" s="81">
        <v>1</v>
      </c>
      <c r="N55" s="150">
        <v>0.35</v>
      </c>
      <c r="O55" s="150">
        <f t="shared" si="17"/>
        <v>3.8202499999999993</v>
      </c>
      <c r="P55" s="150">
        <f t="shared" si="26"/>
        <v>0.38500000000000001</v>
      </c>
      <c r="Q55" s="150"/>
      <c r="R55" s="150">
        <f t="shared" si="19"/>
        <v>0.53958333333333319</v>
      </c>
      <c r="S55" s="150">
        <f t="shared" si="33"/>
        <v>0.19424999999999995</v>
      </c>
      <c r="T55" s="150">
        <f t="shared" si="34"/>
        <v>2.9353333333333325E-2</v>
      </c>
      <c r="U55" s="204">
        <f t="shared" si="20"/>
        <v>0.76318666666666646</v>
      </c>
      <c r="V55" s="88">
        <v>119</v>
      </c>
      <c r="W55" s="150">
        <f t="shared" si="21"/>
        <v>102.58620689655173</v>
      </c>
      <c r="X55" s="125">
        <f t="shared" si="22"/>
        <v>61.551724137931032</v>
      </c>
      <c r="Y55" s="143">
        <f t="shared" si="23"/>
        <v>1.2399111111111109E-2</v>
      </c>
      <c r="Z55" s="153">
        <f t="shared" si="24"/>
        <v>0.98760088888888886</v>
      </c>
      <c r="AA55" s="153">
        <f t="shared" si="25"/>
        <v>0.4</v>
      </c>
      <c r="AB55" s="81" t="s">
        <v>284</v>
      </c>
      <c r="AC55" s="81" t="s">
        <v>67</v>
      </c>
      <c r="AD55" s="81">
        <v>6</v>
      </c>
      <c r="AE55" s="81">
        <v>144</v>
      </c>
      <c r="AF55" s="81" t="s">
        <v>1292</v>
      </c>
      <c r="AG55" s="81"/>
      <c r="AH55" s="146"/>
      <c r="AI55" s="157">
        <v>69</v>
      </c>
      <c r="AJ55" s="150">
        <f t="shared" si="27"/>
        <v>59.482758620689658</v>
      </c>
      <c r="AK55" s="130">
        <f t="shared" si="28"/>
        <v>1.2830384541062797E-2</v>
      </c>
      <c r="AL55" s="130">
        <f t="shared" si="29"/>
        <v>0.98716961545893722</v>
      </c>
      <c r="AM55" s="33">
        <f t="shared" si="30"/>
        <v>0</v>
      </c>
      <c r="BB55" s="3">
        <v>1</v>
      </c>
      <c r="BC55" s="3">
        <v>1</v>
      </c>
      <c r="BD55" s="3"/>
      <c r="BE55" s="3">
        <v>1</v>
      </c>
      <c r="BF55" s="3">
        <v>1</v>
      </c>
      <c r="BG55" s="3"/>
      <c r="BH55" s="3"/>
      <c r="BI55" s="3"/>
      <c r="BJ55" s="3"/>
      <c r="BK55" s="3">
        <v>9</v>
      </c>
      <c r="BL55" s="3">
        <f t="shared" si="31"/>
        <v>4</v>
      </c>
      <c r="BM55" s="292">
        <f t="shared" si="32"/>
        <v>0.44444444444444442</v>
      </c>
      <c r="BN55" s="295"/>
      <c r="BO55" s="295"/>
      <c r="BP55" s="295"/>
      <c r="BQ55" s="295"/>
      <c r="BR55" s="322"/>
      <c r="BS55" s="81" t="str">
        <f t="shared" si="16"/>
        <v>PENDIENTE INFORMACION DE PROVEEDOR</v>
      </c>
      <c r="BT55" s="81"/>
      <c r="CJ55" s="278"/>
      <c r="CK55" s="278"/>
      <c r="CL55" s="278"/>
      <c r="CM55" s="278"/>
      <c r="CN55" s="278"/>
      <c r="CO55" s="278"/>
      <c r="CP55" s="268"/>
      <c r="CQ55" s="268"/>
      <c r="CR55" s="267"/>
      <c r="CS55" s="267"/>
      <c r="CT55" s="267"/>
      <c r="CU55" s="267"/>
      <c r="CV55" s="267"/>
      <c r="CW55" s="267"/>
      <c r="CX55" s="267"/>
      <c r="CY55" s="267"/>
      <c r="CZ55" s="267"/>
      <c r="DA55" s="267"/>
    </row>
    <row r="56" spans="1:105" ht="129.94999999999999">
      <c r="A56" s="81">
        <v>42</v>
      </c>
      <c r="B56" s="81">
        <v>1</v>
      </c>
      <c r="C56" s="148">
        <v>46241</v>
      </c>
      <c r="D56" s="81" t="s">
        <v>277</v>
      </c>
      <c r="E56" s="149" t="s">
        <v>1289</v>
      </c>
      <c r="F56" s="91" t="s">
        <v>176</v>
      </c>
      <c r="G56" s="81" t="s">
        <v>1303</v>
      </c>
      <c r="H56" s="81" t="s">
        <v>1304</v>
      </c>
      <c r="I56" s="134"/>
      <c r="J56" s="81" t="s">
        <v>375</v>
      </c>
      <c r="K56" s="81" t="s">
        <v>1187</v>
      </c>
      <c r="L56" s="81" t="s">
        <v>281</v>
      </c>
      <c r="M56" s="81">
        <v>1</v>
      </c>
      <c r="N56" s="150">
        <v>0.35</v>
      </c>
      <c r="O56" s="150">
        <f t="shared" si="17"/>
        <v>3.8202499999999993</v>
      </c>
      <c r="P56" s="150">
        <f t="shared" si="26"/>
        <v>0.38500000000000001</v>
      </c>
      <c r="Q56" s="150"/>
      <c r="R56" s="150">
        <f t="shared" si="19"/>
        <v>0.53958333333333319</v>
      </c>
      <c r="S56" s="150">
        <f t="shared" si="33"/>
        <v>0.19424999999999995</v>
      </c>
      <c r="T56" s="150">
        <f t="shared" si="34"/>
        <v>2.9353333333333325E-2</v>
      </c>
      <c r="U56" s="204">
        <f t="shared" si="20"/>
        <v>0.76318666666666646</v>
      </c>
      <c r="V56" s="88">
        <v>119</v>
      </c>
      <c r="W56" s="150">
        <f t="shared" si="21"/>
        <v>102.58620689655173</v>
      </c>
      <c r="X56" s="125">
        <f t="shared" si="22"/>
        <v>61.551724137931032</v>
      </c>
      <c r="Y56" s="143">
        <f t="shared" si="23"/>
        <v>1.2399111111111109E-2</v>
      </c>
      <c r="Z56" s="153">
        <f t="shared" si="24"/>
        <v>0.98760088888888886</v>
      </c>
      <c r="AA56" s="153">
        <f t="shared" si="25"/>
        <v>0.4</v>
      </c>
      <c r="AB56" s="81" t="s">
        <v>284</v>
      </c>
      <c r="AC56" s="81" t="s">
        <v>67</v>
      </c>
      <c r="AD56" s="81">
        <v>6</v>
      </c>
      <c r="AE56" s="81">
        <v>144</v>
      </c>
      <c r="AF56" s="81" t="s">
        <v>1292</v>
      </c>
      <c r="AG56" s="81"/>
      <c r="AH56" s="146"/>
      <c r="AI56" s="157">
        <v>69</v>
      </c>
      <c r="AJ56" s="150">
        <f t="shared" si="27"/>
        <v>59.482758620689658</v>
      </c>
      <c r="AK56" s="130">
        <f t="shared" si="28"/>
        <v>1.2830384541062797E-2</v>
      </c>
      <c r="AL56" s="130">
        <f t="shared" si="29"/>
        <v>0.98716961545893722</v>
      </c>
      <c r="AM56" s="33">
        <f t="shared" si="30"/>
        <v>0</v>
      </c>
      <c r="BB56" s="3">
        <v>1</v>
      </c>
      <c r="BC56" s="3">
        <v>1</v>
      </c>
      <c r="BD56" s="3"/>
      <c r="BE56" s="3">
        <v>1</v>
      </c>
      <c r="BF56" s="3">
        <v>1</v>
      </c>
      <c r="BG56" s="3"/>
      <c r="BH56" s="3"/>
      <c r="BI56" s="3"/>
      <c r="BJ56" s="3"/>
      <c r="BK56" s="3">
        <v>9</v>
      </c>
      <c r="BL56" s="3">
        <f t="shared" si="31"/>
        <v>4</v>
      </c>
      <c r="BM56" s="292">
        <f t="shared" si="32"/>
        <v>0.44444444444444442</v>
      </c>
      <c r="BN56" s="295"/>
      <c r="BO56" s="295"/>
      <c r="BP56" s="295"/>
      <c r="BQ56" s="295"/>
      <c r="BR56" s="322"/>
      <c r="BS56" s="81" t="str">
        <f t="shared" si="16"/>
        <v>PENDIENTE INFORMACION DE PROVEEDOR</v>
      </c>
      <c r="BT56" s="81"/>
      <c r="CJ56" s="278"/>
      <c r="CK56" s="278"/>
      <c r="CL56" s="278"/>
      <c r="CM56" s="278"/>
      <c r="CN56" s="278"/>
      <c r="CO56" s="278"/>
      <c r="CP56" s="268"/>
      <c r="CQ56" s="268"/>
      <c r="CR56" s="267"/>
      <c r="CS56" s="267"/>
      <c r="CT56" s="267"/>
      <c r="CU56" s="267"/>
      <c r="CV56" s="267"/>
      <c r="CW56" s="267"/>
      <c r="CX56" s="267"/>
      <c r="CY56" s="267"/>
      <c r="CZ56" s="267"/>
      <c r="DA56" s="267"/>
    </row>
    <row r="57" spans="1:105" ht="129.94999999999999">
      <c r="A57" s="81">
        <v>43</v>
      </c>
      <c r="B57" s="81">
        <v>1</v>
      </c>
      <c r="C57" s="148">
        <v>46241</v>
      </c>
      <c r="D57" s="81" t="s">
        <v>277</v>
      </c>
      <c r="E57" s="149" t="s">
        <v>1289</v>
      </c>
      <c r="F57" s="91" t="s">
        <v>176</v>
      </c>
      <c r="G57" s="81" t="s">
        <v>1305</v>
      </c>
      <c r="H57" s="81" t="s">
        <v>1306</v>
      </c>
      <c r="I57" s="134"/>
      <c r="J57" s="81" t="s">
        <v>375</v>
      </c>
      <c r="K57" s="81" t="s">
        <v>1187</v>
      </c>
      <c r="L57" s="81" t="s">
        <v>281</v>
      </c>
      <c r="M57" s="81">
        <v>1</v>
      </c>
      <c r="N57" s="150">
        <v>0.35</v>
      </c>
      <c r="O57" s="150">
        <f t="shared" si="17"/>
        <v>3.8202499999999993</v>
      </c>
      <c r="P57" s="150">
        <f t="shared" si="26"/>
        <v>0.38500000000000001</v>
      </c>
      <c r="Q57" s="150"/>
      <c r="R57" s="150">
        <f t="shared" si="19"/>
        <v>0.53958333333333319</v>
      </c>
      <c r="S57" s="150">
        <f t="shared" si="33"/>
        <v>0.19424999999999995</v>
      </c>
      <c r="T57" s="150">
        <f t="shared" si="34"/>
        <v>2.9353333333333325E-2</v>
      </c>
      <c r="U57" s="204">
        <f t="shared" si="20"/>
        <v>0.76318666666666646</v>
      </c>
      <c r="V57" s="88">
        <v>119</v>
      </c>
      <c r="W57" s="150">
        <f t="shared" si="21"/>
        <v>102.58620689655173</v>
      </c>
      <c r="X57" s="125">
        <f t="shared" si="22"/>
        <v>61.551724137931032</v>
      </c>
      <c r="Y57" s="143">
        <f t="shared" si="23"/>
        <v>1.2399111111111109E-2</v>
      </c>
      <c r="Z57" s="153">
        <f t="shared" si="24"/>
        <v>0.98760088888888886</v>
      </c>
      <c r="AA57" s="153">
        <f t="shared" si="25"/>
        <v>0.4</v>
      </c>
      <c r="AB57" s="81" t="s">
        <v>284</v>
      </c>
      <c r="AC57" s="81" t="s">
        <v>67</v>
      </c>
      <c r="AD57" s="81">
        <v>6</v>
      </c>
      <c r="AE57" s="81">
        <v>144</v>
      </c>
      <c r="AF57" s="81" t="s">
        <v>1292</v>
      </c>
      <c r="AG57" s="81"/>
      <c r="AH57" s="146"/>
      <c r="AI57" s="157">
        <v>69</v>
      </c>
      <c r="AJ57" s="150">
        <f t="shared" si="27"/>
        <v>59.482758620689658</v>
      </c>
      <c r="AK57" s="130">
        <f t="shared" si="28"/>
        <v>1.2830384541062797E-2</v>
      </c>
      <c r="AL57" s="130">
        <f t="shared" si="29"/>
        <v>0.98716961545893722</v>
      </c>
      <c r="AM57" s="33">
        <f t="shared" si="30"/>
        <v>0</v>
      </c>
      <c r="BB57" s="3">
        <v>1</v>
      </c>
      <c r="BC57" s="3">
        <v>1</v>
      </c>
      <c r="BD57" s="3"/>
      <c r="BE57" s="3">
        <v>1</v>
      </c>
      <c r="BF57" s="3">
        <v>1</v>
      </c>
      <c r="BG57" s="3"/>
      <c r="BH57" s="3"/>
      <c r="BI57" s="3"/>
      <c r="BJ57" s="3"/>
      <c r="BK57" s="3">
        <v>9</v>
      </c>
      <c r="BL57" s="3">
        <f t="shared" si="31"/>
        <v>4</v>
      </c>
      <c r="BM57" s="292">
        <f t="shared" si="32"/>
        <v>0.44444444444444442</v>
      </c>
      <c r="BN57" s="295"/>
      <c r="BO57" s="295"/>
      <c r="BP57" s="295"/>
      <c r="BQ57" s="295"/>
      <c r="BR57" s="322"/>
      <c r="BS57" s="81" t="str">
        <f t="shared" si="16"/>
        <v>PENDIENTE INFORMACION DE PROVEEDOR</v>
      </c>
      <c r="BT57" s="81"/>
      <c r="CJ57" s="278"/>
      <c r="CK57" s="278"/>
      <c r="CL57" s="278"/>
      <c r="CM57" s="278"/>
      <c r="CN57" s="278"/>
      <c r="CO57" s="278"/>
      <c r="CP57" s="268"/>
      <c r="CQ57" s="268"/>
      <c r="CR57" s="267"/>
      <c r="CS57" s="267"/>
      <c r="CT57" s="267"/>
      <c r="CU57" s="267"/>
      <c r="CV57" s="267"/>
      <c r="CW57" s="267"/>
      <c r="CX57" s="267"/>
      <c r="CY57" s="267"/>
      <c r="CZ57" s="267"/>
      <c r="DA57" s="267"/>
    </row>
    <row r="58" spans="1:105" ht="129.94999999999999">
      <c r="A58" s="81">
        <v>44</v>
      </c>
      <c r="B58" s="81">
        <v>1</v>
      </c>
      <c r="C58" s="148">
        <v>46241</v>
      </c>
      <c r="D58" s="81" t="s">
        <v>277</v>
      </c>
      <c r="E58" s="149" t="s">
        <v>1289</v>
      </c>
      <c r="F58" s="91" t="s">
        <v>176</v>
      </c>
      <c r="G58" s="81" t="s">
        <v>1307</v>
      </c>
      <c r="H58" s="81" t="s">
        <v>1308</v>
      </c>
      <c r="I58" s="134"/>
      <c r="J58" s="81" t="s">
        <v>375</v>
      </c>
      <c r="K58" s="81" t="s">
        <v>1187</v>
      </c>
      <c r="L58" s="81" t="s">
        <v>281</v>
      </c>
      <c r="M58" s="81">
        <v>1</v>
      </c>
      <c r="N58" s="150">
        <v>0.35</v>
      </c>
      <c r="O58" s="150">
        <f t="shared" si="17"/>
        <v>3.8202499999999993</v>
      </c>
      <c r="P58" s="150">
        <f t="shared" si="26"/>
        <v>0.38500000000000001</v>
      </c>
      <c r="Q58" s="150"/>
      <c r="R58" s="150">
        <f t="shared" si="19"/>
        <v>0.53958333333333319</v>
      </c>
      <c r="S58" s="150">
        <f t="shared" si="33"/>
        <v>0.19424999999999995</v>
      </c>
      <c r="T58" s="150">
        <f t="shared" si="34"/>
        <v>2.9353333333333325E-2</v>
      </c>
      <c r="U58" s="204">
        <f t="shared" si="20"/>
        <v>0.76318666666666646</v>
      </c>
      <c r="V58" s="88">
        <v>119</v>
      </c>
      <c r="W58" s="150">
        <f t="shared" si="21"/>
        <v>102.58620689655173</v>
      </c>
      <c r="X58" s="125">
        <f t="shared" si="22"/>
        <v>61.551724137931032</v>
      </c>
      <c r="Y58" s="143">
        <f t="shared" si="23"/>
        <v>1.2399111111111109E-2</v>
      </c>
      <c r="Z58" s="153">
        <f t="shared" si="24"/>
        <v>0.98760088888888886</v>
      </c>
      <c r="AA58" s="153">
        <f t="shared" si="25"/>
        <v>0.4</v>
      </c>
      <c r="AB58" s="81" t="s">
        <v>284</v>
      </c>
      <c r="AC58" s="81" t="s">
        <v>67</v>
      </c>
      <c r="AD58" s="81">
        <v>6</v>
      </c>
      <c r="AE58" s="81">
        <v>144</v>
      </c>
      <c r="AF58" s="81" t="s">
        <v>1292</v>
      </c>
      <c r="AG58" s="81"/>
      <c r="AH58" s="146"/>
      <c r="AI58" s="157">
        <v>69</v>
      </c>
      <c r="AJ58" s="150">
        <f t="shared" si="27"/>
        <v>59.482758620689658</v>
      </c>
      <c r="AK58" s="130">
        <f t="shared" si="28"/>
        <v>1.2830384541062797E-2</v>
      </c>
      <c r="AL58" s="130">
        <f t="shared" si="29"/>
        <v>0.98716961545893722</v>
      </c>
      <c r="AM58" s="33">
        <f t="shared" si="30"/>
        <v>0</v>
      </c>
      <c r="BB58" s="3">
        <v>1</v>
      </c>
      <c r="BC58" s="3">
        <v>1</v>
      </c>
      <c r="BD58" s="3"/>
      <c r="BE58" s="3">
        <v>1</v>
      </c>
      <c r="BF58" s="3">
        <v>1</v>
      </c>
      <c r="BG58" s="3"/>
      <c r="BH58" s="3"/>
      <c r="BI58" s="3"/>
      <c r="BJ58" s="3"/>
      <c r="BK58" s="3">
        <v>9</v>
      </c>
      <c r="BL58" s="3">
        <f t="shared" si="31"/>
        <v>4</v>
      </c>
      <c r="BM58" s="292">
        <f t="shared" si="32"/>
        <v>0.44444444444444442</v>
      </c>
      <c r="BN58" s="295"/>
      <c r="BO58" s="295"/>
      <c r="BP58" s="295"/>
      <c r="BQ58" s="295"/>
      <c r="BR58" s="322"/>
      <c r="BS58" s="81" t="str">
        <f t="shared" si="16"/>
        <v>PENDIENTE INFORMACION DE PROVEEDOR</v>
      </c>
      <c r="BT58" s="81"/>
      <c r="CJ58" s="278"/>
      <c r="CK58" s="278"/>
      <c r="CL58" s="278"/>
      <c r="CM58" s="278"/>
      <c r="CN58" s="278"/>
      <c r="CO58" s="278"/>
      <c r="CP58" s="268"/>
      <c r="CQ58" s="268"/>
      <c r="CR58" s="267"/>
      <c r="CS58" s="267"/>
      <c r="CT58" s="267"/>
      <c r="CU58" s="267"/>
      <c r="CV58" s="267"/>
      <c r="CW58" s="267"/>
      <c r="CX58" s="267"/>
      <c r="CY58" s="267"/>
      <c r="CZ58" s="267"/>
      <c r="DA58" s="267"/>
    </row>
    <row r="59" spans="1:105" ht="129.94999999999999">
      <c r="A59" s="81">
        <v>45</v>
      </c>
      <c r="B59" s="81">
        <v>1</v>
      </c>
      <c r="C59" s="148">
        <v>46241</v>
      </c>
      <c r="D59" s="81" t="s">
        <v>277</v>
      </c>
      <c r="E59" s="149" t="s">
        <v>1289</v>
      </c>
      <c r="F59" s="91" t="s">
        <v>176</v>
      </c>
      <c r="G59" s="81" t="s">
        <v>1309</v>
      </c>
      <c r="H59" s="81" t="s">
        <v>1310</v>
      </c>
      <c r="I59" s="134" t="s">
        <v>1261</v>
      </c>
      <c r="J59" s="81" t="s">
        <v>375</v>
      </c>
      <c r="K59" s="81" t="s">
        <v>1187</v>
      </c>
      <c r="L59" s="81" t="s">
        <v>281</v>
      </c>
      <c r="M59" s="81">
        <v>1</v>
      </c>
      <c r="N59" s="150">
        <v>0.35</v>
      </c>
      <c r="O59" s="150">
        <f t="shared" si="17"/>
        <v>3.8202499999999993</v>
      </c>
      <c r="P59" s="150">
        <f t="shared" si="26"/>
        <v>0.38500000000000001</v>
      </c>
      <c r="Q59" s="150"/>
      <c r="R59" s="150">
        <f t="shared" si="19"/>
        <v>0.53958333333333319</v>
      </c>
      <c r="S59" s="150">
        <f t="shared" si="33"/>
        <v>0.19424999999999995</v>
      </c>
      <c r="T59" s="150">
        <f>(R59+S59)*23.37%</f>
        <v>0.17149684999999995</v>
      </c>
      <c r="U59" s="204">
        <f t="shared" si="20"/>
        <v>0.90533018333333304</v>
      </c>
      <c r="V59" s="88">
        <v>149</v>
      </c>
      <c r="W59" s="150">
        <f t="shared" si="21"/>
        <v>128.44827586206898</v>
      </c>
      <c r="X59" s="125">
        <f t="shared" si="22"/>
        <v>77.068965517241381</v>
      </c>
      <c r="Y59" s="143">
        <f t="shared" si="23"/>
        <v>1.1747013564504097E-2</v>
      </c>
      <c r="Z59" s="153">
        <f t="shared" si="24"/>
        <v>0.98825298643549586</v>
      </c>
      <c r="AA59" s="153">
        <f t="shared" si="25"/>
        <v>0.4</v>
      </c>
      <c r="AB59" s="81" t="s">
        <v>284</v>
      </c>
      <c r="AC59" s="81" t="s">
        <v>67</v>
      </c>
      <c r="AD59" s="81">
        <v>6</v>
      </c>
      <c r="AE59" s="81">
        <v>144</v>
      </c>
      <c r="AF59" s="81" t="s">
        <v>1292</v>
      </c>
      <c r="AG59" s="81"/>
      <c r="AH59" s="146"/>
      <c r="AI59" s="157">
        <f>V59*0.6</f>
        <v>89.399999999999991</v>
      </c>
      <c r="AJ59" s="150">
        <f t="shared" si="27"/>
        <v>77.068965517241381</v>
      </c>
      <c r="AK59" s="130">
        <f t="shared" si="28"/>
        <v>1.1747013564504097E-2</v>
      </c>
      <c r="AL59" s="130">
        <f t="shared" si="29"/>
        <v>0.98825298643549586</v>
      </c>
      <c r="AM59" s="33">
        <f t="shared" si="30"/>
        <v>0</v>
      </c>
      <c r="BB59" s="3">
        <v>1</v>
      </c>
      <c r="BC59" s="3">
        <v>1</v>
      </c>
      <c r="BD59" s="3"/>
      <c r="BE59" s="3">
        <v>1</v>
      </c>
      <c r="BF59" s="3">
        <v>1</v>
      </c>
      <c r="BG59" s="3"/>
      <c r="BH59" s="3"/>
      <c r="BI59" s="3"/>
      <c r="BJ59" s="3"/>
      <c r="BK59" s="3">
        <v>9</v>
      </c>
      <c r="BL59" s="3">
        <f t="shared" si="31"/>
        <v>4</v>
      </c>
      <c r="BM59" s="292">
        <f t="shared" si="32"/>
        <v>0.44444444444444442</v>
      </c>
      <c r="BN59" s="295"/>
      <c r="BO59" s="295"/>
      <c r="BP59" s="295"/>
      <c r="BQ59" s="295"/>
      <c r="BR59" s="322"/>
      <c r="BS59" s="81" t="str">
        <f t="shared" si="16"/>
        <v>PENDIENTE INFORMACION DE PROVEEDOR</v>
      </c>
      <c r="BT59" s="81"/>
      <c r="CJ59" s="278"/>
      <c r="CK59" s="278"/>
      <c r="CL59" s="278"/>
      <c r="CM59" s="278"/>
      <c r="CN59" s="278"/>
      <c r="CO59" s="278"/>
      <c r="CP59" s="268"/>
      <c r="CQ59" s="268"/>
      <c r="CR59" s="267"/>
      <c r="CS59" s="267"/>
      <c r="CT59" s="267"/>
      <c r="CU59" s="267"/>
      <c r="CV59" s="267"/>
      <c r="CW59" s="267"/>
      <c r="CX59" s="267"/>
      <c r="CY59" s="267"/>
      <c r="CZ59" s="267"/>
      <c r="DA59" s="267"/>
    </row>
    <row r="60" spans="1:105" ht="129.94999999999999">
      <c r="A60" s="81">
        <v>46</v>
      </c>
      <c r="B60" s="81">
        <v>1</v>
      </c>
      <c r="C60" s="148">
        <v>46241</v>
      </c>
      <c r="D60" s="81" t="s">
        <v>277</v>
      </c>
      <c r="E60" s="149" t="s">
        <v>1289</v>
      </c>
      <c r="F60" s="91" t="s">
        <v>176</v>
      </c>
      <c r="G60" s="81" t="s">
        <v>1311</v>
      </c>
      <c r="H60" s="81" t="s">
        <v>1312</v>
      </c>
      <c r="I60" s="134"/>
      <c r="J60" s="81" t="s">
        <v>375</v>
      </c>
      <c r="K60" s="81" t="s">
        <v>1187</v>
      </c>
      <c r="L60" s="81" t="s">
        <v>281</v>
      </c>
      <c r="M60" s="81">
        <v>1</v>
      </c>
      <c r="N60" s="150">
        <v>0.35</v>
      </c>
      <c r="O60" s="150">
        <f t="shared" si="17"/>
        <v>3.8202499999999993</v>
      </c>
      <c r="P60" s="150">
        <f t="shared" si="26"/>
        <v>0.38500000000000001</v>
      </c>
      <c r="Q60" s="150"/>
      <c r="R60" s="150">
        <f t="shared" si="19"/>
        <v>0.53958333333333319</v>
      </c>
      <c r="S60" s="150">
        <f t="shared" si="33"/>
        <v>0.19424999999999995</v>
      </c>
      <c r="T60" s="150">
        <f>(R60+S60)*23.37%</f>
        <v>0.17149684999999995</v>
      </c>
      <c r="U60" s="204">
        <f t="shared" si="20"/>
        <v>0.90533018333333304</v>
      </c>
      <c r="V60" s="88">
        <v>149</v>
      </c>
      <c r="W60" s="150">
        <f t="shared" si="21"/>
        <v>128.44827586206898</v>
      </c>
      <c r="X60" s="125">
        <f t="shared" si="22"/>
        <v>77.068965517241381</v>
      </c>
      <c r="Y60" s="143">
        <f t="shared" si="23"/>
        <v>1.1747013564504097E-2</v>
      </c>
      <c r="Z60" s="153">
        <f t="shared" si="24"/>
        <v>0.98825298643549586</v>
      </c>
      <c r="AA60" s="153">
        <f t="shared" si="25"/>
        <v>0.4</v>
      </c>
      <c r="AB60" s="81" t="s">
        <v>284</v>
      </c>
      <c r="AC60" s="81" t="s">
        <v>67</v>
      </c>
      <c r="AD60" s="81">
        <v>6</v>
      </c>
      <c r="AE60" s="81">
        <v>144</v>
      </c>
      <c r="AF60" s="81" t="s">
        <v>1292</v>
      </c>
      <c r="AG60" s="81"/>
      <c r="AH60" s="146"/>
      <c r="AI60" s="157">
        <f>V60*0.6</f>
        <v>89.399999999999991</v>
      </c>
      <c r="AJ60" s="150">
        <f t="shared" si="27"/>
        <v>77.068965517241381</v>
      </c>
      <c r="AK60" s="130">
        <f t="shared" si="28"/>
        <v>1.1747013564504097E-2</v>
      </c>
      <c r="AL60" s="130">
        <f t="shared" si="29"/>
        <v>0.98825298643549586</v>
      </c>
      <c r="AM60" s="33">
        <f t="shared" si="30"/>
        <v>0</v>
      </c>
      <c r="BB60" s="3">
        <v>1</v>
      </c>
      <c r="BC60" s="3">
        <v>1</v>
      </c>
      <c r="BD60" s="3"/>
      <c r="BE60" s="3">
        <v>1</v>
      </c>
      <c r="BF60" s="3">
        <v>1</v>
      </c>
      <c r="BG60" s="3"/>
      <c r="BH60" s="3"/>
      <c r="BI60" s="3"/>
      <c r="BJ60" s="3"/>
      <c r="BK60" s="3">
        <v>9</v>
      </c>
      <c r="BL60" s="3">
        <f t="shared" si="31"/>
        <v>4</v>
      </c>
      <c r="BM60" s="292">
        <f t="shared" si="32"/>
        <v>0.44444444444444442</v>
      </c>
      <c r="BN60" s="295"/>
      <c r="BO60" s="295"/>
      <c r="BP60" s="295"/>
      <c r="BQ60" s="295"/>
      <c r="BR60" s="322"/>
      <c r="BS60" s="81" t="str">
        <f t="shared" si="16"/>
        <v>PENDIENTE INFORMACION DE PROVEEDOR</v>
      </c>
      <c r="BT60" s="81"/>
      <c r="CJ60" s="278"/>
      <c r="CK60" s="278"/>
      <c r="CL60" s="278"/>
      <c r="CM60" s="278"/>
      <c r="CN60" s="278"/>
      <c r="CO60" s="278"/>
      <c r="CP60" s="268"/>
      <c r="CQ60" s="268"/>
      <c r="CR60" s="267"/>
      <c r="CS60" s="267"/>
      <c r="CT60" s="267"/>
      <c r="CU60" s="267"/>
      <c r="CV60" s="267"/>
      <c r="CW60" s="267"/>
      <c r="CX60" s="267"/>
      <c r="CY60" s="267"/>
      <c r="CZ60" s="267"/>
      <c r="DA60" s="267"/>
    </row>
    <row r="61" spans="1:105" ht="129.94999999999999">
      <c r="A61" s="81">
        <v>47</v>
      </c>
      <c r="B61" s="81">
        <v>1</v>
      </c>
      <c r="C61" s="148">
        <v>46241</v>
      </c>
      <c r="D61" s="81" t="s">
        <v>277</v>
      </c>
      <c r="E61" s="149" t="s">
        <v>1289</v>
      </c>
      <c r="F61" s="91" t="s">
        <v>176</v>
      </c>
      <c r="G61" s="81" t="s">
        <v>1313</v>
      </c>
      <c r="H61" s="81" t="s">
        <v>1314</v>
      </c>
      <c r="I61" s="134"/>
      <c r="J61" s="81" t="s">
        <v>375</v>
      </c>
      <c r="K61" s="81" t="s">
        <v>1187</v>
      </c>
      <c r="L61" s="81" t="s">
        <v>281</v>
      </c>
      <c r="M61" s="81">
        <v>1</v>
      </c>
      <c r="N61" s="150">
        <v>0.35</v>
      </c>
      <c r="O61" s="150">
        <f t="shared" si="17"/>
        <v>3.8202499999999993</v>
      </c>
      <c r="P61" s="150">
        <f t="shared" si="26"/>
        <v>0.38500000000000001</v>
      </c>
      <c r="Q61" s="150"/>
      <c r="R61" s="150">
        <f t="shared" si="19"/>
        <v>0.53958333333333319</v>
      </c>
      <c r="S61" s="150">
        <f t="shared" si="33"/>
        <v>0.19424999999999995</v>
      </c>
      <c r="T61" s="150">
        <f>(R61+S61)*23.37%</f>
        <v>0.17149684999999995</v>
      </c>
      <c r="U61" s="204">
        <f t="shared" si="20"/>
        <v>0.90533018333333304</v>
      </c>
      <c r="V61" s="88">
        <v>149</v>
      </c>
      <c r="W61" s="150">
        <f t="shared" si="21"/>
        <v>128.44827586206898</v>
      </c>
      <c r="X61" s="125">
        <f t="shared" si="22"/>
        <v>77.068965517241381</v>
      </c>
      <c r="Y61" s="143">
        <f t="shared" si="23"/>
        <v>1.1747013564504097E-2</v>
      </c>
      <c r="Z61" s="153">
        <f t="shared" si="24"/>
        <v>0.98825298643549586</v>
      </c>
      <c r="AA61" s="153">
        <f t="shared" si="25"/>
        <v>0.4</v>
      </c>
      <c r="AB61" s="81" t="s">
        <v>284</v>
      </c>
      <c r="AC61" s="81" t="s">
        <v>67</v>
      </c>
      <c r="AD61" s="81">
        <v>6</v>
      </c>
      <c r="AE61" s="81">
        <v>144</v>
      </c>
      <c r="AF61" s="81" t="s">
        <v>1292</v>
      </c>
      <c r="AG61" s="81"/>
      <c r="AH61" s="146"/>
      <c r="AI61" s="157">
        <f>V61*0.6</f>
        <v>89.399999999999991</v>
      </c>
      <c r="AJ61" s="150">
        <f t="shared" si="27"/>
        <v>77.068965517241381</v>
      </c>
      <c r="AK61" s="130">
        <f t="shared" si="28"/>
        <v>1.1747013564504097E-2</v>
      </c>
      <c r="AL61" s="130">
        <f t="shared" si="29"/>
        <v>0.98825298643549586</v>
      </c>
      <c r="AM61" s="33">
        <f t="shared" si="30"/>
        <v>0</v>
      </c>
      <c r="BB61" s="3">
        <v>1</v>
      </c>
      <c r="BC61" s="3">
        <v>1</v>
      </c>
      <c r="BD61" s="3"/>
      <c r="BE61" s="3">
        <v>1</v>
      </c>
      <c r="BF61" s="3">
        <v>1</v>
      </c>
      <c r="BG61" s="3"/>
      <c r="BH61" s="3"/>
      <c r="BI61" s="3"/>
      <c r="BJ61" s="3"/>
      <c r="BK61" s="3">
        <v>9</v>
      </c>
      <c r="BL61" s="3">
        <f t="shared" si="31"/>
        <v>4</v>
      </c>
      <c r="BM61" s="292">
        <f t="shared" si="32"/>
        <v>0.44444444444444442</v>
      </c>
      <c r="BN61" s="295"/>
      <c r="BO61" s="295"/>
      <c r="BP61" s="295"/>
      <c r="BQ61" s="295"/>
      <c r="BR61" s="322"/>
      <c r="BS61" s="81" t="str">
        <f t="shared" si="16"/>
        <v>PENDIENTE INFORMACION DE PROVEEDOR</v>
      </c>
      <c r="BT61" s="81"/>
      <c r="CJ61" s="278"/>
      <c r="CK61" s="278"/>
      <c r="CL61" s="278"/>
      <c r="CM61" s="278"/>
      <c r="CN61" s="278"/>
      <c r="CO61" s="278"/>
      <c r="CP61" s="268"/>
      <c r="CQ61" s="268"/>
      <c r="CR61" s="267"/>
      <c r="CS61" s="267"/>
      <c r="CT61" s="267"/>
      <c r="CU61" s="267"/>
      <c r="CV61" s="267"/>
      <c r="CW61" s="267"/>
      <c r="CX61" s="267"/>
      <c r="CY61" s="267"/>
      <c r="CZ61" s="267"/>
      <c r="DA61" s="267"/>
    </row>
    <row r="62" spans="1:105" ht="129.94999999999999">
      <c r="A62" s="81">
        <v>48</v>
      </c>
      <c r="B62" s="81">
        <v>1</v>
      </c>
      <c r="C62" s="148">
        <v>46241</v>
      </c>
      <c r="D62" s="81" t="s">
        <v>277</v>
      </c>
      <c r="E62" s="149" t="s">
        <v>1289</v>
      </c>
      <c r="F62" s="91" t="s">
        <v>176</v>
      </c>
      <c r="G62" s="81" t="s">
        <v>1315</v>
      </c>
      <c r="H62" s="81" t="s">
        <v>1316</v>
      </c>
      <c r="I62" s="134"/>
      <c r="J62" s="81" t="s">
        <v>375</v>
      </c>
      <c r="K62" s="81" t="s">
        <v>1187</v>
      </c>
      <c r="L62" s="81" t="s">
        <v>281</v>
      </c>
      <c r="M62" s="81">
        <v>1</v>
      </c>
      <c r="N62" s="150">
        <v>0.35</v>
      </c>
      <c r="O62" s="150">
        <f t="shared" si="17"/>
        <v>3.8202499999999993</v>
      </c>
      <c r="P62" s="150">
        <f t="shared" si="26"/>
        <v>0.38500000000000001</v>
      </c>
      <c r="Q62" s="150"/>
      <c r="R62" s="150">
        <f t="shared" si="19"/>
        <v>0.53958333333333319</v>
      </c>
      <c r="S62" s="150">
        <f t="shared" si="33"/>
        <v>0.19424999999999995</v>
      </c>
      <c r="T62" s="150">
        <f>(R62+S62)*23.37%</f>
        <v>0.17149684999999995</v>
      </c>
      <c r="U62" s="204">
        <f t="shared" si="20"/>
        <v>0.90533018333333304</v>
      </c>
      <c r="V62" s="88">
        <v>149</v>
      </c>
      <c r="W62" s="150">
        <f t="shared" si="21"/>
        <v>128.44827586206898</v>
      </c>
      <c r="X62" s="125">
        <f t="shared" si="22"/>
        <v>77.068965517241381</v>
      </c>
      <c r="Y62" s="143">
        <f t="shared" si="23"/>
        <v>1.1747013564504097E-2</v>
      </c>
      <c r="Z62" s="153">
        <f t="shared" si="24"/>
        <v>0.98825298643549586</v>
      </c>
      <c r="AA62" s="153">
        <f t="shared" si="25"/>
        <v>0.4</v>
      </c>
      <c r="AB62" s="81" t="s">
        <v>284</v>
      </c>
      <c r="AC62" s="81" t="s">
        <v>67</v>
      </c>
      <c r="AD62" s="81">
        <v>6</v>
      </c>
      <c r="AE62" s="81">
        <v>144</v>
      </c>
      <c r="AF62" s="81" t="s">
        <v>1292</v>
      </c>
      <c r="AG62" s="81"/>
      <c r="AH62" s="146"/>
      <c r="AI62" s="157">
        <f>V62*0.6</f>
        <v>89.399999999999991</v>
      </c>
      <c r="AJ62" s="150">
        <f t="shared" si="27"/>
        <v>77.068965517241381</v>
      </c>
      <c r="AK62" s="130">
        <f t="shared" si="28"/>
        <v>1.1747013564504097E-2</v>
      </c>
      <c r="AL62" s="130">
        <f t="shared" si="29"/>
        <v>0.98825298643549586</v>
      </c>
      <c r="AM62" s="33">
        <f t="shared" si="30"/>
        <v>0</v>
      </c>
      <c r="BB62" s="3">
        <v>1</v>
      </c>
      <c r="BC62" s="3">
        <v>1</v>
      </c>
      <c r="BD62" s="3"/>
      <c r="BE62" s="3">
        <v>1</v>
      </c>
      <c r="BF62" s="3">
        <v>1</v>
      </c>
      <c r="BG62" s="3"/>
      <c r="BH62" s="3"/>
      <c r="BI62" s="3"/>
      <c r="BJ62" s="3"/>
      <c r="BK62" s="3">
        <v>9</v>
      </c>
      <c r="BL62" s="3">
        <f t="shared" si="31"/>
        <v>4</v>
      </c>
      <c r="BM62" s="292">
        <f t="shared" si="32"/>
        <v>0.44444444444444442</v>
      </c>
      <c r="BN62" s="295"/>
      <c r="BO62" s="295"/>
      <c r="BP62" s="295"/>
      <c r="BQ62" s="295"/>
      <c r="BR62" s="322"/>
      <c r="BS62" s="81" t="str">
        <f t="shared" si="16"/>
        <v>PENDIENTE INFORMACION DE PROVEEDOR</v>
      </c>
      <c r="BT62" s="81"/>
      <c r="CJ62" s="278"/>
      <c r="CK62" s="278"/>
      <c r="CL62" s="278"/>
      <c r="CM62" s="278"/>
      <c r="CN62" s="278"/>
      <c r="CO62" s="278"/>
      <c r="CP62" s="268"/>
      <c r="CQ62" s="268"/>
      <c r="CR62" s="267"/>
      <c r="CS62" s="267"/>
      <c r="CT62" s="267"/>
      <c r="CU62" s="267"/>
      <c r="CV62" s="267"/>
      <c r="CW62" s="267"/>
      <c r="CX62" s="267"/>
      <c r="CY62" s="267"/>
      <c r="CZ62" s="267"/>
      <c r="DA62" s="267"/>
    </row>
    <row r="63" spans="1:105" ht="34.5">
      <c r="A63" s="81">
        <v>49</v>
      </c>
      <c r="B63" s="81">
        <v>1</v>
      </c>
      <c r="C63" s="148">
        <v>46241</v>
      </c>
      <c r="D63" s="81" t="s">
        <v>277</v>
      </c>
      <c r="E63" s="149" t="s">
        <v>1317</v>
      </c>
      <c r="F63" s="91" t="s">
        <v>176</v>
      </c>
      <c r="G63" s="81" t="s">
        <v>1318</v>
      </c>
      <c r="H63" s="81" t="s">
        <v>1319</v>
      </c>
      <c r="I63" s="134" t="s">
        <v>1261</v>
      </c>
      <c r="J63" s="81" t="s">
        <v>1320</v>
      </c>
      <c r="K63" s="81" t="s">
        <v>1187</v>
      </c>
      <c r="L63" s="81" t="s">
        <v>281</v>
      </c>
      <c r="M63" s="81">
        <v>1</v>
      </c>
      <c r="N63" s="150">
        <v>0.45</v>
      </c>
      <c r="O63" s="150">
        <f t="shared" si="17"/>
        <v>4.9117499999999996</v>
      </c>
      <c r="P63" s="150">
        <f t="shared" si="26"/>
        <v>0.49500000000000005</v>
      </c>
      <c r="Q63" s="150"/>
      <c r="R63" s="150">
        <f t="shared" si="19"/>
        <v>0.69374999999999998</v>
      </c>
      <c r="S63" s="150">
        <f t="shared" ref="S63:S71" si="35">R63*0.25</f>
        <v>0.17343749999999999</v>
      </c>
      <c r="T63" s="150">
        <f>(R63+S63)*8.31%</f>
        <v>7.206328125E-2</v>
      </c>
      <c r="U63" s="204">
        <f t="shared" si="20"/>
        <v>0.93925078124999994</v>
      </c>
      <c r="V63" s="88">
        <v>149</v>
      </c>
      <c r="W63" s="150">
        <f t="shared" si="21"/>
        <v>128.44827586206898</v>
      </c>
      <c r="X63" s="125">
        <f t="shared" si="22"/>
        <v>77.068965517241381</v>
      </c>
      <c r="Y63" s="143">
        <f t="shared" si="23"/>
        <v>1.2187146602348993E-2</v>
      </c>
      <c r="Z63" s="153">
        <f t="shared" si="24"/>
        <v>0.98781285339765101</v>
      </c>
      <c r="AA63" s="153">
        <f t="shared" si="25"/>
        <v>0.4</v>
      </c>
      <c r="AB63" s="81" t="s">
        <v>284</v>
      </c>
      <c r="AC63" s="81" t="s">
        <v>67</v>
      </c>
      <c r="AD63" s="81">
        <v>6</v>
      </c>
      <c r="AE63" s="81">
        <v>144</v>
      </c>
      <c r="AF63" s="81"/>
      <c r="AG63" s="81"/>
      <c r="AH63" s="146"/>
      <c r="AI63" s="157">
        <f>V63*0.6</f>
        <v>89.399999999999991</v>
      </c>
      <c r="AJ63" s="150">
        <f t="shared" si="27"/>
        <v>77.068965517241381</v>
      </c>
      <c r="AK63" s="130">
        <f t="shared" si="28"/>
        <v>1.2187146602348993E-2</v>
      </c>
      <c r="AL63" s="130">
        <f t="shared" si="29"/>
        <v>0.98781285339765101</v>
      </c>
      <c r="AM63" s="33">
        <f t="shared" si="30"/>
        <v>0</v>
      </c>
      <c r="BB63" s="3">
        <v>1</v>
      </c>
      <c r="BC63" s="3">
        <v>1</v>
      </c>
      <c r="BD63" s="3"/>
      <c r="BE63" s="3">
        <v>1</v>
      </c>
      <c r="BF63" s="3">
        <v>1</v>
      </c>
      <c r="BG63" s="3"/>
      <c r="BH63" s="3"/>
      <c r="BI63" s="3"/>
      <c r="BJ63" s="3"/>
      <c r="BK63" s="3">
        <v>9</v>
      </c>
      <c r="BL63" s="3">
        <f t="shared" si="31"/>
        <v>4</v>
      </c>
      <c r="BM63" s="292">
        <f t="shared" si="32"/>
        <v>0.44444444444444442</v>
      </c>
      <c r="BN63" s="295"/>
      <c r="BO63" s="295"/>
      <c r="BP63" s="295"/>
      <c r="BQ63" s="295"/>
      <c r="BR63" s="322"/>
      <c r="BS63" s="81">
        <f t="shared" si="16"/>
        <v>0</v>
      </c>
      <c r="BT63" s="81"/>
      <c r="CJ63" s="278"/>
      <c r="CK63" s="278"/>
      <c r="CL63" s="278"/>
      <c r="CM63" s="278"/>
      <c r="CN63" s="278"/>
      <c r="CO63" s="278"/>
      <c r="CP63" s="268"/>
      <c r="CQ63" s="268"/>
      <c r="CR63" s="267"/>
      <c r="CS63" s="267"/>
      <c r="CT63" s="267"/>
      <c r="CU63" s="267"/>
      <c r="CV63" s="267"/>
      <c r="CW63" s="267"/>
      <c r="CX63" s="267"/>
      <c r="CY63" s="267"/>
      <c r="CZ63" s="267"/>
      <c r="DA63" s="267"/>
    </row>
    <row r="64" spans="1:105" ht="34.5">
      <c r="A64" s="81">
        <v>50</v>
      </c>
      <c r="B64" s="81">
        <v>1</v>
      </c>
      <c r="C64" s="148">
        <v>46241</v>
      </c>
      <c r="D64" s="81" t="s">
        <v>277</v>
      </c>
      <c r="E64" s="149" t="s">
        <v>1317</v>
      </c>
      <c r="F64" s="91" t="s">
        <v>176</v>
      </c>
      <c r="G64" s="81" t="s">
        <v>1321</v>
      </c>
      <c r="H64" s="81" t="s">
        <v>1322</v>
      </c>
      <c r="I64" s="134" t="s">
        <v>1261</v>
      </c>
      <c r="J64" s="81" t="s">
        <v>492</v>
      </c>
      <c r="K64" s="81" t="s">
        <v>1187</v>
      </c>
      <c r="L64" s="81" t="s">
        <v>281</v>
      </c>
      <c r="M64" s="81">
        <v>1</v>
      </c>
      <c r="N64" s="150">
        <v>0.8</v>
      </c>
      <c r="O64" s="150">
        <f t="shared" si="17"/>
        <v>8.7319999999999993</v>
      </c>
      <c r="P64" s="150">
        <f t="shared" si="26"/>
        <v>0.88000000000000012</v>
      </c>
      <c r="Q64" s="150"/>
      <c r="R64" s="150">
        <f t="shared" si="19"/>
        <v>1.2333333333333334</v>
      </c>
      <c r="S64" s="150">
        <f t="shared" si="35"/>
        <v>0.30833333333333335</v>
      </c>
      <c r="T64" s="150">
        <f>(R64+S64)*5.01%</f>
        <v>7.7237500000000001E-2</v>
      </c>
      <c r="U64" s="204">
        <f t="shared" si="20"/>
        <v>1.6189041666666668</v>
      </c>
      <c r="V64" s="88">
        <v>179</v>
      </c>
      <c r="W64" s="150">
        <f t="shared" si="21"/>
        <v>154.31034482758622</v>
      </c>
      <c r="X64" s="125">
        <f t="shared" si="22"/>
        <v>92.58620689655173</v>
      </c>
      <c r="Y64" s="143">
        <f t="shared" si="23"/>
        <v>1.7485370887647424E-2</v>
      </c>
      <c r="Z64" s="153">
        <f t="shared" si="24"/>
        <v>0.98251462911235254</v>
      </c>
      <c r="AA64" s="153">
        <f t="shared" si="25"/>
        <v>0.4</v>
      </c>
      <c r="AB64" s="81" t="s">
        <v>284</v>
      </c>
      <c r="AC64" s="81" t="s">
        <v>67</v>
      </c>
      <c r="AD64" s="81">
        <v>6</v>
      </c>
      <c r="AE64" s="81">
        <v>48</v>
      </c>
      <c r="AF64" s="81"/>
      <c r="AG64" s="81"/>
      <c r="AH64" s="146"/>
      <c r="AI64" s="157">
        <v>109</v>
      </c>
      <c r="AJ64" s="150">
        <f t="shared" si="27"/>
        <v>93.965517241379317</v>
      </c>
      <c r="AK64" s="130">
        <f t="shared" si="28"/>
        <v>1.7228704892966362E-2</v>
      </c>
      <c r="AL64" s="130">
        <f t="shared" si="29"/>
        <v>0.98277129510703365</v>
      </c>
      <c r="AM64" s="33">
        <f t="shared" si="30"/>
        <v>0</v>
      </c>
      <c r="BB64" s="3">
        <v>1</v>
      </c>
      <c r="BC64" s="3">
        <v>1</v>
      </c>
      <c r="BD64" s="3"/>
      <c r="BE64" s="3">
        <v>1</v>
      </c>
      <c r="BF64" s="3">
        <v>1</v>
      </c>
      <c r="BG64" s="3"/>
      <c r="BH64" s="3"/>
      <c r="BI64" s="3"/>
      <c r="BJ64" s="3"/>
      <c r="BK64" s="3">
        <v>9</v>
      </c>
      <c r="BL64" s="3">
        <f t="shared" si="31"/>
        <v>4</v>
      </c>
      <c r="BM64" s="292">
        <f t="shared" si="32"/>
        <v>0.44444444444444442</v>
      </c>
      <c r="BN64" s="295"/>
      <c r="BO64" s="295"/>
      <c r="BP64" s="295"/>
      <c r="BQ64" s="295"/>
      <c r="BR64" s="322"/>
      <c r="BS64" s="81">
        <f t="shared" si="16"/>
        <v>0</v>
      </c>
      <c r="BT64" s="81"/>
      <c r="CJ64" s="278"/>
      <c r="CK64" s="278"/>
      <c r="CL64" s="278"/>
      <c r="CM64" s="278"/>
      <c r="CN64" s="278"/>
      <c r="CO64" s="278"/>
      <c r="CP64" s="268"/>
      <c r="CQ64" s="268"/>
      <c r="CR64" s="267"/>
      <c r="CS64" s="267"/>
      <c r="CT64" s="267"/>
      <c r="CU64" s="267"/>
      <c r="CV64" s="267"/>
      <c r="CW64" s="267"/>
      <c r="CX64" s="267"/>
      <c r="CY64" s="267"/>
      <c r="CZ64" s="267"/>
      <c r="DA64" s="267"/>
    </row>
    <row r="65" spans="1:105" ht="34.5">
      <c r="A65" s="81">
        <v>51</v>
      </c>
      <c r="B65" s="81">
        <v>1</v>
      </c>
      <c r="C65" s="148">
        <v>46241</v>
      </c>
      <c r="D65" s="81" t="s">
        <v>277</v>
      </c>
      <c r="E65" s="149" t="s">
        <v>1317</v>
      </c>
      <c r="F65" s="91" t="s">
        <v>176</v>
      </c>
      <c r="G65" s="81" t="s">
        <v>1323</v>
      </c>
      <c r="H65" s="81" t="s">
        <v>1324</v>
      </c>
      <c r="I65" s="156"/>
      <c r="J65" s="81" t="s">
        <v>492</v>
      </c>
      <c r="K65" s="81" t="s">
        <v>1187</v>
      </c>
      <c r="L65" s="81" t="s">
        <v>281</v>
      </c>
      <c r="M65" s="81">
        <v>1</v>
      </c>
      <c r="N65" s="150">
        <v>0.8</v>
      </c>
      <c r="O65" s="150">
        <f t="shared" si="17"/>
        <v>8.7319999999999993</v>
      </c>
      <c r="P65" s="150">
        <f t="shared" si="26"/>
        <v>0.88000000000000012</v>
      </c>
      <c r="Q65" s="150"/>
      <c r="R65" s="150">
        <f t="shared" si="19"/>
        <v>1.2333333333333334</v>
      </c>
      <c r="S65" s="150">
        <f t="shared" si="35"/>
        <v>0.30833333333333335</v>
      </c>
      <c r="T65" s="150">
        <f>(R65+S65)*5.01%</f>
        <v>7.7237500000000001E-2</v>
      </c>
      <c r="U65" s="204">
        <f t="shared" si="20"/>
        <v>1.6189041666666668</v>
      </c>
      <c r="V65" s="88">
        <v>179</v>
      </c>
      <c r="W65" s="150">
        <f t="shared" si="21"/>
        <v>154.31034482758622</v>
      </c>
      <c r="X65" s="125">
        <f t="shared" si="22"/>
        <v>92.58620689655173</v>
      </c>
      <c r="Y65" s="143">
        <f t="shared" si="23"/>
        <v>1.7485370887647424E-2</v>
      </c>
      <c r="Z65" s="153">
        <f t="shared" si="24"/>
        <v>0.98251462911235254</v>
      </c>
      <c r="AA65" s="153">
        <f t="shared" si="25"/>
        <v>0.4</v>
      </c>
      <c r="AB65" s="81" t="s">
        <v>284</v>
      </c>
      <c r="AC65" s="81" t="s">
        <v>67</v>
      </c>
      <c r="AD65" s="81">
        <v>6</v>
      </c>
      <c r="AE65" s="81">
        <v>48</v>
      </c>
      <c r="AF65" s="81"/>
      <c r="AG65" s="81"/>
      <c r="AH65" s="146"/>
      <c r="AI65" s="157">
        <v>109</v>
      </c>
      <c r="AJ65" s="150">
        <f t="shared" si="27"/>
        <v>93.965517241379317</v>
      </c>
      <c r="AK65" s="130">
        <f t="shared" si="28"/>
        <v>1.7228704892966362E-2</v>
      </c>
      <c r="AL65" s="130">
        <f t="shared" si="29"/>
        <v>0.98277129510703365</v>
      </c>
      <c r="AM65" s="33">
        <f t="shared" si="30"/>
        <v>0</v>
      </c>
      <c r="BB65" s="3">
        <v>1</v>
      </c>
      <c r="BC65" s="3">
        <v>1</v>
      </c>
      <c r="BD65" s="3"/>
      <c r="BE65" s="3">
        <v>1</v>
      </c>
      <c r="BF65" s="3">
        <v>1</v>
      </c>
      <c r="BG65" s="3"/>
      <c r="BH65" s="3"/>
      <c r="BI65" s="3"/>
      <c r="BJ65" s="3"/>
      <c r="BK65" s="3">
        <v>9</v>
      </c>
      <c r="BL65" s="3">
        <f t="shared" si="31"/>
        <v>4</v>
      </c>
      <c r="BM65" s="292">
        <f t="shared" si="32"/>
        <v>0.44444444444444442</v>
      </c>
      <c r="BN65" s="295"/>
      <c r="BO65" s="295"/>
      <c r="BP65" s="295"/>
      <c r="BQ65" s="295"/>
      <c r="BR65" s="322"/>
      <c r="BS65" s="81">
        <f t="shared" si="16"/>
        <v>0</v>
      </c>
      <c r="BT65" s="81"/>
      <c r="CJ65" s="278"/>
      <c r="CK65" s="278"/>
      <c r="CL65" s="278"/>
      <c r="CM65" s="278"/>
      <c r="CN65" s="278"/>
      <c r="CO65" s="278"/>
      <c r="CP65" s="268"/>
      <c r="CQ65" s="268"/>
      <c r="CR65" s="267"/>
      <c r="CS65" s="267"/>
      <c r="CT65" s="267"/>
      <c r="CU65" s="267"/>
      <c r="CV65" s="267"/>
      <c r="CW65" s="267"/>
      <c r="CX65" s="267"/>
      <c r="CY65" s="267"/>
      <c r="CZ65" s="267"/>
      <c r="DA65" s="267"/>
    </row>
    <row r="66" spans="1:105" ht="34.5">
      <c r="A66" s="81">
        <v>52</v>
      </c>
      <c r="B66" s="81">
        <v>1</v>
      </c>
      <c r="C66" s="148">
        <v>46241</v>
      </c>
      <c r="D66" s="81" t="s">
        <v>277</v>
      </c>
      <c r="E66" s="149" t="s">
        <v>1317</v>
      </c>
      <c r="F66" s="91" t="s">
        <v>176</v>
      </c>
      <c r="G66" s="81" t="s">
        <v>1325</v>
      </c>
      <c r="H66" s="81" t="s">
        <v>1326</v>
      </c>
      <c r="I66" s="134"/>
      <c r="J66" s="81" t="s">
        <v>492</v>
      </c>
      <c r="K66" s="81" t="s">
        <v>1187</v>
      </c>
      <c r="L66" s="81" t="s">
        <v>281</v>
      </c>
      <c r="M66" s="81">
        <v>1</v>
      </c>
      <c r="N66" s="150">
        <v>0.8</v>
      </c>
      <c r="O66" s="150">
        <f t="shared" si="17"/>
        <v>8.7319999999999993</v>
      </c>
      <c r="P66" s="150">
        <f t="shared" si="26"/>
        <v>0.88000000000000012</v>
      </c>
      <c r="Q66" s="150"/>
      <c r="R66" s="150">
        <f t="shared" si="19"/>
        <v>1.2333333333333334</v>
      </c>
      <c r="S66" s="150">
        <f t="shared" si="35"/>
        <v>0.30833333333333335</v>
      </c>
      <c r="T66" s="150">
        <f>(R66+S66)*5.01%</f>
        <v>7.7237500000000001E-2</v>
      </c>
      <c r="U66" s="204">
        <f t="shared" si="20"/>
        <v>1.6189041666666668</v>
      </c>
      <c r="V66" s="88">
        <v>179</v>
      </c>
      <c r="W66" s="150">
        <f t="shared" si="21"/>
        <v>154.31034482758622</v>
      </c>
      <c r="X66" s="125">
        <f t="shared" si="22"/>
        <v>92.58620689655173</v>
      </c>
      <c r="Y66" s="143">
        <f t="shared" si="23"/>
        <v>1.7485370887647424E-2</v>
      </c>
      <c r="Z66" s="153">
        <f t="shared" si="24"/>
        <v>0.98251462911235254</v>
      </c>
      <c r="AA66" s="153">
        <f t="shared" si="25"/>
        <v>0.4</v>
      </c>
      <c r="AB66" s="81" t="s">
        <v>284</v>
      </c>
      <c r="AC66" s="81" t="s">
        <v>67</v>
      </c>
      <c r="AD66" s="81">
        <v>6</v>
      </c>
      <c r="AE66" s="81">
        <v>48</v>
      </c>
      <c r="AF66" s="81"/>
      <c r="AG66" s="81"/>
      <c r="AH66" s="146"/>
      <c r="AI66" s="157">
        <v>109</v>
      </c>
      <c r="AJ66" s="150">
        <f t="shared" si="27"/>
        <v>93.965517241379317</v>
      </c>
      <c r="AK66" s="130">
        <f t="shared" si="28"/>
        <v>1.7228704892966362E-2</v>
      </c>
      <c r="AL66" s="130">
        <f t="shared" si="29"/>
        <v>0.98277129510703365</v>
      </c>
      <c r="AM66" s="33">
        <f t="shared" si="30"/>
        <v>0</v>
      </c>
      <c r="BB66" s="3">
        <v>1</v>
      </c>
      <c r="BC66" s="3">
        <v>1</v>
      </c>
      <c r="BD66" s="3"/>
      <c r="BE66" s="3">
        <v>1</v>
      </c>
      <c r="BF66" s="3">
        <v>1</v>
      </c>
      <c r="BG66" s="3"/>
      <c r="BH66" s="3"/>
      <c r="BI66" s="3"/>
      <c r="BJ66" s="3"/>
      <c r="BK66" s="3">
        <v>9</v>
      </c>
      <c r="BL66" s="3">
        <f t="shared" si="31"/>
        <v>4</v>
      </c>
      <c r="BM66" s="292">
        <f t="shared" si="32"/>
        <v>0.44444444444444442</v>
      </c>
      <c r="BN66" s="295"/>
      <c r="BO66" s="295"/>
      <c r="BP66" s="295"/>
      <c r="BQ66" s="295"/>
      <c r="BR66" s="322"/>
      <c r="BS66" s="81">
        <f t="shared" si="16"/>
        <v>0</v>
      </c>
      <c r="BT66" s="81"/>
      <c r="CJ66" s="278"/>
      <c r="CK66" s="278"/>
      <c r="CL66" s="278"/>
      <c r="CM66" s="278"/>
      <c r="CN66" s="278"/>
      <c r="CO66" s="278"/>
      <c r="CP66" s="268"/>
      <c r="CQ66" s="268"/>
      <c r="CR66" s="267"/>
      <c r="CS66" s="267"/>
      <c r="CT66" s="267"/>
      <c r="CU66" s="267"/>
      <c r="CV66" s="267"/>
      <c r="CW66" s="267"/>
      <c r="CX66" s="267"/>
      <c r="CY66" s="267"/>
      <c r="CZ66" s="267"/>
      <c r="DA66" s="267"/>
    </row>
    <row r="67" spans="1:105" ht="34.5">
      <c r="A67" s="81">
        <v>53</v>
      </c>
      <c r="B67" s="81">
        <v>1</v>
      </c>
      <c r="C67" s="148">
        <v>46241</v>
      </c>
      <c r="D67" s="81" t="s">
        <v>277</v>
      </c>
      <c r="E67" s="149" t="s">
        <v>1317</v>
      </c>
      <c r="F67" s="91" t="s">
        <v>176</v>
      </c>
      <c r="G67" s="81" t="s">
        <v>1327</v>
      </c>
      <c r="H67" s="81" t="s">
        <v>1328</v>
      </c>
      <c r="I67" s="134"/>
      <c r="J67" s="81" t="s">
        <v>492</v>
      </c>
      <c r="K67" s="81" t="s">
        <v>1187</v>
      </c>
      <c r="L67" s="81" t="s">
        <v>281</v>
      </c>
      <c r="M67" s="81">
        <v>1</v>
      </c>
      <c r="N67" s="150">
        <v>0.8</v>
      </c>
      <c r="O67" s="150">
        <f t="shared" si="17"/>
        <v>8.7319999999999993</v>
      </c>
      <c r="P67" s="150">
        <f t="shared" si="26"/>
        <v>0.88000000000000012</v>
      </c>
      <c r="Q67" s="150"/>
      <c r="R67" s="150">
        <f t="shared" si="19"/>
        <v>1.2333333333333334</v>
      </c>
      <c r="S67" s="150">
        <f t="shared" si="35"/>
        <v>0.30833333333333335</v>
      </c>
      <c r="T67" s="150">
        <f>(R67+S67)*5.01%</f>
        <v>7.7237500000000001E-2</v>
      </c>
      <c r="U67" s="204">
        <f t="shared" si="20"/>
        <v>1.6189041666666668</v>
      </c>
      <c r="V67" s="88">
        <v>179</v>
      </c>
      <c r="W67" s="150">
        <f t="shared" si="21"/>
        <v>154.31034482758622</v>
      </c>
      <c r="X67" s="125">
        <f t="shared" si="22"/>
        <v>92.58620689655173</v>
      </c>
      <c r="Y67" s="143">
        <f t="shared" si="23"/>
        <v>1.7485370887647424E-2</v>
      </c>
      <c r="Z67" s="153">
        <f t="shared" si="24"/>
        <v>0.98251462911235254</v>
      </c>
      <c r="AA67" s="153">
        <f t="shared" si="25"/>
        <v>0.4</v>
      </c>
      <c r="AB67" s="81" t="s">
        <v>284</v>
      </c>
      <c r="AC67" s="81" t="s">
        <v>67</v>
      </c>
      <c r="AD67" s="81">
        <v>6</v>
      </c>
      <c r="AE67" s="81">
        <v>48</v>
      </c>
      <c r="AF67" s="81"/>
      <c r="AG67" s="81"/>
      <c r="AH67" s="146"/>
      <c r="AI67" s="157">
        <v>109</v>
      </c>
      <c r="AJ67" s="150">
        <f t="shared" si="27"/>
        <v>93.965517241379317</v>
      </c>
      <c r="AK67" s="130">
        <f t="shared" si="28"/>
        <v>1.7228704892966362E-2</v>
      </c>
      <c r="AL67" s="130">
        <f t="shared" si="29"/>
        <v>0.98277129510703365</v>
      </c>
      <c r="AM67" s="33">
        <f t="shared" si="30"/>
        <v>0</v>
      </c>
      <c r="BB67" s="3">
        <v>1</v>
      </c>
      <c r="BC67" s="3">
        <v>1</v>
      </c>
      <c r="BD67" s="3"/>
      <c r="BE67" s="3">
        <v>1</v>
      </c>
      <c r="BF67" s="3">
        <v>1</v>
      </c>
      <c r="BG67" s="3"/>
      <c r="BH67" s="3"/>
      <c r="BI67" s="3"/>
      <c r="BJ67" s="3"/>
      <c r="BK67" s="3">
        <v>9</v>
      </c>
      <c r="BL67" s="3">
        <f t="shared" si="31"/>
        <v>4</v>
      </c>
      <c r="BM67" s="292">
        <f t="shared" si="32"/>
        <v>0.44444444444444442</v>
      </c>
      <c r="BN67" s="295"/>
      <c r="BO67" s="295"/>
      <c r="BP67" s="295"/>
      <c r="BQ67" s="295"/>
      <c r="BR67" s="322"/>
      <c r="BS67" s="81">
        <f t="shared" si="16"/>
        <v>0</v>
      </c>
      <c r="BT67" s="81"/>
      <c r="CJ67" s="278"/>
      <c r="CK67" s="278"/>
      <c r="CL67" s="278"/>
      <c r="CM67" s="278"/>
      <c r="CN67" s="278"/>
      <c r="CO67" s="278"/>
      <c r="CP67" s="268"/>
      <c r="CQ67" s="268"/>
      <c r="CR67" s="267"/>
      <c r="CS67" s="267"/>
      <c r="CT67" s="267"/>
      <c r="CU67" s="267"/>
      <c r="CV67" s="267"/>
      <c r="CW67" s="267"/>
      <c r="CX67" s="267"/>
      <c r="CY67" s="267"/>
      <c r="CZ67" s="267"/>
      <c r="DA67" s="267"/>
    </row>
    <row r="68" spans="1:105" ht="34.5">
      <c r="A68" s="81">
        <v>54</v>
      </c>
      <c r="B68" s="81">
        <v>1</v>
      </c>
      <c r="C68" s="148">
        <v>46241</v>
      </c>
      <c r="D68" s="81" t="s">
        <v>277</v>
      </c>
      <c r="E68" s="149" t="s">
        <v>1317</v>
      </c>
      <c r="F68" s="91" t="s">
        <v>176</v>
      </c>
      <c r="G68" s="81" t="s">
        <v>1329</v>
      </c>
      <c r="H68" s="81" t="s">
        <v>1330</v>
      </c>
      <c r="I68" s="134" t="s">
        <v>1261</v>
      </c>
      <c r="J68" s="81" t="s">
        <v>1331</v>
      </c>
      <c r="K68" s="81" t="s">
        <v>1187</v>
      </c>
      <c r="L68" s="81" t="s">
        <v>281</v>
      </c>
      <c r="M68" s="81">
        <v>1</v>
      </c>
      <c r="N68" s="150">
        <v>0.65</v>
      </c>
      <c r="O68" s="150">
        <f t="shared" si="17"/>
        <v>7.0947499999999994</v>
      </c>
      <c r="P68" s="150">
        <f t="shared" si="26"/>
        <v>0.71500000000000008</v>
      </c>
      <c r="Q68" s="150"/>
      <c r="R68" s="150">
        <f t="shared" si="19"/>
        <v>1.0020833333333332</v>
      </c>
      <c r="S68" s="150">
        <f t="shared" si="35"/>
        <v>0.2505208333333333</v>
      </c>
      <c r="T68" s="150">
        <f>(R68+S68)*7.08%</f>
        <v>8.8684374999999996E-2</v>
      </c>
      <c r="U68" s="204">
        <f t="shared" si="20"/>
        <v>1.3412885416666664</v>
      </c>
      <c r="V68" s="88">
        <v>169</v>
      </c>
      <c r="W68" s="150">
        <f t="shared" si="21"/>
        <v>145.68965517241381</v>
      </c>
      <c r="X68" s="125">
        <f t="shared" si="22"/>
        <v>87.413793103448285</v>
      </c>
      <c r="Y68" s="143">
        <f t="shared" si="23"/>
        <v>1.5344129273504269E-2</v>
      </c>
      <c r="Z68" s="153">
        <f t="shared" si="24"/>
        <v>0.98465587072649574</v>
      </c>
      <c r="AA68" s="153">
        <f t="shared" si="25"/>
        <v>0.4</v>
      </c>
      <c r="AB68" s="81" t="s">
        <v>284</v>
      </c>
      <c r="AC68" s="81" t="s">
        <v>67</v>
      </c>
      <c r="AD68" s="81">
        <v>6</v>
      </c>
      <c r="AE68" s="81">
        <v>144</v>
      </c>
      <c r="AF68" s="81"/>
      <c r="AG68" s="81"/>
      <c r="AH68" s="146"/>
      <c r="AI68" s="157">
        <v>109</v>
      </c>
      <c r="AJ68" s="150">
        <f t="shared" si="27"/>
        <v>93.965517241379317</v>
      </c>
      <c r="AK68" s="130">
        <f t="shared" si="28"/>
        <v>1.427426337920489E-2</v>
      </c>
      <c r="AL68" s="130">
        <f t="shared" si="29"/>
        <v>0.9857257366207951</v>
      </c>
      <c r="AM68" s="33">
        <f t="shared" si="30"/>
        <v>0</v>
      </c>
      <c r="BB68" s="3">
        <v>1</v>
      </c>
      <c r="BC68" s="3">
        <v>1</v>
      </c>
      <c r="BD68" s="3"/>
      <c r="BE68" s="3">
        <v>1</v>
      </c>
      <c r="BF68" s="3">
        <v>1</v>
      </c>
      <c r="BG68" s="3"/>
      <c r="BH68" s="3"/>
      <c r="BI68" s="3"/>
      <c r="BJ68" s="3"/>
      <c r="BK68" s="3">
        <v>9</v>
      </c>
      <c r="BL68" s="3">
        <f t="shared" si="31"/>
        <v>4</v>
      </c>
      <c r="BM68" s="292">
        <f t="shared" si="32"/>
        <v>0.44444444444444442</v>
      </c>
      <c r="BN68" s="295"/>
      <c r="BO68" s="295"/>
      <c r="BP68" s="295"/>
      <c r="BQ68" s="295"/>
      <c r="BR68" s="322"/>
      <c r="BS68" s="81">
        <f t="shared" si="16"/>
        <v>0</v>
      </c>
      <c r="BT68" s="81"/>
      <c r="CJ68" s="278"/>
      <c r="CK68" s="278"/>
      <c r="CL68" s="278"/>
      <c r="CM68" s="278"/>
      <c r="CN68" s="278"/>
      <c r="CO68" s="278"/>
      <c r="CP68" s="268"/>
      <c r="CQ68" s="268"/>
      <c r="CR68" s="267"/>
      <c r="CS68" s="267"/>
      <c r="CT68" s="267"/>
      <c r="CU68" s="267"/>
      <c r="CV68" s="267"/>
      <c r="CW68" s="267"/>
      <c r="CX68" s="267"/>
      <c r="CY68" s="267"/>
      <c r="CZ68" s="267"/>
      <c r="DA68" s="267"/>
    </row>
    <row r="69" spans="1:105" ht="34.5">
      <c r="A69" s="81">
        <v>55</v>
      </c>
      <c r="B69" s="81">
        <v>1</v>
      </c>
      <c r="C69" s="148">
        <v>46241</v>
      </c>
      <c r="D69" s="81" t="s">
        <v>277</v>
      </c>
      <c r="E69" s="149" t="s">
        <v>1317</v>
      </c>
      <c r="F69" s="91" t="s">
        <v>176</v>
      </c>
      <c r="G69" s="81" t="s">
        <v>1332</v>
      </c>
      <c r="H69" s="81" t="s">
        <v>1333</v>
      </c>
      <c r="I69" s="134"/>
      <c r="J69" s="81" t="s">
        <v>1331</v>
      </c>
      <c r="K69" s="81" t="s">
        <v>1187</v>
      </c>
      <c r="L69" s="81" t="s">
        <v>281</v>
      </c>
      <c r="M69" s="81">
        <v>1</v>
      </c>
      <c r="N69" s="150">
        <v>0.65</v>
      </c>
      <c r="O69" s="150">
        <f t="shared" si="17"/>
        <v>7.0947499999999994</v>
      </c>
      <c r="P69" s="150">
        <f t="shared" si="26"/>
        <v>0.71500000000000008</v>
      </c>
      <c r="Q69" s="150"/>
      <c r="R69" s="150">
        <f t="shared" si="19"/>
        <v>1.0020833333333332</v>
      </c>
      <c r="S69" s="150">
        <f t="shared" si="35"/>
        <v>0.2505208333333333</v>
      </c>
      <c r="T69" s="150">
        <f>(R69+S69)*7.08%</f>
        <v>8.8684374999999996E-2</v>
      </c>
      <c r="U69" s="204">
        <f t="shared" si="20"/>
        <v>1.3412885416666664</v>
      </c>
      <c r="V69" s="88">
        <v>169</v>
      </c>
      <c r="W69" s="150">
        <f t="shared" si="21"/>
        <v>145.68965517241381</v>
      </c>
      <c r="X69" s="125">
        <f t="shared" si="22"/>
        <v>87.413793103448285</v>
      </c>
      <c r="Y69" s="143">
        <f t="shared" si="23"/>
        <v>1.5344129273504269E-2</v>
      </c>
      <c r="Z69" s="153">
        <f t="shared" si="24"/>
        <v>0.98465587072649574</v>
      </c>
      <c r="AA69" s="153">
        <f t="shared" si="25"/>
        <v>0.4</v>
      </c>
      <c r="AB69" s="81" t="s">
        <v>284</v>
      </c>
      <c r="AC69" s="81" t="s">
        <v>67</v>
      </c>
      <c r="AD69" s="81">
        <v>6</v>
      </c>
      <c r="AE69" s="81">
        <v>144</v>
      </c>
      <c r="AF69" s="81"/>
      <c r="AG69" s="81"/>
      <c r="AH69" s="146"/>
      <c r="AI69" s="157">
        <v>109</v>
      </c>
      <c r="AJ69" s="150">
        <f t="shared" si="27"/>
        <v>93.965517241379317</v>
      </c>
      <c r="AK69" s="130">
        <f t="shared" si="28"/>
        <v>1.427426337920489E-2</v>
      </c>
      <c r="AL69" s="130">
        <f t="shared" si="29"/>
        <v>0.9857257366207951</v>
      </c>
      <c r="AM69" s="33">
        <f t="shared" si="30"/>
        <v>0</v>
      </c>
      <c r="BB69" s="3">
        <v>1</v>
      </c>
      <c r="BC69" s="3">
        <v>1</v>
      </c>
      <c r="BD69" s="3"/>
      <c r="BE69" s="3">
        <v>1</v>
      </c>
      <c r="BF69" s="3">
        <v>1</v>
      </c>
      <c r="BG69" s="3"/>
      <c r="BH69" s="3"/>
      <c r="BI69" s="3"/>
      <c r="BJ69" s="3"/>
      <c r="BK69" s="3">
        <v>9</v>
      </c>
      <c r="BL69" s="3">
        <f t="shared" si="31"/>
        <v>4</v>
      </c>
      <c r="BM69" s="292">
        <f t="shared" si="32"/>
        <v>0.44444444444444442</v>
      </c>
      <c r="BN69" s="295"/>
      <c r="BO69" s="295"/>
      <c r="BP69" s="295"/>
      <c r="BQ69" s="295"/>
      <c r="BR69" s="322"/>
      <c r="BS69" s="81">
        <f t="shared" si="16"/>
        <v>0</v>
      </c>
      <c r="BT69" s="81"/>
    </row>
    <row r="70" spans="1:105" ht="34.5">
      <c r="A70" s="81">
        <v>56</v>
      </c>
      <c r="B70" s="81">
        <v>1</v>
      </c>
      <c r="C70" s="148">
        <v>46241</v>
      </c>
      <c r="D70" s="81" t="s">
        <v>277</v>
      </c>
      <c r="E70" s="149" t="s">
        <v>1317</v>
      </c>
      <c r="F70" s="91" t="s">
        <v>176</v>
      </c>
      <c r="G70" s="81" t="s">
        <v>1334</v>
      </c>
      <c r="H70" s="81" t="s">
        <v>1335</v>
      </c>
      <c r="I70" s="156" t="s">
        <v>1261</v>
      </c>
      <c r="J70" s="81" t="s">
        <v>1331</v>
      </c>
      <c r="K70" s="81" t="s">
        <v>1187</v>
      </c>
      <c r="L70" s="81" t="s">
        <v>281</v>
      </c>
      <c r="M70" s="81">
        <v>1</v>
      </c>
      <c r="N70" s="150">
        <v>0.45</v>
      </c>
      <c r="O70" s="150">
        <f t="shared" si="17"/>
        <v>4.9117499999999996</v>
      </c>
      <c r="P70" s="150">
        <f t="shared" si="26"/>
        <v>0.49500000000000005</v>
      </c>
      <c r="Q70" s="150"/>
      <c r="R70" s="150">
        <f t="shared" si="19"/>
        <v>0.69374999999999998</v>
      </c>
      <c r="S70" s="150">
        <f t="shared" si="35"/>
        <v>0.17343749999999999</v>
      </c>
      <c r="T70" s="150">
        <f>(R70+S70)*10.23%</f>
        <v>8.8713281249999998E-2</v>
      </c>
      <c r="U70" s="204">
        <f t="shared" si="20"/>
        <v>0.95590078125</v>
      </c>
      <c r="V70" s="88">
        <v>169</v>
      </c>
      <c r="W70" s="150">
        <f t="shared" si="21"/>
        <v>145.68965517241381</v>
      </c>
      <c r="X70" s="125">
        <f t="shared" si="22"/>
        <v>87.413793103448285</v>
      </c>
      <c r="Y70" s="143">
        <f t="shared" si="23"/>
        <v>1.0935354105029585E-2</v>
      </c>
      <c r="Z70" s="153">
        <f t="shared" si="24"/>
        <v>0.98906464589497045</v>
      </c>
      <c r="AA70" s="153">
        <f t="shared" si="25"/>
        <v>0.4</v>
      </c>
      <c r="AB70" s="81" t="s">
        <v>284</v>
      </c>
      <c r="AC70" s="81" t="s">
        <v>67</v>
      </c>
      <c r="AD70" s="81">
        <v>6</v>
      </c>
      <c r="AE70" s="81">
        <v>144</v>
      </c>
      <c r="AF70" s="81"/>
      <c r="AG70" s="81"/>
      <c r="AH70" s="146"/>
      <c r="AI70" s="157">
        <v>99</v>
      </c>
      <c r="AJ70" s="150">
        <f t="shared" si="27"/>
        <v>85.344827586206904</v>
      </c>
      <c r="AK70" s="130">
        <f t="shared" si="28"/>
        <v>1.1200453598484848E-2</v>
      </c>
      <c r="AL70" s="130">
        <f t="shared" si="29"/>
        <v>0.98879954640151513</v>
      </c>
      <c r="AM70" s="33">
        <f t="shared" si="30"/>
        <v>0</v>
      </c>
      <c r="BB70" s="3">
        <v>1</v>
      </c>
      <c r="BC70" s="3">
        <v>1</v>
      </c>
      <c r="BD70" s="3"/>
      <c r="BE70" s="3">
        <v>1</v>
      </c>
      <c r="BF70" s="3">
        <v>1</v>
      </c>
      <c r="BG70" s="3"/>
      <c r="BH70" s="3"/>
      <c r="BI70" s="3"/>
      <c r="BJ70" s="3"/>
      <c r="BK70" s="3">
        <v>9</v>
      </c>
      <c r="BL70" s="3">
        <f t="shared" si="31"/>
        <v>4</v>
      </c>
      <c r="BM70" s="292">
        <f t="shared" si="32"/>
        <v>0.44444444444444442</v>
      </c>
      <c r="BN70" s="295"/>
      <c r="BO70" s="295"/>
      <c r="BP70" s="295"/>
      <c r="BQ70" s="295"/>
      <c r="BR70" s="322"/>
      <c r="BS70" s="81">
        <f t="shared" si="16"/>
        <v>0</v>
      </c>
      <c r="BT70" s="81"/>
    </row>
    <row r="71" spans="1:105" ht="34.5">
      <c r="A71" s="81">
        <v>57</v>
      </c>
      <c r="B71" s="81">
        <v>1</v>
      </c>
      <c r="C71" s="148">
        <v>46241</v>
      </c>
      <c r="D71" s="81" t="s">
        <v>277</v>
      </c>
      <c r="E71" s="149" t="s">
        <v>1317</v>
      </c>
      <c r="F71" s="91" t="s">
        <v>176</v>
      </c>
      <c r="G71" s="81" t="s">
        <v>1336</v>
      </c>
      <c r="H71" s="81" t="s">
        <v>1337</v>
      </c>
      <c r="I71" s="134"/>
      <c r="J71" s="81" t="s">
        <v>1331</v>
      </c>
      <c r="K71" s="81" t="s">
        <v>1187</v>
      </c>
      <c r="L71" s="81" t="s">
        <v>281</v>
      </c>
      <c r="M71" s="81">
        <v>1</v>
      </c>
      <c r="N71" s="150">
        <v>0.45</v>
      </c>
      <c r="O71" s="150">
        <f t="shared" si="17"/>
        <v>4.9117499999999996</v>
      </c>
      <c r="P71" s="150">
        <f t="shared" si="26"/>
        <v>0.49500000000000005</v>
      </c>
      <c r="Q71" s="150"/>
      <c r="R71" s="150">
        <f t="shared" si="19"/>
        <v>0.69374999999999998</v>
      </c>
      <c r="S71" s="150">
        <f t="shared" si="35"/>
        <v>0.17343749999999999</v>
      </c>
      <c r="T71" s="150">
        <f>(R71+S71)*10.23%</f>
        <v>8.8713281249999998E-2</v>
      </c>
      <c r="U71" s="204">
        <f t="shared" si="20"/>
        <v>0.95590078125</v>
      </c>
      <c r="V71" s="88">
        <v>169</v>
      </c>
      <c r="W71" s="150">
        <f t="shared" si="21"/>
        <v>145.68965517241381</v>
      </c>
      <c r="X71" s="125">
        <f t="shared" si="22"/>
        <v>87.413793103448285</v>
      </c>
      <c r="Y71" s="143">
        <f t="shared" si="23"/>
        <v>1.0935354105029585E-2</v>
      </c>
      <c r="Z71" s="153">
        <f t="shared" si="24"/>
        <v>0.98906464589497045</v>
      </c>
      <c r="AA71" s="153">
        <f t="shared" si="25"/>
        <v>0.4</v>
      </c>
      <c r="AB71" s="81" t="s">
        <v>284</v>
      </c>
      <c r="AC71" s="81" t="s">
        <v>67</v>
      </c>
      <c r="AD71" s="81">
        <v>6</v>
      </c>
      <c r="AE71" s="81">
        <v>144</v>
      </c>
      <c r="AF71" s="81"/>
      <c r="AG71" s="81"/>
      <c r="AH71" s="146"/>
      <c r="AI71" s="157">
        <v>99</v>
      </c>
      <c r="AJ71" s="159">
        <f t="shared" si="27"/>
        <v>85.344827586206904</v>
      </c>
      <c r="AK71" s="130">
        <f t="shared" si="28"/>
        <v>1.1200453598484848E-2</v>
      </c>
      <c r="AL71" s="130">
        <f t="shared" si="29"/>
        <v>0.98879954640151513</v>
      </c>
      <c r="AM71" s="33">
        <f t="shared" si="30"/>
        <v>0</v>
      </c>
      <c r="BB71" s="3">
        <v>1</v>
      </c>
      <c r="BC71" s="3">
        <v>1</v>
      </c>
      <c r="BD71" s="3"/>
      <c r="BE71" s="3">
        <v>1</v>
      </c>
      <c r="BF71" s="3">
        <v>1</v>
      </c>
      <c r="BG71" s="3"/>
      <c r="BH71" s="3"/>
      <c r="BI71" s="3"/>
      <c r="BJ71" s="3"/>
      <c r="BK71" s="3">
        <v>9</v>
      </c>
      <c r="BL71" s="3">
        <f t="shared" si="31"/>
        <v>4</v>
      </c>
      <c r="BM71" s="292">
        <f t="shared" si="32"/>
        <v>0.44444444444444442</v>
      </c>
      <c r="BN71" s="295"/>
      <c r="BO71" s="295"/>
      <c r="BP71" s="295"/>
      <c r="BQ71" s="295"/>
      <c r="BR71" s="322"/>
      <c r="BS71" s="81">
        <f t="shared" si="16"/>
        <v>0</v>
      </c>
      <c r="BT71" s="81"/>
    </row>
    <row r="72" spans="1:105" ht="34.5">
      <c r="A72" s="81">
        <v>58</v>
      </c>
      <c r="B72" s="81">
        <v>1</v>
      </c>
      <c r="C72" s="148">
        <v>46241</v>
      </c>
      <c r="D72" s="81" t="s">
        <v>277</v>
      </c>
      <c r="E72" s="149" t="s">
        <v>1317</v>
      </c>
      <c r="F72" s="91" t="s">
        <v>176</v>
      </c>
      <c r="G72" s="81" t="s">
        <v>1338</v>
      </c>
      <c r="H72" s="81" t="s">
        <v>1339</v>
      </c>
      <c r="I72" s="134"/>
      <c r="J72" s="81" t="s">
        <v>375</v>
      </c>
      <c r="K72" s="81" t="s">
        <v>1187</v>
      </c>
      <c r="L72" s="81" t="s">
        <v>281</v>
      </c>
      <c r="M72" s="81">
        <v>1</v>
      </c>
      <c r="N72" s="150">
        <v>0.36</v>
      </c>
      <c r="O72" s="150">
        <f t="shared" si="17"/>
        <v>3.9293999999999993</v>
      </c>
      <c r="P72" s="150">
        <f t="shared" si="26"/>
        <v>0.39600000000000002</v>
      </c>
      <c r="Q72" s="150"/>
      <c r="R72" s="150">
        <f t="shared" si="19"/>
        <v>0.55499999999999994</v>
      </c>
      <c r="S72" s="150">
        <f>R72*0.36</f>
        <v>0.19979999999999998</v>
      </c>
      <c r="T72" s="150">
        <f>(R72+S72)*2.72%</f>
        <v>2.053056E-2</v>
      </c>
      <c r="U72" s="204">
        <f t="shared" si="20"/>
        <v>0.77533055999999989</v>
      </c>
      <c r="V72" s="88">
        <v>149</v>
      </c>
      <c r="W72" s="150">
        <f t="shared" si="21"/>
        <v>128.44827586206898</v>
      </c>
      <c r="X72" s="125">
        <f t="shared" si="22"/>
        <v>77.068965517241381</v>
      </c>
      <c r="Y72" s="143">
        <f t="shared" si="23"/>
        <v>1.0060217557046978E-2</v>
      </c>
      <c r="Z72" s="153">
        <f t="shared" si="24"/>
        <v>0.989939782442953</v>
      </c>
      <c r="AA72" s="153">
        <f t="shared" si="25"/>
        <v>0.4</v>
      </c>
      <c r="AB72" s="81" t="s">
        <v>284</v>
      </c>
      <c r="AC72" s="81" t="s">
        <v>67</v>
      </c>
      <c r="AD72" s="81">
        <v>6</v>
      </c>
      <c r="AE72" s="81">
        <v>144</v>
      </c>
      <c r="AF72" s="81"/>
      <c r="AG72" s="81"/>
      <c r="AH72" s="146"/>
      <c r="AI72" s="157">
        <v>89</v>
      </c>
      <c r="AJ72" s="159">
        <f t="shared" si="27"/>
        <v>76.724137931034491</v>
      </c>
      <c r="AK72" s="130">
        <f t="shared" si="28"/>
        <v>1.0105432017977525E-2</v>
      </c>
      <c r="AL72" s="130">
        <f t="shared" si="29"/>
        <v>0.98989456798202247</v>
      </c>
      <c r="AM72" s="33">
        <f t="shared" si="30"/>
        <v>0</v>
      </c>
      <c r="BB72" s="3">
        <v>1</v>
      </c>
      <c r="BC72" s="3">
        <v>1</v>
      </c>
      <c r="BD72" s="3"/>
      <c r="BE72" s="3">
        <v>1</v>
      </c>
      <c r="BF72" s="3">
        <v>1</v>
      </c>
      <c r="BG72" s="3"/>
      <c r="BH72" s="3"/>
      <c r="BI72" s="3"/>
      <c r="BJ72" s="3"/>
      <c r="BK72" s="3">
        <v>9</v>
      </c>
      <c r="BL72" s="3">
        <f t="shared" si="31"/>
        <v>4</v>
      </c>
      <c r="BM72" s="292">
        <f t="shared" si="32"/>
        <v>0.44444444444444442</v>
      </c>
      <c r="BN72" s="295"/>
      <c r="BO72" s="295"/>
      <c r="BP72" s="295"/>
      <c r="BQ72" s="295"/>
      <c r="BR72" s="322"/>
      <c r="BS72" s="81">
        <f t="shared" si="16"/>
        <v>0</v>
      </c>
      <c r="BT72" s="81"/>
    </row>
    <row r="73" spans="1:105" ht="34.5">
      <c r="A73" s="81">
        <v>59</v>
      </c>
      <c r="B73" s="81">
        <v>1</v>
      </c>
      <c r="C73" s="148">
        <v>46241</v>
      </c>
      <c r="D73" s="81" t="s">
        <v>277</v>
      </c>
      <c r="E73" s="149" t="s">
        <v>1317</v>
      </c>
      <c r="F73" s="91" t="s">
        <v>176</v>
      </c>
      <c r="G73" s="81" t="s">
        <v>1340</v>
      </c>
      <c r="H73" s="81" t="s">
        <v>1341</v>
      </c>
      <c r="I73" s="134"/>
      <c r="J73" s="81" t="s">
        <v>375</v>
      </c>
      <c r="K73" s="81" t="s">
        <v>1187</v>
      </c>
      <c r="L73" s="81" t="s">
        <v>281</v>
      </c>
      <c r="M73" s="81">
        <v>1</v>
      </c>
      <c r="N73" s="150">
        <v>0.36</v>
      </c>
      <c r="O73" s="150">
        <f t="shared" si="17"/>
        <v>3.9293999999999993</v>
      </c>
      <c r="P73" s="150">
        <f t="shared" si="26"/>
        <v>0.39600000000000002</v>
      </c>
      <c r="Q73" s="150"/>
      <c r="R73" s="150">
        <f t="shared" si="19"/>
        <v>0.55499999999999994</v>
      </c>
      <c r="S73" s="150">
        <f>R73*0.36</f>
        <v>0.19979999999999998</v>
      </c>
      <c r="T73" s="150">
        <f>(R73+S73)*2.72%</f>
        <v>2.053056E-2</v>
      </c>
      <c r="U73" s="204">
        <f t="shared" si="20"/>
        <v>0.77533055999999989</v>
      </c>
      <c r="V73" s="88">
        <v>149</v>
      </c>
      <c r="W73" s="150">
        <f t="shared" si="21"/>
        <v>128.44827586206898</v>
      </c>
      <c r="X73" s="125">
        <f t="shared" si="22"/>
        <v>77.068965517241381</v>
      </c>
      <c r="Y73" s="143">
        <f t="shared" si="23"/>
        <v>1.0060217557046978E-2</v>
      </c>
      <c r="Z73" s="153">
        <f t="shared" si="24"/>
        <v>0.989939782442953</v>
      </c>
      <c r="AA73" s="153">
        <f t="shared" si="25"/>
        <v>0.4</v>
      </c>
      <c r="AB73" s="81" t="s">
        <v>284</v>
      </c>
      <c r="AC73" s="81" t="s">
        <v>67</v>
      </c>
      <c r="AD73" s="81">
        <v>6</v>
      </c>
      <c r="AE73" s="81">
        <v>144</v>
      </c>
      <c r="AF73" s="81"/>
      <c r="AG73" s="81"/>
      <c r="AH73" s="146"/>
      <c r="AI73" s="157">
        <f>V73*0.6</f>
        <v>89.399999999999991</v>
      </c>
      <c r="AJ73" s="159">
        <f t="shared" si="27"/>
        <v>77.068965517241381</v>
      </c>
      <c r="AK73" s="130">
        <f t="shared" si="28"/>
        <v>1.0060217557046978E-2</v>
      </c>
      <c r="AL73" s="130">
        <f t="shared" si="29"/>
        <v>0.989939782442953</v>
      </c>
      <c r="AM73" s="33">
        <f t="shared" si="30"/>
        <v>0</v>
      </c>
      <c r="BB73" s="3">
        <v>1</v>
      </c>
      <c r="BC73" s="3">
        <v>1</v>
      </c>
      <c r="BD73" s="3"/>
      <c r="BE73" s="3">
        <v>1</v>
      </c>
      <c r="BF73" s="3">
        <v>1</v>
      </c>
      <c r="BG73" s="3"/>
      <c r="BH73" s="3"/>
      <c r="BI73" s="3"/>
      <c r="BJ73" s="3"/>
      <c r="BK73" s="3">
        <v>9</v>
      </c>
      <c r="BL73" s="3">
        <f t="shared" si="31"/>
        <v>4</v>
      </c>
      <c r="BM73" s="292">
        <f t="shared" si="32"/>
        <v>0.44444444444444442</v>
      </c>
      <c r="BN73" s="295"/>
      <c r="BO73" s="295"/>
      <c r="BP73" s="295"/>
      <c r="BQ73" s="295"/>
      <c r="BR73" s="322"/>
      <c r="BS73" s="81">
        <f t="shared" si="16"/>
        <v>0</v>
      </c>
      <c r="BT73" s="81"/>
    </row>
    <row r="74" spans="1:105" ht="34.5">
      <c r="A74" s="81">
        <v>60</v>
      </c>
      <c r="B74" s="81">
        <v>1</v>
      </c>
      <c r="C74" s="148">
        <v>46241</v>
      </c>
      <c r="D74" s="81" t="s">
        <v>277</v>
      </c>
      <c r="E74" s="149" t="s">
        <v>1317</v>
      </c>
      <c r="F74" s="91" t="s">
        <v>176</v>
      </c>
      <c r="G74" s="81" t="s">
        <v>1342</v>
      </c>
      <c r="H74" s="81" t="s">
        <v>1343</v>
      </c>
      <c r="I74" s="134"/>
      <c r="J74" s="81" t="s">
        <v>375</v>
      </c>
      <c r="K74" s="81" t="s">
        <v>1187</v>
      </c>
      <c r="L74" s="81" t="s">
        <v>281</v>
      </c>
      <c r="M74" s="81">
        <v>1</v>
      </c>
      <c r="N74" s="150">
        <v>0.36</v>
      </c>
      <c r="O74" s="150">
        <f t="shared" si="17"/>
        <v>3.9293999999999993</v>
      </c>
      <c r="P74" s="150">
        <f t="shared" si="26"/>
        <v>0.39600000000000002</v>
      </c>
      <c r="Q74" s="150"/>
      <c r="R74" s="150">
        <f t="shared" si="19"/>
        <v>0.55499999999999994</v>
      </c>
      <c r="S74" s="150">
        <f>R74*0.36</f>
        <v>0.19979999999999998</v>
      </c>
      <c r="T74" s="150">
        <f>(R74+S74)*2.72%</f>
        <v>2.053056E-2</v>
      </c>
      <c r="U74" s="204">
        <f t="shared" si="20"/>
        <v>0.77533055999999989</v>
      </c>
      <c r="V74" s="88">
        <v>149</v>
      </c>
      <c r="W74" s="150">
        <f t="shared" si="21"/>
        <v>128.44827586206898</v>
      </c>
      <c r="X74" s="125">
        <f t="shared" si="22"/>
        <v>77.068965517241381</v>
      </c>
      <c r="Y74" s="143">
        <f t="shared" si="23"/>
        <v>1.0060217557046978E-2</v>
      </c>
      <c r="Z74" s="153">
        <f t="shared" si="24"/>
        <v>0.989939782442953</v>
      </c>
      <c r="AA74" s="153">
        <f t="shared" si="25"/>
        <v>0.4</v>
      </c>
      <c r="AB74" s="81" t="s">
        <v>284</v>
      </c>
      <c r="AC74" s="81" t="s">
        <v>67</v>
      </c>
      <c r="AD74" s="81">
        <v>6</v>
      </c>
      <c r="AE74" s="81">
        <v>144</v>
      </c>
      <c r="AF74" s="81"/>
      <c r="AG74" s="81"/>
      <c r="AH74" s="146"/>
      <c r="AI74" s="157">
        <f>V74*0.6</f>
        <v>89.399999999999991</v>
      </c>
      <c r="AJ74" s="159">
        <f t="shared" si="27"/>
        <v>77.068965517241381</v>
      </c>
      <c r="AK74" s="130">
        <f t="shared" si="28"/>
        <v>1.0060217557046978E-2</v>
      </c>
      <c r="AL74" s="130">
        <f t="shared" si="29"/>
        <v>0.989939782442953</v>
      </c>
      <c r="AM74" s="33">
        <f t="shared" si="30"/>
        <v>0</v>
      </c>
      <c r="BB74" s="3">
        <v>1</v>
      </c>
      <c r="BC74" s="3">
        <v>1</v>
      </c>
      <c r="BD74" s="3"/>
      <c r="BE74" s="3">
        <v>1</v>
      </c>
      <c r="BF74" s="3">
        <v>1</v>
      </c>
      <c r="BG74" s="3"/>
      <c r="BH74" s="3"/>
      <c r="BI74" s="3"/>
      <c r="BJ74" s="3"/>
      <c r="BK74" s="3">
        <v>9</v>
      </c>
      <c r="BL74" s="3">
        <f t="shared" si="31"/>
        <v>4</v>
      </c>
      <c r="BM74" s="292">
        <f t="shared" si="32"/>
        <v>0.44444444444444442</v>
      </c>
      <c r="BN74" s="295"/>
      <c r="BO74" s="295"/>
      <c r="BP74" s="295"/>
      <c r="BQ74" s="295"/>
      <c r="BR74" s="322"/>
      <c r="BS74" s="81">
        <f t="shared" si="16"/>
        <v>0</v>
      </c>
      <c r="BT74" s="81"/>
    </row>
    <row r="75" spans="1:105" ht="34.5">
      <c r="A75" s="81">
        <v>61</v>
      </c>
      <c r="B75" s="81">
        <v>1</v>
      </c>
      <c r="C75" s="148">
        <v>46241</v>
      </c>
      <c r="D75" s="81" t="s">
        <v>277</v>
      </c>
      <c r="E75" s="149" t="s">
        <v>1317</v>
      </c>
      <c r="F75" s="91" t="s">
        <v>176</v>
      </c>
      <c r="G75" s="81" t="s">
        <v>1344</v>
      </c>
      <c r="H75" s="81" t="s">
        <v>1345</v>
      </c>
      <c r="I75" s="134"/>
      <c r="J75" s="81" t="s">
        <v>1346</v>
      </c>
      <c r="K75" s="81" t="s">
        <v>1187</v>
      </c>
      <c r="L75" s="81" t="s">
        <v>281</v>
      </c>
      <c r="M75" s="81">
        <v>1</v>
      </c>
      <c r="N75" s="150">
        <v>0.55000000000000004</v>
      </c>
      <c r="O75" s="150">
        <f t="shared" si="17"/>
        <v>6.0032500000000004</v>
      </c>
      <c r="P75" s="150">
        <f t="shared" si="26"/>
        <v>0.60500000000000009</v>
      </c>
      <c r="Q75" s="150"/>
      <c r="R75" s="150">
        <f t="shared" si="19"/>
        <v>0.84791666666666665</v>
      </c>
      <c r="S75" s="150">
        <f>R75*0.25</f>
        <v>0.21197916666666666</v>
      </c>
      <c r="T75" s="150">
        <f>(R75+S75)*4.94%</f>
        <v>5.235885416666667E-2</v>
      </c>
      <c r="U75" s="204">
        <f t="shared" si="20"/>
        <v>1.1122546874999999</v>
      </c>
      <c r="V75" s="88">
        <v>199</v>
      </c>
      <c r="W75" s="150">
        <f t="shared" si="21"/>
        <v>171.55172413793105</v>
      </c>
      <c r="X75" s="125">
        <f t="shared" si="22"/>
        <v>102.93103448275862</v>
      </c>
      <c r="Y75" s="143">
        <f t="shared" si="23"/>
        <v>1.0805824434673365E-2</v>
      </c>
      <c r="Z75" s="153">
        <f t="shared" si="24"/>
        <v>0.98919417556532663</v>
      </c>
      <c r="AA75" s="153">
        <f t="shared" si="25"/>
        <v>0.4</v>
      </c>
      <c r="AB75" s="81" t="s">
        <v>284</v>
      </c>
      <c r="AC75" s="81" t="s">
        <v>67</v>
      </c>
      <c r="AD75" s="81">
        <v>6</v>
      </c>
      <c r="AE75" s="81">
        <v>144</v>
      </c>
      <c r="AF75" s="81"/>
      <c r="AG75" s="81"/>
      <c r="AH75" s="146"/>
      <c r="AI75" s="157">
        <f>V75*0.6</f>
        <v>119.39999999999999</v>
      </c>
      <c r="AJ75" s="159">
        <f t="shared" si="27"/>
        <v>102.93103448275862</v>
      </c>
      <c r="AK75" s="130">
        <f t="shared" si="28"/>
        <v>1.0805824434673365E-2</v>
      </c>
      <c r="AL75" s="130">
        <f t="shared" si="29"/>
        <v>0.98919417556532663</v>
      </c>
      <c r="AM75" s="33">
        <f t="shared" si="30"/>
        <v>0</v>
      </c>
      <c r="BB75" s="3">
        <v>1</v>
      </c>
      <c r="BC75" s="3">
        <v>1</v>
      </c>
      <c r="BD75" s="3"/>
      <c r="BE75" s="3">
        <v>1</v>
      </c>
      <c r="BF75" s="3">
        <v>1</v>
      </c>
      <c r="BG75" s="3"/>
      <c r="BH75" s="3"/>
      <c r="BI75" s="3"/>
      <c r="BJ75" s="3"/>
      <c r="BK75" s="3">
        <v>9</v>
      </c>
      <c r="BL75" s="3">
        <f t="shared" si="31"/>
        <v>4</v>
      </c>
      <c r="BM75" s="292">
        <f t="shared" si="32"/>
        <v>0.44444444444444442</v>
      </c>
      <c r="BN75" s="295"/>
      <c r="BO75" s="295"/>
      <c r="BP75" s="295"/>
      <c r="BQ75" s="295"/>
      <c r="BR75" s="322"/>
      <c r="BS75" s="81">
        <f t="shared" si="16"/>
        <v>0</v>
      </c>
      <c r="BT75" s="81"/>
    </row>
    <row r="76" spans="1:105" ht="34.5">
      <c r="A76" s="81">
        <v>62</v>
      </c>
      <c r="B76" s="81">
        <v>1</v>
      </c>
      <c r="C76" s="148">
        <v>46241</v>
      </c>
      <c r="D76" s="81" t="s">
        <v>277</v>
      </c>
      <c r="E76" s="149" t="s">
        <v>1317</v>
      </c>
      <c r="F76" s="91" t="s">
        <v>176</v>
      </c>
      <c r="G76" s="81" t="s">
        <v>1347</v>
      </c>
      <c r="H76" s="81" t="s">
        <v>1348</v>
      </c>
      <c r="I76" s="134"/>
      <c r="J76" s="81" t="s">
        <v>1346</v>
      </c>
      <c r="K76" s="81" t="s">
        <v>1187</v>
      </c>
      <c r="L76" s="81" t="s">
        <v>281</v>
      </c>
      <c r="M76" s="81">
        <v>1</v>
      </c>
      <c r="N76" s="150">
        <v>0.55000000000000004</v>
      </c>
      <c r="O76" s="150">
        <f t="shared" si="17"/>
        <v>6.0032500000000004</v>
      </c>
      <c r="P76" s="150">
        <f t="shared" si="26"/>
        <v>0.60500000000000009</v>
      </c>
      <c r="Q76" s="150"/>
      <c r="R76" s="150">
        <f t="shared" si="19"/>
        <v>0.84791666666666665</v>
      </c>
      <c r="S76" s="150">
        <f>R76*0.25</f>
        <v>0.21197916666666666</v>
      </c>
      <c r="T76" s="150">
        <f>(R76+S76)*4.94%</f>
        <v>5.235885416666667E-2</v>
      </c>
      <c r="U76" s="204">
        <f t="shared" si="20"/>
        <v>1.1122546874999999</v>
      </c>
      <c r="V76" s="88">
        <v>199</v>
      </c>
      <c r="W76" s="150">
        <f t="shared" si="21"/>
        <v>171.55172413793105</v>
      </c>
      <c r="X76" s="125">
        <f t="shared" si="22"/>
        <v>102.93103448275862</v>
      </c>
      <c r="Y76" s="143">
        <f t="shared" si="23"/>
        <v>1.0805824434673365E-2</v>
      </c>
      <c r="Z76" s="153">
        <f t="shared" si="24"/>
        <v>0.98919417556532663</v>
      </c>
      <c r="AA76" s="153">
        <f t="shared" si="25"/>
        <v>0.4</v>
      </c>
      <c r="AB76" s="81" t="s">
        <v>284</v>
      </c>
      <c r="AC76" s="81" t="s">
        <v>67</v>
      </c>
      <c r="AD76" s="81">
        <v>6</v>
      </c>
      <c r="AE76" s="81">
        <v>144</v>
      </c>
      <c r="AF76" s="81"/>
      <c r="AG76" s="81"/>
      <c r="AH76" s="146"/>
      <c r="AI76" s="157">
        <f>V76*0.6</f>
        <v>119.39999999999999</v>
      </c>
      <c r="AJ76" s="159">
        <f t="shared" si="27"/>
        <v>102.93103448275862</v>
      </c>
      <c r="AK76" s="130">
        <f t="shared" si="28"/>
        <v>1.0805824434673365E-2</v>
      </c>
      <c r="AL76" s="130">
        <f t="shared" si="29"/>
        <v>0.98919417556532663</v>
      </c>
      <c r="AM76" s="33">
        <f t="shared" si="30"/>
        <v>0</v>
      </c>
      <c r="BB76" s="3">
        <v>1</v>
      </c>
      <c r="BC76" s="3">
        <v>1</v>
      </c>
      <c r="BD76" s="3"/>
      <c r="BE76" s="3">
        <v>1</v>
      </c>
      <c r="BF76" s="3">
        <v>1</v>
      </c>
      <c r="BG76" s="3"/>
      <c r="BH76" s="3"/>
      <c r="BI76" s="3"/>
      <c r="BJ76" s="3"/>
      <c r="BK76" s="3">
        <v>9</v>
      </c>
      <c r="BL76" s="3">
        <f t="shared" si="31"/>
        <v>4</v>
      </c>
      <c r="BM76" s="292">
        <f t="shared" si="32"/>
        <v>0.44444444444444442</v>
      </c>
      <c r="BN76" s="295"/>
      <c r="BO76" s="295"/>
      <c r="BP76" s="295"/>
      <c r="BQ76" s="295"/>
      <c r="BR76" s="322"/>
      <c r="BS76" s="81">
        <f t="shared" si="16"/>
        <v>0</v>
      </c>
      <c r="BT76" s="81"/>
    </row>
  </sheetData>
  <mergeCells count="2">
    <mergeCell ref="A2:B2"/>
    <mergeCell ref="CJ14:DA14"/>
  </mergeCells>
  <conditionalFormatting sqref="Y17:Y76">
    <cfRule type="cellIs" dxfId="9" priority="2" operator="greaterThan">
      <formula>0.259</formula>
    </cfRule>
    <cfRule type="cellIs" dxfId="8" priority="3" operator="greaterThan">
      <formula>25.9</formula>
    </cfRule>
  </conditionalFormatting>
  <conditionalFormatting sqref="AM17:AM76">
    <cfRule type="cellIs" dxfId="7" priority="4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A68"/>
  <sheetViews>
    <sheetView topLeftCell="BA9" zoomScale="26" zoomScaleNormal="26" workbookViewId="0">
      <selection activeCell="CJ9" sqref="CJ1:DA1048576"/>
    </sheetView>
  </sheetViews>
  <sheetFormatPr defaultColWidth="11.5703125" defaultRowHeight="27.6"/>
  <cols>
    <col min="1" max="1" width="8.5703125" bestFit="1" customWidth="1"/>
    <col min="2" max="2" width="64.140625" bestFit="1" customWidth="1"/>
    <col min="3" max="3" width="63.140625" bestFit="1" customWidth="1"/>
    <col min="4" max="4" width="26.28515625" bestFit="1" customWidth="1"/>
    <col min="5" max="5" width="39.42578125" bestFit="1" customWidth="1"/>
    <col min="6" max="6" width="46.140625" bestFit="1" customWidth="1"/>
    <col min="7" max="7" width="65.140625" bestFit="1" customWidth="1"/>
    <col min="8" max="8" width="23.7109375" bestFit="1" customWidth="1"/>
    <col min="9" max="9" width="33.5703125" bestFit="1" customWidth="1"/>
    <col min="10" max="10" width="21.5703125" bestFit="1" customWidth="1"/>
    <col min="11" max="11" width="39" bestFit="1" customWidth="1"/>
    <col min="12" max="12" width="20" bestFit="1" customWidth="1"/>
    <col min="13" max="13" width="64.5703125" bestFit="1" customWidth="1"/>
    <col min="14" max="14" width="51" bestFit="1" customWidth="1"/>
    <col min="15" max="15" width="24.28515625" bestFit="1" customWidth="1"/>
    <col min="16" max="16" width="52.140625" bestFit="1" customWidth="1"/>
    <col min="17" max="18" width="34.140625" bestFit="1" customWidth="1"/>
    <col min="19" max="19" width="21.5703125" bestFit="1" customWidth="1"/>
    <col min="20" max="20" width="55.7109375" bestFit="1" customWidth="1"/>
    <col min="21" max="21" width="26.85546875" bestFit="1" customWidth="1"/>
    <col min="22" max="22" width="55.5703125" bestFit="1" customWidth="1"/>
    <col min="23" max="23" width="46.140625" bestFit="1" customWidth="1"/>
    <col min="24" max="24" width="66.42578125" bestFit="1" customWidth="1"/>
    <col min="25" max="25" width="47.28515625" bestFit="1" customWidth="1"/>
    <col min="26" max="26" width="65.140625" bestFit="1" customWidth="1"/>
    <col min="27" max="27" width="64.5703125" bestFit="1" customWidth="1"/>
    <col min="28" max="28" width="64.140625" bestFit="1" customWidth="1"/>
    <col min="29" max="29" width="55" bestFit="1" customWidth="1"/>
    <col min="30" max="30" width="43.5703125" bestFit="1" customWidth="1"/>
    <col min="31" max="31" width="57.140625" bestFit="1" customWidth="1"/>
    <col min="32" max="32" width="35.28515625" bestFit="1" customWidth="1"/>
    <col min="33" max="33" width="32.140625" bestFit="1" customWidth="1"/>
    <col min="34" max="34" width="45.28515625" bestFit="1" customWidth="1"/>
    <col min="35" max="35" width="22.5703125" bestFit="1" customWidth="1"/>
    <col min="36" max="36" width="30" bestFit="1" customWidth="1"/>
    <col min="37" max="37" width="41" bestFit="1" customWidth="1"/>
    <col min="38" max="38" width="23.5703125" customWidth="1"/>
    <col min="39" max="39" width="56.28515625" bestFit="1" customWidth="1"/>
    <col min="40" max="40" width="63.5703125" bestFit="1" customWidth="1"/>
    <col min="41" max="41" width="36.85546875" bestFit="1" customWidth="1"/>
    <col min="42" max="42" width="57.140625" bestFit="1" customWidth="1"/>
    <col min="43" max="43" width="31.140625" bestFit="1" customWidth="1"/>
    <col min="44" max="52" width="20.5703125" customWidth="1"/>
    <col min="53" max="64" width="29" customWidth="1"/>
    <col min="70" max="72" width="33.7109375" customWidth="1"/>
    <col min="87" max="87" width="11.5703125" customWidth="1"/>
    <col min="88" max="93" width="35.42578125" style="279" customWidth="1"/>
    <col min="94" max="105" width="35.42578125" style="266" customWidth="1"/>
  </cols>
  <sheetData>
    <row r="1" spans="1:105" s="168" customFormat="1" ht="32.450000000000003">
      <c r="A1" s="195"/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  <c r="AA1" s="195"/>
      <c r="AB1" s="195"/>
      <c r="AC1" s="195"/>
      <c r="AD1" s="195"/>
      <c r="AE1" s="195"/>
      <c r="AF1" s="195"/>
      <c r="AG1" s="195"/>
      <c r="AH1" s="195"/>
      <c r="AI1" s="195"/>
      <c r="AJ1" s="195"/>
      <c r="AK1" s="195"/>
      <c r="AM1" s="181"/>
      <c r="AN1" s="181"/>
      <c r="AO1" s="181"/>
      <c r="AP1" s="181"/>
      <c r="AQ1" s="181"/>
      <c r="BA1" s="165"/>
      <c r="BB1" s="165"/>
      <c r="BC1" s="165"/>
      <c r="BD1" s="165"/>
      <c r="BE1" s="165"/>
      <c r="BF1" s="165"/>
      <c r="BG1" s="165"/>
      <c r="BH1" s="165"/>
      <c r="BI1" s="165"/>
      <c r="BJ1" s="165"/>
      <c r="BK1" s="165"/>
      <c r="BL1" s="165"/>
      <c r="CJ1" s="165"/>
      <c r="CK1" s="165"/>
      <c r="CL1" s="165"/>
      <c r="CM1" s="165"/>
      <c r="CN1" s="165"/>
      <c r="CO1" s="165"/>
      <c r="CP1" s="165"/>
      <c r="CQ1" s="165"/>
      <c r="CR1" s="165"/>
      <c r="CS1" s="165"/>
      <c r="CT1" s="165"/>
      <c r="CU1" s="165"/>
      <c r="CV1" s="165"/>
      <c r="CW1" s="165"/>
      <c r="CX1" s="165"/>
      <c r="CY1" s="165"/>
      <c r="CZ1" s="165"/>
      <c r="DA1" s="165"/>
    </row>
    <row r="2" spans="1:105" s="168" customFormat="1" ht="32.450000000000003">
      <c r="A2" s="195"/>
      <c r="B2" s="195"/>
      <c r="C2" s="195"/>
      <c r="D2" s="195"/>
      <c r="E2" s="195"/>
      <c r="F2" s="195"/>
      <c r="G2" s="195"/>
      <c r="H2" s="195"/>
      <c r="I2" s="195"/>
      <c r="J2" s="195"/>
      <c r="K2" s="195"/>
      <c r="L2" s="195"/>
      <c r="M2" s="195"/>
      <c r="N2" s="195"/>
      <c r="O2" s="195"/>
      <c r="P2" s="195"/>
      <c r="Q2" s="195"/>
      <c r="R2" s="195"/>
      <c r="S2" s="195"/>
      <c r="T2" s="195"/>
      <c r="U2" s="195"/>
      <c r="V2" s="195"/>
      <c r="W2" s="195"/>
      <c r="X2" s="195"/>
      <c r="Y2" s="195"/>
      <c r="Z2" s="195"/>
      <c r="AA2" s="195"/>
      <c r="AB2" s="195"/>
      <c r="AC2" s="195"/>
      <c r="AD2" s="195"/>
      <c r="AE2" s="195"/>
      <c r="AF2" s="195"/>
      <c r="AG2" s="195"/>
      <c r="AH2" s="195"/>
      <c r="AI2" s="195"/>
      <c r="AJ2" s="195"/>
      <c r="AK2" s="195"/>
      <c r="AM2" s="181"/>
      <c r="AN2" s="181"/>
      <c r="AO2" s="181"/>
      <c r="AP2" s="181"/>
      <c r="AQ2" s="181"/>
      <c r="BA2" s="165"/>
      <c r="BB2" s="165"/>
      <c r="BC2" s="165"/>
      <c r="BD2" s="165"/>
      <c r="BE2" s="165"/>
      <c r="BF2" s="165"/>
      <c r="BG2" s="165"/>
      <c r="BH2" s="165"/>
      <c r="BI2" s="165"/>
      <c r="BJ2" s="165"/>
      <c r="BK2" s="165"/>
      <c r="BL2" s="165"/>
      <c r="CJ2" s="165"/>
      <c r="CK2" s="165"/>
      <c r="CL2" s="165"/>
      <c r="CM2" s="165"/>
      <c r="CN2" s="165"/>
      <c r="CO2" s="165"/>
      <c r="CP2" s="165"/>
      <c r="CQ2" s="165"/>
      <c r="CR2" s="165"/>
      <c r="CS2" s="165"/>
      <c r="CT2" s="165"/>
      <c r="CU2" s="165"/>
      <c r="CV2" s="165"/>
      <c r="CW2" s="165"/>
      <c r="CX2" s="165"/>
      <c r="CY2" s="165"/>
      <c r="CZ2" s="165"/>
      <c r="DA2" s="165"/>
    </row>
    <row r="3" spans="1:105" s="168" customFormat="1" ht="32.450000000000003">
      <c r="A3" s="195"/>
      <c r="B3" s="195"/>
      <c r="C3" s="195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95"/>
      <c r="Z3" s="195"/>
      <c r="AA3" s="195"/>
      <c r="AB3" s="195"/>
      <c r="AC3" s="195"/>
      <c r="AD3" s="195"/>
      <c r="AE3" s="195"/>
      <c r="AF3" s="195"/>
      <c r="AG3" s="195"/>
      <c r="AH3" s="195"/>
      <c r="AI3" s="195"/>
      <c r="AJ3" s="195"/>
      <c r="AK3" s="195"/>
      <c r="AM3" s="181"/>
      <c r="AN3" s="181"/>
      <c r="AO3" s="181"/>
      <c r="AP3" s="181"/>
      <c r="AQ3" s="181"/>
      <c r="BA3" s="165"/>
      <c r="BB3" s="165"/>
      <c r="BC3" s="165"/>
      <c r="BD3" s="165"/>
      <c r="BE3" s="165"/>
      <c r="BF3" s="165"/>
      <c r="BG3" s="165"/>
      <c r="BH3" s="165"/>
      <c r="BI3" s="165"/>
      <c r="BJ3" s="165"/>
      <c r="BK3" s="165"/>
      <c r="BL3" s="165"/>
      <c r="CJ3" s="165"/>
      <c r="CK3" s="165"/>
      <c r="CL3" s="165"/>
      <c r="CM3" s="165"/>
      <c r="CN3" s="165"/>
      <c r="CO3" s="165"/>
      <c r="CP3" s="165"/>
      <c r="CQ3" s="165"/>
      <c r="CR3" s="165"/>
      <c r="CS3" s="165"/>
      <c r="CT3" s="165"/>
      <c r="CU3" s="165"/>
      <c r="CV3" s="165"/>
      <c r="CW3" s="165"/>
      <c r="CX3" s="165"/>
      <c r="CY3" s="165"/>
      <c r="CZ3" s="165"/>
      <c r="DA3" s="165"/>
    </row>
    <row r="4" spans="1:105" s="168" customFormat="1" ht="32.450000000000003">
      <c r="A4" s="195"/>
      <c r="B4" s="195"/>
      <c r="C4" s="195"/>
      <c r="D4" s="195"/>
      <c r="E4" s="195"/>
      <c r="F4" s="195"/>
      <c r="G4" s="195"/>
      <c r="H4" s="195"/>
      <c r="I4" s="195"/>
      <c r="J4" s="195"/>
      <c r="K4" s="195"/>
      <c r="L4" s="195"/>
      <c r="M4" s="195"/>
      <c r="N4" s="195"/>
      <c r="O4" s="195"/>
      <c r="P4" s="195"/>
      <c r="Q4" s="195"/>
      <c r="R4" s="195"/>
      <c r="S4" s="195"/>
      <c r="T4" s="195"/>
      <c r="U4" s="195"/>
      <c r="V4" s="195"/>
      <c r="W4" s="195"/>
      <c r="X4" s="195"/>
      <c r="Y4" s="195"/>
      <c r="Z4" s="195"/>
      <c r="AA4" s="195"/>
      <c r="AB4" s="195"/>
      <c r="AC4" s="195"/>
      <c r="AD4" s="195"/>
      <c r="AE4" s="195"/>
      <c r="AF4" s="195"/>
      <c r="AG4" s="195"/>
      <c r="AH4" s="195"/>
      <c r="AI4" s="195"/>
      <c r="AJ4" s="195"/>
      <c r="AK4" s="195"/>
      <c r="AM4" s="181"/>
      <c r="AN4" s="181"/>
      <c r="AO4" s="181"/>
      <c r="AP4" s="181"/>
      <c r="AQ4" s="181"/>
      <c r="BA4" s="165"/>
      <c r="BB4" s="165"/>
      <c r="BC4" s="165"/>
      <c r="BD4" s="165"/>
      <c r="BE4" s="165"/>
      <c r="BF4" s="165"/>
      <c r="BG4" s="165"/>
      <c r="BH4" s="165"/>
      <c r="BI4" s="165"/>
      <c r="BJ4" s="165"/>
      <c r="BK4" s="165"/>
      <c r="BL4" s="165"/>
      <c r="CJ4" s="165"/>
      <c r="CK4" s="165"/>
      <c r="CL4" s="165"/>
      <c r="CM4" s="165"/>
      <c r="CN4" s="165"/>
      <c r="CO4" s="165"/>
      <c r="CP4" s="165"/>
      <c r="CQ4" s="165"/>
      <c r="CR4" s="165"/>
      <c r="CS4" s="165"/>
      <c r="CT4" s="165"/>
      <c r="CU4" s="165"/>
      <c r="CV4" s="165"/>
      <c r="CW4" s="165"/>
      <c r="CX4" s="165"/>
      <c r="CY4" s="165"/>
      <c r="CZ4" s="165"/>
      <c r="DA4" s="165"/>
    </row>
    <row r="5" spans="1:105" s="168" customFormat="1" ht="32.450000000000003">
      <c r="A5" s="195"/>
      <c r="B5" s="195"/>
      <c r="C5" s="195"/>
      <c r="D5" s="195"/>
      <c r="E5" s="195"/>
      <c r="F5" s="195"/>
      <c r="G5" s="195"/>
      <c r="H5" s="195"/>
      <c r="I5" s="195"/>
      <c r="J5" s="195"/>
      <c r="K5" s="195"/>
      <c r="L5" s="195"/>
      <c r="M5" s="195"/>
      <c r="N5" s="195"/>
      <c r="O5" s="195"/>
      <c r="P5" s="195"/>
      <c r="Q5" s="195"/>
      <c r="R5" s="195"/>
      <c r="S5" s="195"/>
      <c r="T5" s="195"/>
      <c r="U5" s="195"/>
      <c r="V5" s="195"/>
      <c r="W5" s="195"/>
      <c r="X5" s="195"/>
      <c r="Y5" s="195"/>
      <c r="Z5" s="195"/>
      <c r="AA5" s="195"/>
      <c r="AB5" s="195"/>
      <c r="AC5" s="195"/>
      <c r="AD5" s="195"/>
      <c r="AE5" s="195"/>
      <c r="AF5" s="195"/>
      <c r="AG5" s="195"/>
      <c r="AH5" s="195"/>
      <c r="AI5" s="195"/>
      <c r="AJ5" s="195"/>
      <c r="AK5" s="195"/>
      <c r="AM5" s="181"/>
      <c r="AN5" s="181"/>
      <c r="AO5" s="181"/>
      <c r="AP5" s="181"/>
      <c r="AQ5" s="181"/>
      <c r="BA5" s="165"/>
      <c r="BB5" s="165"/>
      <c r="BC5" s="165"/>
      <c r="BD5" s="165"/>
      <c r="BE5" s="165"/>
      <c r="BF5" s="165"/>
      <c r="BG5" s="165"/>
      <c r="BH5" s="165"/>
      <c r="BI5" s="165"/>
      <c r="BJ5" s="165"/>
      <c r="BK5" s="165"/>
      <c r="BL5" s="165"/>
      <c r="CJ5" s="165"/>
      <c r="CK5" s="165"/>
      <c r="CL5" s="165"/>
      <c r="CM5" s="165"/>
      <c r="CN5" s="165"/>
      <c r="CO5" s="165"/>
      <c r="CP5" s="165"/>
      <c r="CQ5" s="165"/>
      <c r="CR5" s="165"/>
      <c r="CS5" s="165"/>
      <c r="CT5" s="165"/>
      <c r="CU5" s="165"/>
      <c r="CV5" s="165"/>
      <c r="CW5" s="165"/>
      <c r="CX5" s="165"/>
      <c r="CY5" s="165"/>
      <c r="CZ5" s="165"/>
      <c r="DA5" s="165"/>
    </row>
    <row r="6" spans="1:105" s="168" customFormat="1" ht="32.450000000000003">
      <c r="A6" s="195"/>
      <c r="B6" s="195"/>
      <c r="C6" s="195"/>
      <c r="D6" s="195"/>
      <c r="E6" s="195"/>
      <c r="F6" s="195"/>
      <c r="G6" s="195"/>
      <c r="H6" s="195"/>
      <c r="I6" s="195"/>
      <c r="J6" s="195"/>
      <c r="K6" s="195"/>
      <c r="L6" s="195"/>
      <c r="M6" s="195"/>
      <c r="N6" s="195"/>
      <c r="O6" s="195"/>
      <c r="P6" s="195"/>
      <c r="Q6" s="195"/>
      <c r="R6" s="195"/>
      <c r="S6" s="195"/>
      <c r="T6" s="195"/>
      <c r="U6" s="195"/>
      <c r="V6" s="195"/>
      <c r="W6" s="195"/>
      <c r="X6" s="195"/>
      <c r="Y6" s="195"/>
      <c r="Z6" s="195"/>
      <c r="AA6" s="195"/>
      <c r="AB6" s="195"/>
      <c r="AC6" s="195"/>
      <c r="AD6" s="195"/>
      <c r="AE6" s="195"/>
      <c r="AF6" s="195"/>
      <c r="AG6" s="195"/>
      <c r="AH6" s="195"/>
      <c r="AI6" s="195"/>
      <c r="AJ6" s="195"/>
      <c r="AK6" s="195"/>
      <c r="AM6" s="181"/>
      <c r="AN6" s="181"/>
      <c r="AO6" s="181"/>
      <c r="AP6" s="181"/>
      <c r="AQ6" s="181"/>
      <c r="BA6" s="165"/>
      <c r="BB6" s="165"/>
      <c r="BC6" s="165"/>
      <c r="BD6" s="165"/>
      <c r="BE6" s="165"/>
      <c r="BF6" s="165"/>
      <c r="BG6" s="165"/>
      <c r="BH6" s="165"/>
      <c r="BI6" s="165"/>
      <c r="BJ6" s="165"/>
      <c r="BK6" s="165"/>
      <c r="BL6" s="165"/>
      <c r="CJ6" s="165"/>
      <c r="CK6" s="165"/>
      <c r="CL6" s="165"/>
      <c r="CM6" s="165"/>
      <c r="CN6" s="165"/>
      <c r="CO6" s="165"/>
      <c r="CP6" s="165"/>
      <c r="CQ6" s="165"/>
      <c r="CR6" s="165"/>
      <c r="CS6" s="165"/>
      <c r="CT6" s="165"/>
      <c r="CU6" s="165"/>
      <c r="CV6" s="165"/>
      <c r="CW6" s="165"/>
      <c r="CX6" s="165"/>
      <c r="CY6" s="165"/>
      <c r="CZ6" s="165"/>
      <c r="DA6" s="165"/>
    </row>
    <row r="7" spans="1:105" s="168" customFormat="1" ht="32.450000000000003">
      <c r="A7" s="195"/>
      <c r="B7" s="195"/>
      <c r="C7" s="195"/>
      <c r="D7" s="195"/>
      <c r="E7" s="195"/>
      <c r="F7" s="195"/>
      <c r="G7" s="195"/>
      <c r="H7" s="195"/>
      <c r="I7" s="195"/>
      <c r="J7" s="195"/>
      <c r="K7" s="195"/>
      <c r="L7" s="195"/>
      <c r="M7" s="195"/>
      <c r="N7" s="195"/>
      <c r="O7" s="195"/>
      <c r="P7" s="195"/>
      <c r="Q7" s="195"/>
      <c r="R7" s="195"/>
      <c r="S7" s="195"/>
      <c r="T7" s="195"/>
      <c r="U7" s="195"/>
      <c r="V7" s="195"/>
      <c r="W7" s="195"/>
      <c r="X7" s="195"/>
      <c r="Y7" s="195"/>
      <c r="Z7" s="195"/>
      <c r="AA7" s="195"/>
      <c r="AB7" s="195"/>
      <c r="AC7" s="195"/>
      <c r="AD7" s="195"/>
      <c r="AE7" s="195"/>
      <c r="AF7" s="195"/>
      <c r="AG7" s="195"/>
      <c r="AH7" s="195"/>
      <c r="AI7" s="195"/>
      <c r="AJ7" s="195"/>
      <c r="AK7" s="195"/>
      <c r="AM7" s="181"/>
      <c r="AN7" s="181"/>
      <c r="AO7" s="181"/>
      <c r="AP7" s="181"/>
      <c r="AQ7" s="181"/>
      <c r="BA7" s="165"/>
      <c r="BB7" s="165"/>
      <c r="BC7" s="165"/>
      <c r="BD7" s="165"/>
      <c r="BE7" s="165"/>
      <c r="BF7" s="165"/>
      <c r="BG7" s="165"/>
      <c r="BH7" s="165"/>
      <c r="BI7" s="165"/>
      <c r="BJ7" s="165"/>
      <c r="BK7" s="165"/>
      <c r="BL7" s="165"/>
      <c r="CJ7" s="165"/>
      <c r="CK7" s="165"/>
      <c r="CL7" s="165"/>
      <c r="CM7" s="165"/>
      <c r="CN7" s="165"/>
      <c r="CO7" s="165"/>
      <c r="CP7" s="165"/>
      <c r="CQ7" s="165"/>
      <c r="CR7" s="165"/>
      <c r="CS7" s="165"/>
      <c r="CT7" s="165"/>
      <c r="CU7" s="165"/>
      <c r="CV7" s="165"/>
      <c r="CW7" s="165"/>
      <c r="CX7" s="165"/>
      <c r="CY7" s="165"/>
      <c r="CZ7" s="165"/>
      <c r="DA7" s="165"/>
    </row>
    <row r="8" spans="1:105" s="168" customFormat="1" ht="32.450000000000003">
      <c r="A8" s="195"/>
      <c r="B8" s="195"/>
      <c r="C8" s="195"/>
      <c r="D8" s="195"/>
      <c r="E8" s="195"/>
      <c r="F8" s="195"/>
      <c r="G8" s="195"/>
      <c r="H8" s="195"/>
      <c r="I8" s="195"/>
      <c r="J8" s="195"/>
      <c r="K8" s="195"/>
      <c r="L8" s="195"/>
      <c r="M8" s="195"/>
      <c r="N8" s="195"/>
      <c r="O8" s="195"/>
      <c r="P8" s="195"/>
      <c r="Q8" s="195"/>
      <c r="R8" s="195"/>
      <c r="S8" s="195"/>
      <c r="T8" s="195"/>
      <c r="U8" s="195"/>
      <c r="V8" s="195"/>
      <c r="W8" s="195"/>
      <c r="X8" s="195"/>
      <c r="Y8" s="195"/>
      <c r="Z8" s="195"/>
      <c r="AA8" s="195"/>
      <c r="AB8" s="195"/>
      <c r="AC8" s="195"/>
      <c r="AD8" s="195"/>
      <c r="AE8" s="195"/>
      <c r="AF8" s="195"/>
      <c r="AG8" s="195"/>
      <c r="AH8" s="195"/>
      <c r="AI8" s="195"/>
      <c r="AJ8" s="195"/>
      <c r="AK8" s="195"/>
      <c r="AM8" s="181"/>
      <c r="AN8" s="181"/>
      <c r="AO8" s="181"/>
      <c r="AP8" s="181"/>
      <c r="AQ8" s="181"/>
      <c r="BA8" s="165"/>
      <c r="BB8" s="165"/>
      <c r="BC8" s="165"/>
      <c r="BD8" s="165"/>
      <c r="BE8" s="165"/>
      <c r="BF8" s="165"/>
      <c r="BG8" s="165"/>
      <c r="BH8" s="165"/>
      <c r="BI8" s="165"/>
      <c r="BJ8" s="165"/>
      <c r="BK8" s="165"/>
      <c r="BL8" s="165"/>
      <c r="CJ8" s="165"/>
      <c r="CK8" s="165"/>
      <c r="CL8" s="165"/>
      <c r="CM8" s="165"/>
      <c r="CN8" s="165"/>
      <c r="CO8" s="165"/>
      <c r="CP8" s="165"/>
      <c r="CQ8" s="165"/>
      <c r="CR8" s="165"/>
      <c r="CS8" s="165"/>
      <c r="CT8" s="165"/>
      <c r="CU8" s="165"/>
      <c r="CV8" s="165"/>
      <c r="CW8" s="165"/>
      <c r="CX8" s="165"/>
      <c r="CY8" s="165"/>
      <c r="CZ8" s="165"/>
      <c r="DA8" s="165"/>
    </row>
    <row r="9" spans="1:105" s="168" customFormat="1" ht="32.450000000000003">
      <c r="A9" s="195"/>
      <c r="B9" s="195"/>
      <c r="C9" s="195"/>
      <c r="D9" s="195"/>
      <c r="E9" s="195"/>
      <c r="F9" s="195"/>
      <c r="G9" s="195"/>
      <c r="H9" s="195"/>
      <c r="I9" s="195"/>
      <c r="J9" s="195"/>
      <c r="K9" s="195"/>
      <c r="L9" s="195"/>
      <c r="M9" s="195"/>
      <c r="N9" s="195"/>
      <c r="O9" s="195"/>
      <c r="P9" s="195"/>
      <c r="Q9" s="195"/>
      <c r="R9" s="195"/>
      <c r="S9" s="195"/>
      <c r="T9" s="195"/>
      <c r="U9" s="195"/>
      <c r="V9" s="195"/>
      <c r="W9" s="195"/>
      <c r="X9" s="195"/>
      <c r="Y9" s="195"/>
      <c r="Z9" s="195"/>
      <c r="AA9" s="195"/>
      <c r="AB9" s="195"/>
      <c r="AC9" s="195"/>
      <c r="AD9" s="195"/>
      <c r="AE9" s="195"/>
      <c r="AF9" s="195"/>
      <c r="AG9" s="195"/>
      <c r="AH9" s="195"/>
      <c r="AI9" s="195"/>
      <c r="AJ9" s="195"/>
      <c r="AK9" s="195"/>
      <c r="AM9" s="181"/>
      <c r="AN9" s="181"/>
      <c r="AO9" s="181"/>
      <c r="AP9" s="181"/>
      <c r="AQ9" s="181"/>
      <c r="BA9" s="165"/>
      <c r="BB9" s="165"/>
      <c r="BC9" s="165"/>
      <c r="BD9" s="165"/>
      <c r="BE9" s="165"/>
      <c r="BF9" s="165"/>
      <c r="BG9" s="165"/>
      <c r="BH9" s="165"/>
      <c r="BI9" s="165"/>
      <c r="BJ9" s="165"/>
      <c r="BK9" s="165"/>
      <c r="BL9" s="165"/>
      <c r="CJ9" s="165"/>
      <c r="CK9" s="165"/>
      <c r="CL9" s="165"/>
      <c r="CM9" s="165"/>
      <c r="CN9" s="165"/>
      <c r="CO9" s="165"/>
      <c r="CP9" s="165"/>
      <c r="CQ9" s="165"/>
      <c r="CR9" s="165"/>
      <c r="CS9" s="165"/>
      <c r="CT9" s="165"/>
      <c r="CU9" s="165"/>
      <c r="CV9" s="165"/>
      <c r="CW9" s="165"/>
      <c r="CX9" s="165"/>
      <c r="CY9" s="165"/>
      <c r="CZ9" s="165"/>
      <c r="DA9" s="165"/>
    </row>
    <row r="10" spans="1:105" s="168" customFormat="1" ht="32.450000000000003">
      <c r="A10" s="195"/>
      <c r="B10" s="195"/>
      <c r="C10" s="195"/>
      <c r="D10" s="195"/>
      <c r="E10" s="195"/>
      <c r="F10" s="195"/>
      <c r="G10" s="195"/>
      <c r="H10" s="195"/>
      <c r="I10" s="195"/>
      <c r="J10" s="195"/>
      <c r="K10" s="195"/>
      <c r="L10" s="195"/>
      <c r="M10" s="195"/>
      <c r="N10" s="195"/>
      <c r="O10" s="195"/>
      <c r="P10" s="195"/>
      <c r="Q10" s="195"/>
      <c r="R10" s="195"/>
      <c r="S10" s="195"/>
      <c r="T10" s="195"/>
      <c r="U10" s="195"/>
      <c r="V10" s="195"/>
      <c r="W10" s="195"/>
      <c r="X10" s="195"/>
      <c r="Y10" s="195"/>
      <c r="Z10" s="195"/>
      <c r="AA10" s="195"/>
      <c r="AB10" s="195"/>
      <c r="AC10" s="195"/>
      <c r="AD10" s="195"/>
      <c r="AE10" s="195"/>
      <c r="AF10" s="195"/>
      <c r="AG10" s="195"/>
      <c r="AH10" s="195"/>
      <c r="AI10" s="195"/>
      <c r="AJ10" s="195"/>
      <c r="AK10" s="195"/>
      <c r="AM10" s="181"/>
      <c r="AN10" s="181"/>
      <c r="AO10" s="181"/>
      <c r="AP10" s="181"/>
      <c r="AQ10" s="181"/>
      <c r="BA10" s="165"/>
      <c r="BB10" s="165"/>
      <c r="BC10" s="165"/>
      <c r="BD10" s="165"/>
      <c r="BE10" s="165"/>
      <c r="BF10" s="165"/>
      <c r="BG10" s="165"/>
      <c r="BH10" s="165"/>
      <c r="BI10" s="165"/>
      <c r="BJ10" s="165"/>
      <c r="BK10" s="165"/>
      <c r="BL10" s="165"/>
      <c r="CJ10" s="165"/>
      <c r="CK10" s="165"/>
      <c r="CL10" s="165"/>
      <c r="CM10" s="165"/>
      <c r="CN10" s="165"/>
      <c r="CO10" s="165"/>
      <c r="CP10" s="165"/>
      <c r="CQ10" s="165"/>
      <c r="CR10" s="165"/>
      <c r="CS10" s="165"/>
      <c r="CT10" s="165"/>
      <c r="CU10" s="165"/>
      <c r="CV10" s="165"/>
      <c r="CW10" s="165"/>
      <c r="CX10" s="165"/>
      <c r="CY10" s="165"/>
      <c r="CZ10" s="165"/>
      <c r="DA10" s="165"/>
    </row>
    <row r="11" spans="1:105" s="168" customFormat="1" ht="32.450000000000003">
      <c r="A11" s="195"/>
      <c r="B11" s="195"/>
      <c r="C11" s="195"/>
      <c r="D11" s="195"/>
      <c r="E11" s="195"/>
      <c r="F11" s="195"/>
      <c r="G11" s="195"/>
      <c r="H11" s="195"/>
      <c r="I11" s="195"/>
      <c r="J11" s="195"/>
      <c r="K11" s="195"/>
      <c r="L11" s="195"/>
      <c r="M11" s="195"/>
      <c r="N11" s="195"/>
      <c r="O11" s="195"/>
      <c r="P11" s="195"/>
      <c r="Q11" s="195"/>
      <c r="R11" s="195"/>
      <c r="S11" s="195"/>
      <c r="T11" s="195"/>
      <c r="U11" s="195"/>
      <c r="V11" s="195"/>
      <c r="W11" s="195"/>
      <c r="X11" s="195"/>
      <c r="Y11" s="195"/>
      <c r="Z11" s="195"/>
      <c r="AA11" s="195"/>
      <c r="AB11" s="195"/>
      <c r="AC11" s="195"/>
      <c r="AD11" s="195"/>
      <c r="AE11" s="195"/>
      <c r="AF11" s="195"/>
      <c r="AG11" s="195"/>
      <c r="AH11" s="195"/>
      <c r="AI11" s="195"/>
      <c r="AJ11" s="195"/>
      <c r="AK11" s="195"/>
      <c r="AM11" s="181"/>
      <c r="AN11" s="181"/>
      <c r="AO11" s="181"/>
      <c r="AP11" s="181"/>
      <c r="AQ11" s="181"/>
      <c r="BA11" s="165"/>
      <c r="BB11" s="165"/>
      <c r="BC11" s="165"/>
      <c r="BD11" s="165"/>
      <c r="BE11" s="165"/>
      <c r="BF11" s="165"/>
      <c r="BG11" s="165"/>
      <c r="BH11" s="165"/>
      <c r="BI11" s="165"/>
      <c r="BJ11" s="165"/>
      <c r="BK11" s="165"/>
      <c r="BL11" s="165"/>
      <c r="CJ11" s="165"/>
      <c r="CK11" s="165"/>
      <c r="CL11" s="165"/>
      <c r="CM11" s="165"/>
      <c r="CN11" s="165"/>
      <c r="CO11" s="165"/>
      <c r="CP11" s="165"/>
      <c r="CQ11" s="165"/>
      <c r="CR11" s="165"/>
      <c r="CS11" s="165"/>
      <c r="CT11" s="165"/>
      <c r="CU11" s="165"/>
      <c r="CV11" s="165"/>
      <c r="CW11" s="165"/>
      <c r="CX11" s="165"/>
      <c r="CY11" s="165"/>
      <c r="CZ11" s="165"/>
      <c r="DA11" s="165"/>
    </row>
    <row r="12" spans="1:105" s="168" customFormat="1" ht="32.450000000000003">
      <c r="A12" s="195"/>
      <c r="B12" s="195"/>
      <c r="C12" s="195"/>
      <c r="D12" s="195"/>
      <c r="E12" s="195"/>
      <c r="F12" s="195"/>
      <c r="G12" s="195"/>
      <c r="H12" s="195"/>
      <c r="I12" s="195"/>
      <c r="J12" s="195"/>
      <c r="K12" s="195"/>
      <c r="L12" s="195"/>
      <c r="M12" s="195"/>
      <c r="N12" s="195"/>
      <c r="O12" s="195"/>
      <c r="P12" s="195"/>
      <c r="Q12" s="195"/>
      <c r="R12" s="195"/>
      <c r="S12" s="195"/>
      <c r="T12" s="195"/>
      <c r="U12" s="195"/>
      <c r="V12" s="195"/>
      <c r="W12" s="195"/>
      <c r="X12" s="195"/>
      <c r="Y12" s="195"/>
      <c r="Z12" s="195"/>
      <c r="AA12" s="195"/>
      <c r="AB12" s="195"/>
      <c r="AC12" s="195"/>
      <c r="AD12" s="195"/>
      <c r="AE12" s="195"/>
      <c r="AF12" s="195"/>
      <c r="AG12" s="195"/>
      <c r="AH12" s="195"/>
      <c r="AI12" s="195"/>
      <c r="AJ12" s="195"/>
      <c r="AK12" s="195"/>
      <c r="AM12" s="181"/>
      <c r="AN12" s="181"/>
      <c r="AO12" s="181"/>
      <c r="AP12" s="181"/>
      <c r="AQ12" s="181"/>
      <c r="BA12" s="165"/>
      <c r="BB12" s="165"/>
      <c r="BC12" s="165"/>
      <c r="BD12" s="165"/>
      <c r="BE12" s="165"/>
      <c r="BF12" s="165"/>
      <c r="BG12" s="165"/>
      <c r="BH12" s="165"/>
      <c r="BI12" s="165"/>
      <c r="BJ12" s="165"/>
      <c r="BK12" s="165"/>
      <c r="BL12" s="165"/>
      <c r="CJ12" s="165"/>
      <c r="CK12" s="165"/>
      <c r="CL12" s="165"/>
      <c r="CM12" s="165"/>
      <c r="CN12" s="165"/>
      <c r="CO12" s="165"/>
      <c r="CP12" s="165"/>
      <c r="CQ12" s="165"/>
      <c r="CR12" s="165"/>
      <c r="CS12" s="165"/>
      <c r="CT12" s="165"/>
      <c r="CU12" s="165"/>
      <c r="CV12" s="165"/>
      <c r="CW12" s="165"/>
      <c r="CX12" s="165"/>
      <c r="CY12" s="165"/>
      <c r="CZ12" s="165"/>
      <c r="DA12" s="165"/>
    </row>
    <row r="13" spans="1:105" s="168" customFormat="1" ht="32.450000000000003">
      <c r="A13" s="195"/>
      <c r="B13" s="195"/>
      <c r="C13" s="195"/>
      <c r="D13" s="195"/>
      <c r="E13" s="195"/>
      <c r="F13" s="195"/>
      <c r="G13" s="195"/>
      <c r="H13" s="195"/>
      <c r="I13" s="195"/>
      <c r="J13" s="195"/>
      <c r="K13" s="195"/>
      <c r="L13" s="195"/>
      <c r="M13" s="195"/>
      <c r="N13" s="195"/>
      <c r="O13" s="195"/>
      <c r="P13" s="195"/>
      <c r="Q13" s="195"/>
      <c r="R13" s="195"/>
      <c r="S13" s="195"/>
      <c r="T13" s="195"/>
      <c r="U13" s="195"/>
      <c r="V13" s="195"/>
      <c r="W13" s="195"/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  <c r="AM13" s="181"/>
      <c r="AN13" s="181"/>
      <c r="AO13" s="181"/>
      <c r="AP13" s="181"/>
      <c r="AQ13" s="181"/>
      <c r="BA13" s="165"/>
      <c r="BB13" s="165"/>
      <c r="BC13" s="165"/>
      <c r="BD13" s="165"/>
      <c r="BE13" s="165"/>
      <c r="BF13" s="165"/>
      <c r="BG13" s="165"/>
      <c r="BH13" s="165"/>
      <c r="BI13" s="165"/>
      <c r="BJ13" s="165"/>
      <c r="BK13" s="165"/>
      <c r="BL13" s="165"/>
    </row>
    <row r="14" spans="1:105" ht="35.1" customHeight="1">
      <c r="A14" s="194"/>
      <c r="B14" s="194"/>
      <c r="C14" s="194"/>
      <c r="D14" s="194"/>
      <c r="E14" s="194"/>
      <c r="F14" s="194"/>
      <c r="G14" s="194"/>
      <c r="H14" s="194"/>
      <c r="I14" s="194"/>
      <c r="J14" s="194"/>
      <c r="K14" s="194"/>
      <c r="L14" s="194"/>
      <c r="M14" s="194"/>
      <c r="N14" s="194"/>
      <c r="O14" s="194"/>
      <c r="P14" s="194"/>
      <c r="Q14" s="194"/>
      <c r="R14" s="194"/>
      <c r="S14" s="194"/>
      <c r="T14" s="194"/>
      <c r="U14" s="194"/>
      <c r="V14" s="194"/>
      <c r="W14" s="194"/>
      <c r="X14" s="194"/>
      <c r="Y14" s="194"/>
      <c r="Z14" s="194"/>
      <c r="AA14" s="194"/>
      <c r="AB14" s="194"/>
      <c r="AC14" s="194"/>
      <c r="AD14" s="194"/>
      <c r="AE14" s="194"/>
      <c r="AF14" s="194"/>
      <c r="AG14" s="194"/>
      <c r="AH14" s="194"/>
      <c r="AI14" s="194"/>
      <c r="AJ14" s="194"/>
      <c r="AK14" s="194"/>
      <c r="AM14" s="176"/>
      <c r="AN14" s="176"/>
      <c r="AO14" s="176"/>
      <c r="AP14" s="176"/>
      <c r="AQ14" s="176"/>
      <c r="BA14" s="162"/>
      <c r="BB14" s="162"/>
      <c r="BC14" s="162"/>
      <c r="BD14" s="162"/>
      <c r="BE14" s="162"/>
      <c r="BF14" s="162"/>
      <c r="BG14" s="162"/>
      <c r="BH14" s="162"/>
      <c r="BI14" s="162"/>
      <c r="BJ14" s="162"/>
      <c r="BK14" s="162"/>
      <c r="BL14" s="162"/>
      <c r="CJ14" s="394" t="s">
        <v>0</v>
      </c>
      <c r="CK14" s="395"/>
      <c r="CL14" s="395"/>
      <c r="CM14" s="395"/>
      <c r="CN14" s="395"/>
      <c r="CO14" s="395"/>
      <c r="CP14" s="395"/>
      <c r="CQ14" s="395"/>
      <c r="CR14" s="395"/>
      <c r="CS14" s="395"/>
      <c r="CT14" s="395"/>
      <c r="CU14" s="395"/>
      <c r="CV14" s="395"/>
      <c r="CW14" s="395"/>
      <c r="CX14" s="395"/>
      <c r="CY14" s="395"/>
      <c r="CZ14" s="395"/>
      <c r="DA14" s="395"/>
    </row>
    <row r="15" spans="1:105" ht="56.1">
      <c r="A15" s="120"/>
      <c r="B15" s="120"/>
      <c r="C15" s="120"/>
      <c r="D15" s="120"/>
      <c r="E15" s="120"/>
      <c r="F15" s="120"/>
      <c r="G15" s="120"/>
      <c r="H15" s="120"/>
      <c r="I15" s="120"/>
      <c r="J15" s="120"/>
      <c r="K15" s="120"/>
      <c r="L15" s="120"/>
      <c r="M15" s="120"/>
      <c r="N15" s="120"/>
      <c r="O15" s="120"/>
      <c r="P15" s="120"/>
      <c r="Q15" s="120"/>
      <c r="R15" s="120"/>
      <c r="S15" s="120"/>
      <c r="T15" s="120"/>
      <c r="U15" s="120"/>
      <c r="V15" s="120"/>
      <c r="W15" s="120"/>
      <c r="X15" s="120"/>
      <c r="Y15" s="120"/>
      <c r="Z15" s="120"/>
      <c r="AA15" s="120"/>
      <c r="AB15" s="120"/>
      <c r="AC15" s="120"/>
      <c r="AD15" s="120"/>
      <c r="AE15" s="120"/>
      <c r="AF15" s="120"/>
      <c r="AG15" s="120"/>
      <c r="AH15" s="120"/>
      <c r="AI15" s="120"/>
      <c r="AJ15" s="120"/>
      <c r="AK15" s="120"/>
      <c r="AM15" s="13"/>
      <c r="AN15" s="13"/>
      <c r="AO15" s="13"/>
      <c r="AP15" s="13"/>
      <c r="AQ15" s="13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CJ15" s="356" t="s">
        <v>1</v>
      </c>
      <c r="CK15" s="356"/>
      <c r="CL15" s="356" t="s">
        <v>2</v>
      </c>
      <c r="CM15" s="356"/>
      <c r="CN15" s="356" t="s">
        <v>3</v>
      </c>
      <c r="CO15" s="356"/>
      <c r="CP15" s="356" t="s">
        <v>4</v>
      </c>
      <c r="CQ15" s="356"/>
      <c r="CR15" s="356" t="s">
        <v>5</v>
      </c>
      <c r="CS15" s="356"/>
      <c r="CT15" s="356" t="s">
        <v>6</v>
      </c>
      <c r="CU15" s="356"/>
      <c r="CV15" s="356" t="s">
        <v>7</v>
      </c>
      <c r="CW15" s="356"/>
      <c r="CX15" s="356" t="s">
        <v>8</v>
      </c>
      <c r="CY15" s="356"/>
      <c r="CZ15" s="356" t="s">
        <v>9</v>
      </c>
      <c r="DA15" s="356"/>
    </row>
    <row r="16" spans="1:105" ht="97.5">
      <c r="A16" s="120" t="s">
        <v>10</v>
      </c>
      <c r="B16" s="120" t="s">
        <v>11</v>
      </c>
      <c r="C16" s="120" t="s">
        <v>12</v>
      </c>
      <c r="D16" s="120" t="s">
        <v>13</v>
      </c>
      <c r="E16" s="120" t="s">
        <v>14</v>
      </c>
      <c r="F16" s="120" t="s">
        <v>15</v>
      </c>
      <c r="G16" s="120" t="s">
        <v>16</v>
      </c>
      <c r="H16" s="120" t="s">
        <v>17</v>
      </c>
      <c r="I16" s="120" t="s">
        <v>18</v>
      </c>
      <c r="J16" s="120" t="s">
        <v>19</v>
      </c>
      <c r="K16" s="120" t="s">
        <v>20</v>
      </c>
      <c r="L16" s="120" t="s">
        <v>1040</v>
      </c>
      <c r="M16" s="120" t="s">
        <v>1041</v>
      </c>
      <c r="N16" s="120" t="s">
        <v>1042</v>
      </c>
      <c r="O16" s="120" t="s">
        <v>493</v>
      </c>
      <c r="P16" s="120" t="s">
        <v>1043</v>
      </c>
      <c r="Q16" s="120" t="s">
        <v>1044</v>
      </c>
      <c r="R16" s="120" t="s">
        <v>1045</v>
      </c>
      <c r="S16" s="120" t="s">
        <v>387</v>
      </c>
      <c r="T16" s="120" t="s">
        <v>41</v>
      </c>
      <c r="U16" s="120" t="s">
        <v>23</v>
      </c>
      <c r="V16" s="120" t="s">
        <v>24</v>
      </c>
      <c r="W16" s="120" t="s">
        <v>669</v>
      </c>
      <c r="X16" s="120" t="s">
        <v>1046</v>
      </c>
      <c r="Y16" s="120" t="s">
        <v>27</v>
      </c>
      <c r="Z16" s="120" t="s">
        <v>28</v>
      </c>
      <c r="AA16" s="120" t="s">
        <v>30</v>
      </c>
      <c r="AB16" s="120" t="s">
        <v>1047</v>
      </c>
      <c r="AC16" s="120" t="s">
        <v>31</v>
      </c>
      <c r="AD16" s="120" t="s">
        <v>32</v>
      </c>
      <c r="AE16" s="120" t="s">
        <v>33</v>
      </c>
      <c r="AF16" s="120" t="s">
        <v>34</v>
      </c>
      <c r="AG16" s="120" t="s">
        <v>35</v>
      </c>
      <c r="AH16" s="120" t="s">
        <v>36</v>
      </c>
      <c r="AI16" s="120" t="s">
        <v>1048</v>
      </c>
      <c r="AJ16" s="120" t="s">
        <v>1049</v>
      </c>
      <c r="AK16" s="120" t="s">
        <v>38</v>
      </c>
      <c r="AM16" s="13" t="s">
        <v>30</v>
      </c>
      <c r="AN16" s="13" t="s">
        <v>31</v>
      </c>
      <c r="AO16" s="13" t="s">
        <v>32</v>
      </c>
      <c r="AP16" s="13" t="s">
        <v>33</v>
      </c>
      <c r="AQ16" s="13" t="s">
        <v>272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1" t="s">
        <v>38</v>
      </c>
      <c r="BS16" s="1" t="s">
        <v>39</v>
      </c>
      <c r="BT16" s="1" t="s">
        <v>53</v>
      </c>
      <c r="CJ16" s="357" t="s">
        <v>54</v>
      </c>
      <c r="CK16" s="357" t="s">
        <v>55</v>
      </c>
      <c r="CL16" s="357" t="s">
        <v>54</v>
      </c>
      <c r="CM16" s="357" t="s">
        <v>55</v>
      </c>
      <c r="CN16" s="357" t="s">
        <v>54</v>
      </c>
      <c r="CO16" s="357" t="s">
        <v>55</v>
      </c>
      <c r="CP16" s="357" t="s">
        <v>54</v>
      </c>
      <c r="CQ16" s="357" t="s">
        <v>55</v>
      </c>
      <c r="CR16" s="357" t="s">
        <v>54</v>
      </c>
      <c r="CS16" s="357" t="s">
        <v>55</v>
      </c>
      <c r="CT16" s="357" t="s">
        <v>54</v>
      </c>
      <c r="CU16" s="357" t="s">
        <v>55</v>
      </c>
      <c r="CV16" s="357" t="s">
        <v>54</v>
      </c>
      <c r="CW16" s="357" t="s">
        <v>55</v>
      </c>
      <c r="CX16" s="357" t="s">
        <v>54</v>
      </c>
      <c r="CY16" s="357" t="s">
        <v>55</v>
      </c>
      <c r="CZ16" s="357" t="s">
        <v>54</v>
      </c>
      <c r="DA16" s="357" t="s">
        <v>55</v>
      </c>
    </row>
    <row r="17" spans="1:105" ht="65.099999999999994">
      <c r="A17" s="75">
        <v>46</v>
      </c>
      <c r="B17" s="121" t="s">
        <v>176</v>
      </c>
      <c r="C17" s="75" t="s">
        <v>176</v>
      </c>
      <c r="D17" s="75" t="s">
        <v>77</v>
      </c>
      <c r="E17" s="122">
        <v>7506110698098</v>
      </c>
      <c r="F17" s="91" t="s">
        <v>1349</v>
      </c>
      <c r="G17" s="81" t="s">
        <v>1350</v>
      </c>
      <c r="H17" s="131" t="s">
        <v>60</v>
      </c>
      <c r="I17" s="81"/>
      <c r="J17" s="75" t="s">
        <v>1052</v>
      </c>
      <c r="K17" s="81" t="s">
        <v>1053</v>
      </c>
      <c r="L17" s="113">
        <v>2</v>
      </c>
      <c r="M17" s="125">
        <f>+N17*0.8</f>
        <v>0.51200000000000001</v>
      </c>
      <c r="N17" s="125">
        <v>0.64</v>
      </c>
      <c r="O17" s="125">
        <v>0</v>
      </c>
      <c r="P17" s="125">
        <v>0</v>
      </c>
      <c r="Q17" s="126"/>
      <c r="R17" s="126">
        <v>0</v>
      </c>
      <c r="S17" s="126">
        <f>21.896/18.5/1.1/1.2</f>
        <v>0.89664209664209671</v>
      </c>
      <c r="T17" s="127"/>
      <c r="U17" s="29" t="s">
        <v>81</v>
      </c>
      <c r="V17" s="128">
        <v>5000</v>
      </c>
      <c r="W17" s="24" t="e">
        <f ca="1">+T17*$X$17</f>
        <v>#VALUE!</v>
      </c>
      <c r="X17" s="24" t="e">
        <f ca="1">+W17*0.36</f>
        <v>#VALUE!</v>
      </c>
      <c r="Y17" s="24" t="s">
        <v>941</v>
      </c>
      <c r="Z17" s="24">
        <v>24.9</v>
      </c>
      <c r="AA17" s="88">
        <v>159</v>
      </c>
      <c r="AB17" s="24">
        <f>(AA17/1.16)</f>
        <v>137.06896551724139</v>
      </c>
      <c r="AC17" s="24">
        <f>(AA17/1.16)*0.6</f>
        <v>82.24137931034484</v>
      </c>
      <c r="AD17" s="27">
        <f>Z17/AC17</f>
        <v>0.30276729559748422</v>
      </c>
      <c r="AE17" s="27">
        <f>1-(Z17/AC17)</f>
        <v>0.69723270440251572</v>
      </c>
      <c r="AF17" s="28">
        <f>1-(AC17/(AA17/1.16))</f>
        <v>0.4</v>
      </c>
      <c r="AG17" s="81" t="s">
        <v>1138</v>
      </c>
      <c r="AH17" s="128" t="s">
        <v>99</v>
      </c>
      <c r="AI17" s="29">
        <v>6</v>
      </c>
      <c r="AJ17" s="29">
        <f>+AI17*24</f>
        <v>144</v>
      </c>
      <c r="AK17" s="91"/>
      <c r="AM17" s="125">
        <v>59.9</v>
      </c>
      <c r="AN17" s="125">
        <f>AM17/1.16</f>
        <v>51.637931034482762</v>
      </c>
      <c r="AO17" s="142" t="e">
        <f ca="1">X17/AN17</f>
        <v>#VALUE!</v>
      </c>
      <c r="AP17" s="143" t="e">
        <f ca="1">1-(X17/AN17)</f>
        <v>#VALUE!</v>
      </c>
      <c r="AQ17" s="33">
        <f>1-(AN17/(AM17/1.16))</f>
        <v>0</v>
      </c>
      <c r="BA17" s="3">
        <v>1</v>
      </c>
      <c r="BB17" s="3">
        <v>1</v>
      </c>
      <c r="BC17" s="3">
        <v>1</v>
      </c>
      <c r="BD17" s="3">
        <v>1</v>
      </c>
      <c r="BE17" s="3"/>
      <c r="BF17" s="3">
        <v>1</v>
      </c>
      <c r="BG17" s="3"/>
      <c r="BH17" s="3"/>
      <c r="BI17" s="3"/>
      <c r="BJ17" s="3">
        <v>9</v>
      </c>
      <c r="BK17" s="3">
        <f>SUM(BA17:BI17)</f>
        <v>5</v>
      </c>
      <c r="BL17" s="4">
        <f>+BK17/BJ17</f>
        <v>0.55555555555555558</v>
      </c>
      <c r="BR17" s="282"/>
      <c r="BS17" s="284"/>
      <c r="BT17" s="282"/>
      <c r="CJ17" s="358">
        <v>45809</v>
      </c>
      <c r="CK17" s="358">
        <v>45809</v>
      </c>
      <c r="CL17" s="278"/>
      <c r="CM17" s="278"/>
      <c r="CN17" s="278"/>
      <c r="CO17" s="278"/>
      <c r="CP17" s="268"/>
      <c r="CQ17" s="268"/>
      <c r="CR17" s="267"/>
      <c r="CS17" s="267"/>
      <c r="CT17" s="267"/>
      <c r="CU17" s="267"/>
      <c r="CV17" s="267"/>
      <c r="CW17" s="267"/>
      <c r="CX17" s="267"/>
      <c r="CY17" s="267"/>
      <c r="CZ17" s="267"/>
      <c r="DA17" s="267"/>
    </row>
    <row r="18" spans="1:105" ht="65.099999999999994">
      <c r="A18" s="75">
        <v>47</v>
      </c>
      <c r="B18" s="121" t="s">
        <v>176</v>
      </c>
      <c r="C18" s="75" t="s">
        <v>176</v>
      </c>
      <c r="D18" s="75" t="s">
        <v>77</v>
      </c>
      <c r="E18" s="122">
        <v>7506110698104</v>
      </c>
      <c r="F18" s="91" t="s">
        <v>1351</v>
      </c>
      <c r="G18" s="81" t="s">
        <v>1352</v>
      </c>
      <c r="H18" s="131" t="s">
        <v>60</v>
      </c>
      <c r="I18" s="81"/>
      <c r="J18" s="75" t="s">
        <v>1052</v>
      </c>
      <c r="K18" s="81" t="s">
        <v>1053</v>
      </c>
      <c r="L18" s="113">
        <v>2</v>
      </c>
      <c r="M18" s="125">
        <f>+N18*0.8</f>
        <v>0.51200000000000001</v>
      </c>
      <c r="N18" s="125">
        <v>0.64</v>
      </c>
      <c r="O18" s="125">
        <v>0</v>
      </c>
      <c r="P18" s="125">
        <v>0</v>
      </c>
      <c r="Q18" s="126"/>
      <c r="R18" s="126">
        <v>0</v>
      </c>
      <c r="S18" s="126">
        <f>22.6/18.5/1.1/1.2</f>
        <v>0.92547092547092558</v>
      </c>
      <c r="T18" s="127"/>
      <c r="U18" s="29" t="s">
        <v>81</v>
      </c>
      <c r="V18" s="128">
        <v>5000</v>
      </c>
      <c r="W18" s="24" t="e">
        <f ca="1">+T18*$X$17</f>
        <v>#VALUE!</v>
      </c>
      <c r="X18" s="24" t="e">
        <f ca="1">+W18*0.36</f>
        <v>#VALUE!</v>
      </c>
      <c r="Y18" s="24" t="s">
        <v>941</v>
      </c>
      <c r="Z18" s="24">
        <v>25.6</v>
      </c>
      <c r="AA18" s="88">
        <v>159</v>
      </c>
      <c r="AB18" s="24">
        <f>(AA18/1.16)</f>
        <v>137.06896551724139</v>
      </c>
      <c r="AC18" s="24">
        <f>(AA18/1.16)*0.6</f>
        <v>82.24137931034484</v>
      </c>
      <c r="AD18" s="27">
        <f>Z18/AC18</f>
        <v>0.31127882599580708</v>
      </c>
      <c r="AE18" s="27">
        <f>1-(Z18/AC18)</f>
        <v>0.68872117400419297</v>
      </c>
      <c r="AF18" s="28">
        <f>1-(AC18/(AA18/1.16))</f>
        <v>0.4</v>
      </c>
      <c r="AG18" s="81" t="s">
        <v>1138</v>
      </c>
      <c r="AH18" s="128" t="s">
        <v>99</v>
      </c>
      <c r="AI18" s="29">
        <v>6</v>
      </c>
      <c r="AJ18" s="29">
        <f>+AI18*24</f>
        <v>144</v>
      </c>
      <c r="AK18" s="91"/>
      <c r="AM18" s="129" t="e">
        <f>Y18*0.65</f>
        <v>#VALUE!</v>
      </c>
      <c r="AN18" s="129" t="e">
        <f>AM18/1.16</f>
        <v>#VALUE!</v>
      </c>
      <c r="AO18" s="130" t="e">
        <f ca="1">X18/AN18</f>
        <v>#VALUE!</v>
      </c>
      <c r="AP18" s="130" t="e">
        <f ca="1">1-(X18/AN18)</f>
        <v>#VALUE!</v>
      </c>
      <c r="AQ18" s="33" t="e">
        <f>1-(AN18/(AM18/1.16))</f>
        <v>#VALUE!</v>
      </c>
      <c r="BA18" s="3">
        <v>1</v>
      </c>
      <c r="BB18" s="3">
        <v>1</v>
      </c>
      <c r="BC18" s="3">
        <v>1</v>
      </c>
      <c r="BD18" s="3">
        <v>1</v>
      </c>
      <c r="BE18" s="3"/>
      <c r="BF18" s="3">
        <v>1</v>
      </c>
      <c r="BG18" s="3"/>
      <c r="BH18" s="3"/>
      <c r="BI18" s="3"/>
      <c r="BJ18" s="3">
        <v>9</v>
      </c>
      <c r="BK18" s="3">
        <f>SUM(BA18:BI18)</f>
        <v>5</v>
      </c>
      <c r="BL18" s="4">
        <f>+BK18/BJ18</f>
        <v>0.55555555555555558</v>
      </c>
      <c r="CJ18" s="278"/>
      <c r="CK18" s="278"/>
      <c r="CL18" s="278"/>
      <c r="CM18" s="278"/>
      <c r="CN18" s="278"/>
      <c r="CO18" s="278"/>
      <c r="CP18" s="268"/>
      <c r="CQ18" s="268"/>
      <c r="CR18" s="267"/>
      <c r="CS18" s="267"/>
      <c r="CT18" s="267"/>
      <c r="CU18" s="267"/>
      <c r="CV18" s="267"/>
      <c r="CW18" s="267"/>
      <c r="CX18" s="267"/>
      <c r="CY18" s="267"/>
      <c r="CZ18" s="267"/>
      <c r="DA18" s="267"/>
    </row>
    <row r="19" spans="1:105" ht="65.099999999999994">
      <c r="A19" s="144">
        <v>60</v>
      </c>
      <c r="B19" s="121" t="s">
        <v>176</v>
      </c>
      <c r="C19" s="75" t="s">
        <v>176</v>
      </c>
      <c r="D19" s="75" t="s">
        <v>77</v>
      </c>
      <c r="E19" s="122">
        <v>7506110698234</v>
      </c>
      <c r="F19" s="91" t="s">
        <v>1353</v>
      </c>
      <c r="G19" s="81" t="s">
        <v>1354</v>
      </c>
      <c r="H19" s="131" t="s">
        <v>60</v>
      </c>
      <c r="I19" s="81"/>
      <c r="J19" s="75" t="s">
        <v>1052</v>
      </c>
      <c r="K19" s="81" t="s">
        <v>1053</v>
      </c>
      <c r="L19" s="145">
        <v>2</v>
      </c>
      <c r="M19" s="125">
        <f>+N19*0.8</f>
        <v>7.1999999999999995E-2</v>
      </c>
      <c r="N19" s="125">
        <v>0.09</v>
      </c>
      <c r="O19" s="126">
        <f>1.34/24</f>
        <v>5.5833333333333339E-2</v>
      </c>
      <c r="P19" s="125">
        <v>0</v>
      </c>
      <c r="Q19" s="126">
        <v>0</v>
      </c>
      <c r="R19" s="126">
        <v>0</v>
      </c>
      <c r="S19" s="126" t="s">
        <v>69</v>
      </c>
      <c r="T19" s="127">
        <f>+O19</f>
        <v>5.5833333333333339E-2</v>
      </c>
      <c r="U19" s="29" t="s">
        <v>64</v>
      </c>
      <c r="V19" s="128">
        <v>30000</v>
      </c>
      <c r="W19" s="24" t="e">
        <f ca="1">+T19*$X$17</f>
        <v>#VALUE!</v>
      </c>
      <c r="X19" s="24" t="e">
        <f ca="1">+W19*0.25</f>
        <v>#VALUE!</v>
      </c>
      <c r="Y19" s="24">
        <v>0.1</v>
      </c>
      <c r="Z19" s="24" t="e">
        <f ca="1">+W19+X19+Y19</f>
        <v>#VALUE!</v>
      </c>
      <c r="AA19" s="88">
        <v>9.9</v>
      </c>
      <c r="AB19" s="24">
        <f>(AA19/1.16)</f>
        <v>8.5344827586206904</v>
      </c>
      <c r="AC19" s="24">
        <f>(AA19/1.16)*0.6</f>
        <v>5.1206896551724137</v>
      </c>
      <c r="AD19" s="27" t="e">
        <f ca="1">Z19/AC19</f>
        <v>#VALUE!</v>
      </c>
      <c r="AE19" s="27" t="e">
        <f ca="1">1-(Z19/AC19)</f>
        <v>#VALUE!</v>
      </c>
      <c r="AF19" s="28">
        <f>1-(AC19/(AA19/1.16))</f>
        <v>0.4</v>
      </c>
      <c r="AG19" s="81" t="s">
        <v>1138</v>
      </c>
      <c r="AH19" s="128" t="s">
        <v>67</v>
      </c>
      <c r="AI19" s="29">
        <v>24</v>
      </c>
      <c r="AJ19" s="29">
        <f>+AI19*40</f>
        <v>960</v>
      </c>
      <c r="AK19" s="91"/>
      <c r="AM19" s="129">
        <f>Y19*0.65</f>
        <v>6.5000000000000002E-2</v>
      </c>
      <c r="AN19" s="129">
        <f>AM19/1.16</f>
        <v>5.6034482758620698E-2</v>
      </c>
      <c r="AO19" s="130" t="e">
        <f ca="1">X19/AN19</f>
        <v>#VALUE!</v>
      </c>
      <c r="AP19" s="130" t="e">
        <f ca="1">1-(X19/AN19)</f>
        <v>#VALUE!</v>
      </c>
      <c r="AQ19" s="33">
        <f>1-(AN19/(AM19/1.16))</f>
        <v>0</v>
      </c>
      <c r="BA19" s="3">
        <v>1</v>
      </c>
      <c r="BB19" s="3">
        <v>1</v>
      </c>
      <c r="BC19" s="3">
        <v>1</v>
      </c>
      <c r="BD19" s="3">
        <v>1</v>
      </c>
      <c r="BE19" s="3"/>
      <c r="BF19" s="3">
        <v>1</v>
      </c>
      <c r="BG19" s="3"/>
      <c r="BH19" s="3"/>
      <c r="BI19" s="3"/>
      <c r="BJ19" s="3">
        <v>9</v>
      </c>
      <c r="BK19" s="3">
        <f>SUM(BA19:BI19)</f>
        <v>5</v>
      </c>
      <c r="BL19" s="4">
        <f>+BK19/BJ19</f>
        <v>0.55555555555555558</v>
      </c>
      <c r="CJ19" s="278"/>
      <c r="CK19" s="278"/>
      <c r="CL19" s="278"/>
      <c r="CM19" s="278"/>
      <c r="CN19" s="278"/>
      <c r="CO19" s="278"/>
      <c r="CP19" s="268"/>
      <c r="CQ19" s="268"/>
      <c r="CR19" s="267"/>
      <c r="CS19" s="267"/>
      <c r="CT19" s="267"/>
      <c r="CU19" s="267"/>
      <c r="CV19" s="267"/>
      <c r="CW19" s="267"/>
      <c r="CX19" s="267"/>
      <c r="CY19" s="267"/>
      <c r="CZ19" s="267"/>
      <c r="DA19" s="267"/>
    </row>
    <row r="20" spans="1:105" ht="65.099999999999994">
      <c r="A20" s="75">
        <v>63</v>
      </c>
      <c r="B20" s="121" t="s">
        <v>176</v>
      </c>
      <c r="C20" s="75" t="s">
        <v>176</v>
      </c>
      <c r="D20" s="75" t="s">
        <v>77</v>
      </c>
      <c r="E20" s="122">
        <v>7506110698265</v>
      </c>
      <c r="F20" s="91" t="s">
        <v>1355</v>
      </c>
      <c r="G20" s="81" t="s">
        <v>1356</v>
      </c>
      <c r="H20" s="131" t="s">
        <v>60</v>
      </c>
      <c r="I20" s="81"/>
      <c r="J20" s="75" t="s">
        <v>1052</v>
      </c>
      <c r="K20" s="81" t="s">
        <v>1053</v>
      </c>
      <c r="L20" s="145">
        <v>2</v>
      </c>
      <c r="M20" s="125">
        <f>+N20*0.8</f>
        <v>0.35200000000000004</v>
      </c>
      <c r="N20" s="125">
        <v>0.44</v>
      </c>
      <c r="O20" s="126">
        <v>0.55000000000000004</v>
      </c>
      <c r="P20" s="125">
        <v>0.54</v>
      </c>
      <c r="Q20" s="126">
        <v>0</v>
      </c>
      <c r="R20" s="126">
        <v>0</v>
      </c>
      <c r="S20" s="126" t="s">
        <v>69</v>
      </c>
      <c r="T20" s="141">
        <v>0.7</v>
      </c>
      <c r="U20" s="29" t="s">
        <v>64</v>
      </c>
      <c r="V20" s="128">
        <v>5000</v>
      </c>
      <c r="W20" s="24" t="e">
        <f ca="1">+T20*$X$17</f>
        <v>#VALUE!</v>
      </c>
      <c r="X20" s="24" t="e">
        <f ca="1">+W20*0.25</f>
        <v>#VALUE!</v>
      </c>
      <c r="Y20" s="24">
        <v>4.83</v>
      </c>
      <c r="Z20" s="24" t="e">
        <f ca="1">+W20+X20+Y20</f>
        <v>#VALUE!</v>
      </c>
      <c r="AA20" s="88">
        <v>139</v>
      </c>
      <c r="AB20" s="24">
        <f>(AA20/1.16)</f>
        <v>119.82758620689656</v>
      </c>
      <c r="AC20" s="24">
        <f>(AA20/1.16)*0.6</f>
        <v>71.896551724137936</v>
      </c>
      <c r="AD20" s="27" t="e">
        <f ca="1">Z20/AC20</f>
        <v>#VALUE!</v>
      </c>
      <c r="AE20" s="27" t="e">
        <f ca="1">1-(Z20/AC20)</f>
        <v>#VALUE!</v>
      </c>
      <c r="AF20" s="28">
        <f>1-(AC20/(AA20/1.16))</f>
        <v>0.4</v>
      </c>
      <c r="AG20" s="81" t="s">
        <v>1138</v>
      </c>
      <c r="AH20" s="128" t="s">
        <v>67</v>
      </c>
      <c r="AI20" s="29">
        <v>6</v>
      </c>
      <c r="AJ20" s="29">
        <f>+AI20*24</f>
        <v>144</v>
      </c>
      <c r="AK20" s="91"/>
      <c r="AM20" s="129">
        <f>Y20*0.65</f>
        <v>3.1395</v>
      </c>
      <c r="AN20" s="129">
        <f>AM20/1.16</f>
        <v>2.7064655172413796</v>
      </c>
      <c r="AO20" s="130" t="e">
        <f ca="1">X20/AN20</f>
        <v>#VALUE!</v>
      </c>
      <c r="AP20" s="130" t="e">
        <f ca="1">1-(X20/AN20)</f>
        <v>#VALUE!</v>
      </c>
      <c r="AQ20" s="33">
        <f>1-(AN20/(AM20/1.16))</f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>
        <v>1</v>
      </c>
      <c r="BG20" s="3"/>
      <c r="BH20" s="3"/>
      <c r="BI20" s="3"/>
      <c r="BJ20" s="3">
        <v>9</v>
      </c>
      <c r="BK20" s="3">
        <f>SUM(BA20:BI20)</f>
        <v>5</v>
      </c>
      <c r="BL20" s="4">
        <f>+BK20/BJ20</f>
        <v>0.55555555555555558</v>
      </c>
      <c r="CJ20" s="278"/>
      <c r="CK20" s="278"/>
      <c r="CL20" s="278"/>
      <c r="CM20" s="278"/>
      <c r="CN20" s="278"/>
      <c r="CO20" s="278"/>
      <c r="CP20" s="268"/>
      <c r="CQ20" s="268"/>
      <c r="CR20" s="267"/>
      <c r="CS20" s="267"/>
      <c r="CT20" s="267"/>
      <c r="CU20" s="267"/>
      <c r="CV20" s="267"/>
      <c r="CW20" s="267"/>
      <c r="CX20" s="267"/>
      <c r="CY20" s="267"/>
      <c r="CZ20" s="267"/>
      <c r="DA20" s="267"/>
    </row>
    <row r="21" spans="1:105" ht="65.099999999999994">
      <c r="A21" s="75">
        <v>64</v>
      </c>
      <c r="B21" s="121" t="s">
        <v>176</v>
      </c>
      <c r="C21" s="75" t="s">
        <v>176</v>
      </c>
      <c r="D21" s="75" t="s">
        <v>77</v>
      </c>
      <c r="E21" s="122">
        <v>7506110698272</v>
      </c>
      <c r="F21" s="91" t="s">
        <v>1357</v>
      </c>
      <c r="G21" s="81" t="s">
        <v>1358</v>
      </c>
      <c r="H21" s="131" t="s">
        <v>60</v>
      </c>
      <c r="I21" s="81"/>
      <c r="J21" s="75" t="s">
        <v>1052</v>
      </c>
      <c r="K21" s="81" t="s">
        <v>1053</v>
      </c>
      <c r="L21" s="145">
        <v>2</v>
      </c>
      <c r="M21" s="125">
        <f>+N21*0.8</f>
        <v>0.35200000000000004</v>
      </c>
      <c r="N21" s="125">
        <v>0.44</v>
      </c>
      <c r="O21" s="126">
        <v>0.55000000000000004</v>
      </c>
      <c r="P21" s="125">
        <v>0.54</v>
      </c>
      <c r="Q21" s="126">
        <v>0</v>
      </c>
      <c r="R21" s="126">
        <v>0</v>
      </c>
      <c r="S21" s="126" t="s">
        <v>69</v>
      </c>
      <c r="T21" s="141">
        <v>0.7</v>
      </c>
      <c r="U21" s="29" t="s">
        <v>64</v>
      </c>
      <c r="V21" s="128">
        <v>5000</v>
      </c>
      <c r="W21" s="24" t="e">
        <f ca="1">+T21*$X$17</f>
        <v>#VALUE!</v>
      </c>
      <c r="X21" s="24" t="e">
        <f ca="1">+W21*0.25</f>
        <v>#VALUE!</v>
      </c>
      <c r="Y21" s="24">
        <v>4.83</v>
      </c>
      <c r="Z21" s="24" t="e">
        <f ca="1">+W21+X21+Y21</f>
        <v>#VALUE!</v>
      </c>
      <c r="AA21" s="88">
        <v>139</v>
      </c>
      <c r="AB21" s="24">
        <f>(AA21/1.16)</f>
        <v>119.82758620689656</v>
      </c>
      <c r="AC21" s="24">
        <f>(AA21/1.16)*0.6</f>
        <v>71.896551724137936</v>
      </c>
      <c r="AD21" s="27" t="e">
        <f ca="1">Z21/AC21</f>
        <v>#VALUE!</v>
      </c>
      <c r="AE21" s="27" t="e">
        <f ca="1">1-(Z21/AC21)</f>
        <v>#VALUE!</v>
      </c>
      <c r="AF21" s="28">
        <f>1-(AC21/(AA21/1.16))</f>
        <v>0.4</v>
      </c>
      <c r="AG21" s="81" t="s">
        <v>1138</v>
      </c>
      <c r="AH21" s="128" t="s">
        <v>67</v>
      </c>
      <c r="AI21" s="29">
        <v>6</v>
      </c>
      <c r="AJ21" s="29">
        <f>+AI21*24</f>
        <v>144</v>
      </c>
      <c r="AK21" s="91"/>
      <c r="AM21" s="129">
        <f>Y21*0.65</f>
        <v>3.1395</v>
      </c>
      <c r="AN21" s="129">
        <f>AM21/1.16</f>
        <v>2.7064655172413796</v>
      </c>
      <c r="AO21" s="130" t="e">
        <f ca="1">X21/AN21</f>
        <v>#VALUE!</v>
      </c>
      <c r="AP21" s="130" t="e">
        <f ca="1">1-(X21/AN21)</f>
        <v>#VALUE!</v>
      </c>
      <c r="AQ21" s="33">
        <f>1-(AN21/(AM21/1.16))</f>
        <v>0</v>
      </c>
      <c r="BA21" s="3">
        <v>1</v>
      </c>
      <c r="BB21" s="3">
        <v>1</v>
      </c>
      <c r="BC21" s="3">
        <v>1</v>
      </c>
      <c r="BD21" s="3">
        <v>1</v>
      </c>
      <c r="BE21" s="3"/>
      <c r="BF21" s="3">
        <v>1</v>
      </c>
      <c r="BG21" s="3"/>
      <c r="BH21" s="3"/>
      <c r="BI21" s="3"/>
      <c r="BJ21" s="3">
        <v>9</v>
      </c>
      <c r="BK21" s="3">
        <f>SUM(BA21:BI21)</f>
        <v>5</v>
      </c>
      <c r="BL21" s="4">
        <f>+BK21/BJ21</f>
        <v>0.55555555555555558</v>
      </c>
      <c r="CJ21" s="278"/>
      <c r="CK21" s="278"/>
      <c r="CL21" s="278"/>
      <c r="CM21" s="278"/>
      <c r="CN21" s="278"/>
      <c r="CO21" s="278"/>
      <c r="CP21" s="268"/>
      <c r="CQ21" s="268"/>
      <c r="CR21" s="267"/>
      <c r="CS21" s="267"/>
      <c r="CT21" s="267"/>
      <c r="CU21" s="267"/>
      <c r="CV21" s="267"/>
      <c r="CW21" s="267"/>
      <c r="CX21" s="267"/>
      <c r="CY21" s="267"/>
      <c r="CZ21" s="267"/>
      <c r="DA21" s="267"/>
    </row>
    <row r="22" spans="1:105">
      <c r="CJ22" s="278"/>
      <c r="CK22" s="278"/>
      <c r="CL22" s="278"/>
      <c r="CM22" s="278"/>
      <c r="CN22" s="278"/>
      <c r="CO22" s="278"/>
      <c r="CP22" s="268"/>
      <c r="CQ22" s="268"/>
      <c r="CR22" s="267"/>
      <c r="CS22" s="267"/>
      <c r="CT22" s="267"/>
      <c r="CU22" s="267"/>
      <c r="CV22" s="267"/>
      <c r="CW22" s="267"/>
      <c r="CX22" s="267"/>
      <c r="CY22" s="267"/>
      <c r="CZ22" s="267"/>
      <c r="DA22" s="267"/>
    </row>
    <row r="23" spans="1:105">
      <c r="CJ23" s="278"/>
      <c r="CK23" s="278"/>
      <c r="CL23" s="278"/>
      <c r="CM23" s="278"/>
      <c r="CN23" s="278"/>
      <c r="CO23" s="278"/>
      <c r="CP23" s="268"/>
      <c r="CQ23" s="268"/>
      <c r="CR23" s="267"/>
      <c r="CS23" s="267"/>
      <c r="CT23" s="267"/>
      <c r="CU23" s="267"/>
      <c r="CV23" s="267"/>
      <c r="CW23" s="267"/>
      <c r="CX23" s="267"/>
      <c r="CY23" s="267"/>
      <c r="CZ23" s="267"/>
      <c r="DA23" s="267"/>
    </row>
    <row r="24" spans="1:105">
      <c r="CJ24" s="278"/>
      <c r="CK24" s="278"/>
      <c r="CL24" s="278"/>
      <c r="CM24" s="278"/>
      <c r="CN24" s="278"/>
      <c r="CO24" s="278"/>
      <c r="CP24" s="268"/>
      <c r="CQ24" s="268"/>
      <c r="CR24" s="267"/>
      <c r="CS24" s="267"/>
      <c r="CT24" s="267"/>
      <c r="CU24" s="267"/>
      <c r="CV24" s="267"/>
      <c r="CW24" s="267"/>
      <c r="CX24" s="267"/>
      <c r="CY24" s="267"/>
      <c r="CZ24" s="267"/>
      <c r="DA24" s="267"/>
    </row>
    <row r="25" spans="1:105">
      <c r="CJ25" s="278"/>
      <c r="CK25" s="278"/>
      <c r="CL25" s="278"/>
      <c r="CM25" s="278"/>
      <c r="CN25" s="278"/>
      <c r="CO25" s="278"/>
      <c r="CP25" s="268"/>
      <c r="CQ25" s="268"/>
      <c r="CR25" s="267"/>
      <c r="CS25" s="267"/>
      <c r="CT25" s="267"/>
      <c r="CU25" s="267"/>
      <c r="CV25" s="267"/>
      <c r="CW25" s="267"/>
      <c r="CX25" s="267"/>
      <c r="CY25" s="267"/>
      <c r="CZ25" s="267"/>
      <c r="DA25" s="267"/>
    </row>
    <row r="26" spans="1:105">
      <c r="CJ26" s="278"/>
      <c r="CK26" s="278"/>
      <c r="CL26" s="278"/>
      <c r="CM26" s="278"/>
      <c r="CN26" s="278"/>
      <c r="CO26" s="278"/>
      <c r="CP26" s="268"/>
      <c r="CQ26" s="268"/>
      <c r="CR26" s="267"/>
      <c r="CS26" s="267"/>
      <c r="CT26" s="267"/>
      <c r="CU26" s="267"/>
      <c r="CV26" s="267"/>
      <c r="CW26" s="267"/>
      <c r="CX26" s="267"/>
      <c r="CY26" s="267"/>
      <c r="CZ26" s="267"/>
      <c r="DA26" s="267"/>
    </row>
    <row r="27" spans="1:105">
      <c r="CJ27" s="278"/>
      <c r="CK27" s="278"/>
      <c r="CL27" s="278"/>
      <c r="CM27" s="278"/>
      <c r="CN27" s="278"/>
      <c r="CO27" s="278"/>
      <c r="CP27" s="268"/>
      <c r="CQ27" s="268"/>
      <c r="CR27" s="267"/>
      <c r="CS27" s="267"/>
      <c r="CT27" s="267"/>
      <c r="CU27" s="267"/>
      <c r="CV27" s="267"/>
      <c r="CW27" s="267"/>
      <c r="CX27" s="267"/>
      <c r="CY27" s="267"/>
      <c r="CZ27" s="267"/>
      <c r="DA27" s="267"/>
    </row>
    <row r="28" spans="1:105">
      <c r="CJ28" s="278"/>
      <c r="CK28" s="278"/>
      <c r="CL28" s="278"/>
      <c r="CM28" s="278"/>
      <c r="CN28" s="278"/>
      <c r="CO28" s="278"/>
      <c r="CP28" s="268"/>
      <c r="CQ28" s="268"/>
      <c r="CR28" s="267"/>
      <c r="CS28" s="267"/>
      <c r="CT28" s="267"/>
      <c r="CU28" s="267"/>
      <c r="CV28" s="267"/>
      <c r="CW28" s="267"/>
      <c r="CX28" s="267"/>
      <c r="CY28" s="267"/>
      <c r="CZ28" s="267"/>
      <c r="DA28" s="267"/>
    </row>
    <row r="29" spans="1:105">
      <c r="CJ29" s="278"/>
      <c r="CK29" s="278"/>
      <c r="CL29" s="278"/>
      <c r="CM29" s="278"/>
      <c r="CN29" s="278"/>
      <c r="CO29" s="278"/>
      <c r="CP29" s="268"/>
      <c r="CQ29" s="268"/>
      <c r="CR29" s="267"/>
      <c r="CS29" s="267"/>
      <c r="CT29" s="267"/>
      <c r="CU29" s="267"/>
      <c r="CV29" s="267"/>
      <c r="CW29" s="267"/>
      <c r="CX29" s="267"/>
      <c r="CY29" s="267"/>
      <c r="CZ29" s="267"/>
      <c r="DA29" s="267"/>
    </row>
    <row r="30" spans="1:105">
      <c r="CJ30" s="278"/>
      <c r="CK30" s="278"/>
      <c r="CL30" s="278"/>
      <c r="CM30" s="278"/>
      <c r="CN30" s="278"/>
      <c r="CO30" s="278"/>
      <c r="CP30" s="268"/>
      <c r="CQ30" s="268"/>
      <c r="CR30" s="267"/>
      <c r="CS30" s="267"/>
      <c r="CT30" s="267"/>
      <c r="CU30" s="267"/>
      <c r="CV30" s="267"/>
      <c r="CW30" s="267"/>
      <c r="CX30" s="267"/>
      <c r="CY30" s="267"/>
      <c r="CZ30" s="267"/>
      <c r="DA30" s="267"/>
    </row>
    <row r="31" spans="1:105">
      <c r="CJ31" s="278"/>
      <c r="CK31" s="278"/>
      <c r="CL31" s="278"/>
      <c r="CM31" s="278"/>
      <c r="CN31" s="278"/>
      <c r="CO31" s="278"/>
      <c r="CP31" s="268"/>
      <c r="CQ31" s="268"/>
      <c r="CR31" s="267"/>
      <c r="CS31" s="267"/>
      <c r="CT31" s="267"/>
      <c r="CU31" s="267"/>
      <c r="CV31" s="267"/>
      <c r="CW31" s="267"/>
      <c r="CX31" s="267"/>
      <c r="CY31" s="267"/>
      <c r="CZ31" s="267"/>
      <c r="DA31" s="267"/>
    </row>
    <row r="32" spans="1:105">
      <c r="CJ32" s="278"/>
      <c r="CK32" s="278"/>
      <c r="CL32" s="278"/>
      <c r="CM32" s="278"/>
      <c r="CN32" s="278"/>
      <c r="CO32" s="278"/>
      <c r="CP32" s="268"/>
      <c r="CQ32" s="268"/>
      <c r="CR32" s="267"/>
      <c r="CS32" s="267"/>
      <c r="CT32" s="267"/>
      <c r="CU32" s="267"/>
      <c r="CV32" s="267"/>
      <c r="CW32" s="267"/>
      <c r="CX32" s="267"/>
      <c r="CY32" s="267"/>
      <c r="CZ32" s="267"/>
      <c r="DA32" s="267"/>
    </row>
    <row r="33" spans="88:105">
      <c r="CJ33" s="278"/>
      <c r="CK33" s="278"/>
      <c r="CL33" s="278"/>
      <c r="CM33" s="278"/>
      <c r="CN33" s="278"/>
      <c r="CO33" s="278"/>
      <c r="CP33" s="268"/>
      <c r="CQ33" s="268"/>
      <c r="CR33" s="267"/>
      <c r="CS33" s="267"/>
      <c r="CT33" s="267"/>
      <c r="CU33" s="267"/>
      <c r="CV33" s="267"/>
      <c r="CW33" s="267"/>
      <c r="CX33" s="267"/>
      <c r="CY33" s="267"/>
      <c r="CZ33" s="267"/>
      <c r="DA33" s="267"/>
    </row>
    <row r="34" spans="88:105">
      <c r="CJ34" s="278"/>
      <c r="CK34" s="278"/>
      <c r="CL34" s="278"/>
      <c r="CM34" s="278"/>
      <c r="CN34" s="278"/>
      <c r="CO34" s="278"/>
      <c r="CP34" s="268"/>
      <c r="CQ34" s="268"/>
      <c r="CR34" s="267"/>
      <c r="CS34" s="267"/>
      <c r="CT34" s="267"/>
      <c r="CU34" s="267"/>
      <c r="CV34" s="267"/>
      <c r="CW34" s="267"/>
      <c r="CX34" s="267"/>
      <c r="CY34" s="267"/>
      <c r="CZ34" s="267"/>
      <c r="DA34" s="267"/>
    </row>
    <row r="35" spans="88:105">
      <c r="CJ35" s="278"/>
      <c r="CK35" s="278"/>
      <c r="CL35" s="278"/>
      <c r="CM35" s="278"/>
      <c r="CN35" s="278"/>
      <c r="CO35" s="278"/>
      <c r="CP35" s="268"/>
      <c r="CQ35" s="268"/>
      <c r="CR35" s="267"/>
      <c r="CS35" s="267"/>
      <c r="CT35" s="267"/>
      <c r="CU35" s="267"/>
      <c r="CV35" s="267"/>
      <c r="CW35" s="267"/>
      <c r="CX35" s="267"/>
      <c r="CY35" s="267"/>
      <c r="CZ35" s="267"/>
      <c r="DA35" s="267"/>
    </row>
    <row r="36" spans="88:105">
      <c r="CJ36" s="278"/>
      <c r="CK36" s="278"/>
      <c r="CL36" s="278"/>
      <c r="CM36" s="278"/>
      <c r="CN36" s="278"/>
      <c r="CO36" s="278"/>
      <c r="CP36" s="268"/>
      <c r="CQ36" s="268"/>
      <c r="CR36" s="267"/>
      <c r="CS36" s="267"/>
      <c r="CT36" s="267"/>
      <c r="CU36" s="267"/>
      <c r="CV36" s="267"/>
      <c r="CW36" s="267"/>
      <c r="CX36" s="267"/>
      <c r="CY36" s="267"/>
      <c r="CZ36" s="267"/>
      <c r="DA36" s="267"/>
    </row>
    <row r="37" spans="88:105">
      <c r="CJ37" s="278"/>
      <c r="CK37" s="278"/>
      <c r="CL37" s="278"/>
      <c r="CM37" s="278"/>
      <c r="CN37" s="278"/>
      <c r="CO37" s="278"/>
      <c r="CP37" s="268"/>
      <c r="CQ37" s="268"/>
      <c r="CR37" s="267"/>
      <c r="CS37" s="267"/>
      <c r="CT37" s="267"/>
      <c r="CU37" s="267"/>
      <c r="CV37" s="267"/>
      <c r="CW37" s="267"/>
      <c r="CX37" s="267"/>
      <c r="CY37" s="267"/>
      <c r="CZ37" s="267"/>
      <c r="DA37" s="267"/>
    </row>
    <row r="38" spans="88:105">
      <c r="CJ38" s="278"/>
      <c r="CK38" s="278"/>
      <c r="CL38" s="278"/>
      <c r="CM38" s="278"/>
      <c r="CN38" s="278"/>
      <c r="CO38" s="278"/>
      <c r="CP38" s="268"/>
      <c r="CQ38" s="268"/>
      <c r="CR38" s="267"/>
      <c r="CS38" s="267"/>
      <c r="CT38" s="267"/>
      <c r="CU38" s="267"/>
      <c r="CV38" s="267"/>
      <c r="CW38" s="267"/>
      <c r="CX38" s="267"/>
      <c r="CY38" s="267"/>
      <c r="CZ38" s="267"/>
      <c r="DA38" s="267"/>
    </row>
    <row r="39" spans="88:105">
      <c r="CJ39" s="278"/>
      <c r="CK39" s="278"/>
      <c r="CL39" s="278"/>
      <c r="CM39" s="278"/>
      <c r="CN39" s="278"/>
      <c r="CO39" s="278"/>
      <c r="CP39" s="268"/>
      <c r="CQ39" s="268"/>
      <c r="CR39" s="267"/>
      <c r="CS39" s="267"/>
      <c r="CT39" s="267"/>
      <c r="CU39" s="267"/>
      <c r="CV39" s="267"/>
      <c r="CW39" s="267"/>
      <c r="CX39" s="267"/>
      <c r="CY39" s="267"/>
      <c r="CZ39" s="267"/>
      <c r="DA39" s="267"/>
    </row>
    <row r="40" spans="88:105">
      <c r="CJ40" s="278"/>
      <c r="CK40" s="278"/>
      <c r="CL40" s="278"/>
      <c r="CM40" s="278"/>
      <c r="CN40" s="278"/>
      <c r="CO40" s="278"/>
      <c r="CP40" s="268"/>
      <c r="CQ40" s="268"/>
      <c r="CR40" s="267"/>
      <c r="CS40" s="267"/>
      <c r="CT40" s="267"/>
      <c r="CU40" s="267"/>
      <c r="CV40" s="267"/>
      <c r="CW40" s="267"/>
      <c r="CX40" s="267"/>
      <c r="CY40" s="267"/>
      <c r="CZ40" s="267"/>
      <c r="DA40" s="267"/>
    </row>
    <row r="41" spans="88:105">
      <c r="CJ41" s="278"/>
      <c r="CK41" s="278"/>
      <c r="CL41" s="278"/>
      <c r="CM41" s="278"/>
      <c r="CN41" s="278"/>
      <c r="CO41" s="278"/>
      <c r="CP41" s="268"/>
      <c r="CQ41" s="268"/>
      <c r="CR41" s="267"/>
      <c r="CS41" s="267"/>
      <c r="CT41" s="267"/>
      <c r="CU41" s="267"/>
      <c r="CV41" s="267"/>
      <c r="CW41" s="267"/>
      <c r="CX41" s="267"/>
      <c r="CY41" s="267"/>
      <c r="CZ41" s="267"/>
      <c r="DA41" s="267"/>
    </row>
    <row r="42" spans="88:105">
      <c r="CJ42" s="278"/>
      <c r="CK42" s="278"/>
      <c r="CL42" s="278"/>
      <c r="CM42" s="278"/>
      <c r="CN42" s="278"/>
      <c r="CO42" s="278"/>
      <c r="CP42" s="268"/>
      <c r="CQ42" s="268"/>
      <c r="CR42" s="267"/>
      <c r="CS42" s="267"/>
      <c r="CT42" s="267"/>
      <c r="CU42" s="267"/>
      <c r="CV42" s="267"/>
      <c r="CW42" s="267"/>
      <c r="CX42" s="267"/>
      <c r="CY42" s="267"/>
      <c r="CZ42" s="267"/>
      <c r="DA42" s="267"/>
    </row>
    <row r="43" spans="88:105">
      <c r="CJ43" s="278"/>
      <c r="CK43" s="278"/>
      <c r="CL43" s="278"/>
      <c r="CM43" s="278"/>
      <c r="CN43" s="278"/>
      <c r="CO43" s="278"/>
      <c r="CP43" s="268"/>
      <c r="CQ43" s="268"/>
      <c r="CR43" s="267"/>
      <c r="CS43" s="267"/>
      <c r="CT43" s="267"/>
      <c r="CU43" s="267"/>
      <c r="CV43" s="267"/>
      <c r="CW43" s="267"/>
      <c r="CX43" s="267"/>
      <c r="CY43" s="267"/>
      <c r="CZ43" s="267"/>
      <c r="DA43" s="267"/>
    </row>
    <row r="44" spans="88:105">
      <c r="CJ44" s="278"/>
      <c r="CK44" s="278"/>
      <c r="CL44" s="278"/>
      <c r="CM44" s="278"/>
      <c r="CN44" s="278"/>
      <c r="CO44" s="278"/>
      <c r="CP44" s="268"/>
      <c r="CQ44" s="268"/>
      <c r="CR44" s="341"/>
      <c r="CS44" s="341"/>
      <c r="CT44" s="341"/>
      <c r="CU44" s="341"/>
      <c r="CV44" s="341"/>
      <c r="CW44" s="341"/>
      <c r="CX44" s="341"/>
      <c r="CY44" s="341"/>
      <c r="CZ44" s="341"/>
      <c r="DA44" s="341"/>
    </row>
    <row r="45" spans="88:105">
      <c r="CJ45" s="278"/>
      <c r="CK45" s="278"/>
      <c r="CL45" s="278"/>
      <c r="CM45" s="278"/>
      <c r="CN45" s="278"/>
      <c r="CO45" s="278"/>
      <c r="CP45" s="268"/>
      <c r="CQ45" s="268"/>
      <c r="CR45" s="267"/>
      <c r="CS45" s="267"/>
      <c r="CT45" s="267"/>
      <c r="CU45" s="267"/>
      <c r="CV45" s="267"/>
      <c r="CW45" s="267"/>
      <c r="CX45" s="267"/>
      <c r="CY45" s="267"/>
      <c r="CZ45" s="267"/>
      <c r="DA45" s="267"/>
    </row>
    <row r="46" spans="88:105">
      <c r="CJ46" s="278"/>
      <c r="CK46" s="278"/>
      <c r="CL46" s="278"/>
      <c r="CM46" s="278"/>
      <c r="CN46" s="278"/>
      <c r="CO46" s="278"/>
      <c r="CP46" s="268"/>
      <c r="CQ46" s="268"/>
      <c r="CR46" s="267"/>
      <c r="CS46" s="267"/>
      <c r="CT46" s="267"/>
      <c r="CU46" s="267"/>
      <c r="CV46" s="267"/>
      <c r="CW46" s="267"/>
      <c r="CX46" s="267"/>
      <c r="CY46" s="267"/>
      <c r="CZ46" s="267"/>
      <c r="DA46" s="267"/>
    </row>
    <row r="47" spans="88:105">
      <c r="CJ47" s="278"/>
      <c r="CK47" s="278"/>
      <c r="CL47" s="278"/>
      <c r="CM47" s="278"/>
      <c r="CN47" s="278"/>
      <c r="CO47" s="278"/>
      <c r="CP47" s="268"/>
      <c r="CQ47" s="268"/>
      <c r="CR47" s="267"/>
      <c r="CS47" s="267"/>
      <c r="CT47" s="267"/>
      <c r="CU47" s="267"/>
      <c r="CV47" s="267"/>
      <c r="CW47" s="267"/>
      <c r="CX47" s="267"/>
      <c r="CY47" s="267"/>
      <c r="CZ47" s="267"/>
      <c r="DA47" s="267"/>
    </row>
    <row r="48" spans="88:105">
      <c r="CJ48" s="278"/>
      <c r="CK48" s="278"/>
      <c r="CL48" s="278"/>
      <c r="CM48" s="278"/>
      <c r="CN48" s="278"/>
      <c r="CO48" s="278"/>
      <c r="CP48" s="268"/>
      <c r="CQ48" s="268"/>
      <c r="CR48" s="267"/>
      <c r="CS48" s="267"/>
      <c r="CT48" s="267"/>
      <c r="CU48" s="267"/>
      <c r="CV48" s="267"/>
      <c r="CW48" s="267"/>
      <c r="CX48" s="267"/>
      <c r="CY48" s="267"/>
      <c r="CZ48" s="267"/>
      <c r="DA48" s="267"/>
    </row>
    <row r="49" spans="88:105">
      <c r="CJ49" s="278"/>
      <c r="CK49" s="278"/>
      <c r="CL49" s="278"/>
      <c r="CM49" s="278"/>
      <c r="CN49" s="278"/>
      <c r="CO49" s="278"/>
      <c r="CP49" s="268"/>
      <c r="CQ49" s="268"/>
      <c r="CR49" s="267"/>
      <c r="CS49" s="267"/>
      <c r="CT49" s="267"/>
      <c r="CU49" s="267"/>
      <c r="CV49" s="267"/>
      <c r="CW49" s="267"/>
      <c r="CX49" s="267"/>
      <c r="CY49" s="267"/>
      <c r="CZ49" s="267"/>
      <c r="DA49" s="267"/>
    </row>
    <row r="50" spans="88:105">
      <c r="CJ50" s="278"/>
      <c r="CK50" s="278"/>
      <c r="CL50" s="278"/>
      <c r="CM50" s="278"/>
      <c r="CN50" s="278"/>
      <c r="CO50" s="278"/>
      <c r="CP50" s="268"/>
      <c r="CQ50" s="268"/>
      <c r="CR50" s="267"/>
      <c r="CS50" s="267"/>
      <c r="CT50" s="267"/>
      <c r="CU50" s="267"/>
      <c r="CV50" s="267"/>
      <c r="CW50" s="267"/>
      <c r="CX50" s="267"/>
      <c r="CY50" s="267"/>
      <c r="CZ50" s="267"/>
      <c r="DA50" s="267"/>
    </row>
    <row r="51" spans="88:105">
      <c r="CJ51" s="278"/>
      <c r="CK51" s="278"/>
      <c r="CL51" s="278"/>
      <c r="CM51" s="278"/>
      <c r="CN51" s="278"/>
      <c r="CO51" s="278"/>
      <c r="CP51" s="268"/>
      <c r="CQ51" s="268"/>
      <c r="CR51" s="267"/>
      <c r="CS51" s="267"/>
      <c r="CT51" s="267"/>
      <c r="CU51" s="267"/>
      <c r="CV51" s="267"/>
      <c r="CW51" s="267"/>
      <c r="CX51" s="267"/>
      <c r="CY51" s="267"/>
      <c r="CZ51" s="267"/>
      <c r="DA51" s="267"/>
    </row>
    <row r="52" spans="88:105">
      <c r="CJ52" s="278"/>
      <c r="CK52" s="278"/>
      <c r="CL52" s="278"/>
      <c r="CM52" s="278"/>
      <c r="CN52" s="278"/>
      <c r="CO52" s="278"/>
      <c r="CP52" s="268"/>
      <c r="CQ52" s="268"/>
      <c r="CR52" s="267"/>
      <c r="CS52" s="267"/>
      <c r="CT52" s="267"/>
      <c r="CU52" s="267"/>
      <c r="CV52" s="267"/>
      <c r="CW52" s="267"/>
      <c r="CX52" s="267"/>
      <c r="CY52" s="267"/>
      <c r="CZ52" s="267"/>
      <c r="DA52" s="267"/>
    </row>
    <row r="53" spans="88:105">
      <c r="CJ53" s="278"/>
      <c r="CK53" s="278"/>
      <c r="CL53" s="278"/>
      <c r="CM53" s="278"/>
      <c r="CN53" s="278"/>
      <c r="CO53" s="278"/>
      <c r="CP53" s="268"/>
      <c r="CQ53" s="268"/>
      <c r="CR53" s="267"/>
      <c r="CS53" s="267"/>
      <c r="CT53" s="267"/>
      <c r="CU53" s="267"/>
      <c r="CV53" s="267"/>
      <c r="CW53" s="267"/>
      <c r="CX53" s="267"/>
      <c r="CY53" s="267"/>
      <c r="CZ53" s="267"/>
      <c r="DA53" s="267"/>
    </row>
    <row r="54" spans="88:105">
      <c r="CJ54" s="278"/>
      <c r="CK54" s="278"/>
      <c r="CL54" s="278"/>
      <c r="CM54" s="278"/>
      <c r="CN54" s="278"/>
      <c r="CO54" s="278"/>
      <c r="CP54" s="268"/>
      <c r="CQ54" s="268"/>
      <c r="CR54" s="267"/>
      <c r="CS54" s="267"/>
      <c r="CT54" s="267"/>
      <c r="CU54" s="267"/>
      <c r="CV54" s="267"/>
      <c r="CW54" s="267"/>
      <c r="CX54" s="267"/>
      <c r="CY54" s="267"/>
      <c r="CZ54" s="267"/>
      <c r="DA54" s="267"/>
    </row>
    <row r="55" spans="88:105">
      <c r="CJ55" s="278"/>
      <c r="CK55" s="278"/>
      <c r="CL55" s="278"/>
      <c r="CM55" s="278"/>
      <c r="CN55" s="278"/>
      <c r="CO55" s="278"/>
      <c r="CP55" s="268"/>
      <c r="CQ55" s="268"/>
      <c r="CR55" s="267"/>
      <c r="CS55" s="267"/>
      <c r="CT55" s="267"/>
      <c r="CU55" s="267"/>
      <c r="CV55" s="267"/>
      <c r="CW55" s="267"/>
      <c r="CX55" s="267"/>
      <c r="CY55" s="267"/>
      <c r="CZ55" s="267"/>
      <c r="DA55" s="267"/>
    </row>
    <row r="56" spans="88:105">
      <c r="CJ56" s="278"/>
      <c r="CK56" s="278"/>
      <c r="CL56" s="278"/>
      <c r="CM56" s="278"/>
      <c r="CN56" s="278"/>
      <c r="CO56" s="278"/>
      <c r="CP56" s="268"/>
      <c r="CQ56" s="268"/>
      <c r="CR56" s="267"/>
      <c r="CS56" s="267"/>
      <c r="CT56" s="267"/>
      <c r="CU56" s="267"/>
      <c r="CV56" s="267"/>
      <c r="CW56" s="267"/>
      <c r="CX56" s="267"/>
      <c r="CY56" s="267"/>
      <c r="CZ56" s="267"/>
      <c r="DA56" s="267"/>
    </row>
    <row r="57" spans="88:105">
      <c r="CJ57" s="278"/>
      <c r="CK57" s="278"/>
      <c r="CL57" s="278"/>
      <c r="CM57" s="278"/>
      <c r="CN57" s="278"/>
      <c r="CO57" s="278"/>
      <c r="CP57" s="268"/>
      <c r="CQ57" s="268"/>
      <c r="CR57" s="267"/>
      <c r="CS57" s="267"/>
      <c r="CT57" s="267"/>
      <c r="CU57" s="267"/>
      <c r="CV57" s="267"/>
      <c r="CW57" s="267"/>
      <c r="CX57" s="267"/>
      <c r="CY57" s="267"/>
      <c r="CZ57" s="267"/>
      <c r="DA57" s="267"/>
    </row>
    <row r="58" spans="88:105">
      <c r="CJ58" s="278"/>
      <c r="CK58" s="278"/>
      <c r="CL58" s="278"/>
      <c r="CM58" s="278"/>
      <c r="CN58" s="278"/>
      <c r="CO58" s="278"/>
      <c r="CP58" s="268"/>
      <c r="CQ58" s="268"/>
      <c r="CR58" s="267"/>
      <c r="CS58" s="267"/>
      <c r="CT58" s="267"/>
      <c r="CU58" s="267"/>
      <c r="CV58" s="267"/>
      <c r="CW58" s="267"/>
      <c r="CX58" s="267"/>
      <c r="CY58" s="267"/>
      <c r="CZ58" s="267"/>
      <c r="DA58" s="267"/>
    </row>
    <row r="59" spans="88:105">
      <c r="CJ59" s="278"/>
      <c r="CK59" s="278"/>
      <c r="CL59" s="278"/>
      <c r="CM59" s="278"/>
      <c r="CN59" s="278"/>
      <c r="CO59" s="278"/>
      <c r="CP59" s="268"/>
      <c r="CQ59" s="268"/>
      <c r="CR59" s="267"/>
      <c r="CS59" s="267"/>
      <c r="CT59" s="267"/>
      <c r="CU59" s="267"/>
      <c r="CV59" s="267"/>
      <c r="CW59" s="267"/>
      <c r="CX59" s="267"/>
      <c r="CY59" s="267"/>
      <c r="CZ59" s="267"/>
      <c r="DA59" s="267"/>
    </row>
    <row r="60" spans="88:105">
      <c r="CJ60" s="278"/>
      <c r="CK60" s="278"/>
      <c r="CL60" s="278"/>
      <c r="CM60" s="278"/>
      <c r="CN60" s="278"/>
      <c r="CO60" s="278"/>
      <c r="CP60" s="268"/>
      <c r="CQ60" s="268"/>
      <c r="CR60" s="267"/>
      <c r="CS60" s="267"/>
      <c r="CT60" s="267"/>
      <c r="CU60" s="267"/>
      <c r="CV60" s="267"/>
      <c r="CW60" s="267"/>
      <c r="CX60" s="267"/>
      <c r="CY60" s="267"/>
      <c r="CZ60" s="267"/>
      <c r="DA60" s="267"/>
    </row>
    <row r="61" spans="88:105">
      <c r="CJ61" s="278"/>
      <c r="CK61" s="278"/>
      <c r="CL61" s="278"/>
      <c r="CM61" s="278"/>
      <c r="CN61" s="278"/>
      <c r="CO61" s="278"/>
      <c r="CP61" s="268"/>
      <c r="CQ61" s="268"/>
      <c r="CR61" s="267"/>
      <c r="CS61" s="267"/>
      <c r="CT61" s="267"/>
      <c r="CU61" s="267"/>
      <c r="CV61" s="267"/>
      <c r="CW61" s="267"/>
      <c r="CX61" s="267"/>
      <c r="CY61" s="267"/>
      <c r="CZ61" s="267"/>
      <c r="DA61" s="267"/>
    </row>
    <row r="62" spans="88:105">
      <c r="CJ62" s="278"/>
      <c r="CK62" s="278"/>
      <c r="CL62" s="278"/>
      <c r="CM62" s="278"/>
      <c r="CN62" s="278"/>
      <c r="CO62" s="278"/>
      <c r="CP62" s="268"/>
      <c r="CQ62" s="268"/>
      <c r="CR62" s="267"/>
      <c r="CS62" s="267"/>
      <c r="CT62" s="267"/>
      <c r="CU62" s="267"/>
      <c r="CV62" s="267"/>
      <c r="CW62" s="267"/>
      <c r="CX62" s="267"/>
      <c r="CY62" s="267"/>
      <c r="CZ62" s="267"/>
      <c r="DA62" s="267"/>
    </row>
    <row r="63" spans="88:105">
      <c r="CJ63" s="278"/>
      <c r="CK63" s="278"/>
      <c r="CL63" s="278"/>
      <c r="CM63" s="278"/>
      <c r="CN63" s="278"/>
      <c r="CO63" s="278"/>
      <c r="CP63" s="268"/>
      <c r="CQ63" s="268"/>
      <c r="CR63" s="267"/>
      <c r="CS63" s="267"/>
      <c r="CT63" s="267"/>
      <c r="CU63" s="267"/>
      <c r="CV63" s="267"/>
      <c r="CW63" s="267"/>
      <c r="CX63" s="267"/>
      <c r="CY63" s="267"/>
      <c r="CZ63" s="267"/>
      <c r="DA63" s="267"/>
    </row>
    <row r="64" spans="88:105">
      <c r="CJ64" s="278"/>
      <c r="CK64" s="278"/>
      <c r="CL64" s="278"/>
      <c r="CM64" s="278"/>
      <c r="CN64" s="278"/>
      <c r="CO64" s="278"/>
      <c r="CP64" s="268"/>
      <c r="CQ64" s="268"/>
      <c r="CR64" s="267"/>
      <c r="CS64" s="267"/>
      <c r="CT64" s="267"/>
      <c r="CU64" s="267"/>
      <c r="CV64" s="267"/>
      <c r="CW64" s="267"/>
      <c r="CX64" s="267"/>
      <c r="CY64" s="267"/>
      <c r="CZ64" s="267"/>
      <c r="DA64" s="267"/>
    </row>
    <row r="65" spans="88:105">
      <c r="CJ65" s="278"/>
      <c r="CK65" s="278"/>
      <c r="CL65" s="278"/>
      <c r="CM65" s="278"/>
      <c r="CN65" s="278"/>
      <c r="CO65" s="278"/>
      <c r="CP65" s="268"/>
      <c r="CQ65" s="268"/>
      <c r="CR65" s="267"/>
      <c r="CS65" s="267"/>
      <c r="CT65" s="267"/>
      <c r="CU65" s="267"/>
      <c r="CV65" s="267"/>
      <c r="CW65" s="267"/>
      <c r="CX65" s="267"/>
      <c r="CY65" s="267"/>
      <c r="CZ65" s="267"/>
      <c r="DA65" s="267"/>
    </row>
    <row r="66" spans="88:105">
      <c r="CJ66" s="278"/>
      <c r="CK66" s="278"/>
      <c r="CL66" s="278"/>
      <c r="CM66" s="278"/>
      <c r="CN66" s="278"/>
      <c r="CO66" s="278"/>
      <c r="CP66" s="268"/>
      <c r="CQ66" s="268"/>
      <c r="CR66" s="267"/>
      <c r="CS66" s="267"/>
      <c r="CT66" s="267"/>
      <c r="CU66" s="267"/>
      <c r="CV66" s="267"/>
      <c r="CW66" s="267"/>
      <c r="CX66" s="267"/>
      <c r="CY66" s="267"/>
      <c r="CZ66" s="267"/>
      <c r="DA66" s="267"/>
    </row>
    <row r="67" spans="88:105">
      <c r="CJ67" s="278"/>
      <c r="CK67" s="278"/>
      <c r="CL67" s="278"/>
      <c r="CM67" s="278"/>
      <c r="CN67" s="278"/>
      <c r="CO67" s="278"/>
      <c r="CP67" s="268"/>
      <c r="CQ67" s="268"/>
      <c r="CR67" s="267"/>
      <c r="CS67" s="267"/>
      <c r="CT67" s="267"/>
      <c r="CU67" s="267"/>
      <c r="CV67" s="267"/>
      <c r="CW67" s="267"/>
      <c r="CX67" s="267"/>
      <c r="CY67" s="267"/>
      <c r="CZ67" s="267"/>
      <c r="DA67" s="267"/>
    </row>
    <row r="68" spans="88:105">
      <c r="CJ68" s="278"/>
      <c r="CK68" s="278"/>
      <c r="CL68" s="278"/>
      <c r="CM68" s="278"/>
      <c r="CN68" s="278"/>
      <c r="CO68" s="278"/>
      <c r="CP68" s="268"/>
      <c r="CQ68" s="268"/>
      <c r="CR68" s="267"/>
      <c r="CS68" s="267"/>
      <c r="CT68" s="267"/>
      <c r="CU68" s="267"/>
      <c r="CV68" s="267"/>
      <c r="CW68" s="267"/>
      <c r="CX68" s="267"/>
      <c r="CY68" s="267"/>
      <c r="CZ68" s="267"/>
      <c r="DA68" s="267"/>
    </row>
  </sheetData>
  <mergeCells count="1">
    <mergeCell ref="CJ14:DA14"/>
  </mergeCells>
  <conditionalFormatting sqref="AD17:AD21">
    <cfRule type="cellIs" dxfId="6" priority="2" operator="greaterThan">
      <formula>0.2599</formula>
    </cfRule>
  </conditionalFormatting>
  <conditionalFormatting sqref="AQ17:AQ21">
    <cfRule type="cellIs" dxfId="5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A68"/>
  <sheetViews>
    <sheetView topLeftCell="BR1" zoomScale="26" zoomScaleNormal="26" workbookViewId="0">
      <selection activeCell="CJ1" sqref="CJ1:DA1048576"/>
    </sheetView>
  </sheetViews>
  <sheetFormatPr defaultColWidth="11.5703125" defaultRowHeight="27.6"/>
  <cols>
    <col min="1" max="1" width="8.5703125" bestFit="1" customWidth="1"/>
    <col min="2" max="2" width="15.85546875" bestFit="1" customWidth="1"/>
    <col min="3" max="3" width="39.85546875" bestFit="1" customWidth="1"/>
    <col min="4" max="4" width="32.5703125" bestFit="1" customWidth="1"/>
    <col min="5" max="5" width="41.7109375" bestFit="1" customWidth="1"/>
    <col min="6" max="6" width="13.7109375" bestFit="1" customWidth="1"/>
    <col min="7" max="7" width="37.85546875" bestFit="1" customWidth="1"/>
    <col min="8" max="8" width="43.5703125" bestFit="1" customWidth="1"/>
    <col min="9" max="9" width="19.42578125" bestFit="1" customWidth="1"/>
    <col min="10" max="10" width="27.42578125" bestFit="1" customWidth="1"/>
    <col min="11" max="11" width="26.85546875" bestFit="1" customWidth="1"/>
    <col min="12" max="12" width="37.85546875" bestFit="1" customWidth="1"/>
    <col min="13" max="13" width="14.28515625" bestFit="1" customWidth="1"/>
    <col min="14" max="14" width="37.85546875" bestFit="1" customWidth="1"/>
    <col min="15" max="15" width="29" bestFit="1" customWidth="1"/>
    <col min="16" max="16" width="22.5703125" bestFit="1" customWidth="1"/>
    <col min="17" max="17" width="36.85546875" bestFit="1" customWidth="1"/>
    <col min="18" max="18" width="26.28515625" bestFit="1" customWidth="1"/>
    <col min="19" max="19" width="39" bestFit="1" customWidth="1"/>
    <col min="20" max="20" width="43.5703125" bestFit="1" customWidth="1"/>
    <col min="21" max="22" width="36.85546875" bestFit="1" customWidth="1"/>
    <col min="23" max="23" width="39.85546875" bestFit="1" customWidth="1"/>
    <col min="24" max="24" width="34.7109375" bestFit="1" customWidth="1"/>
    <col min="25" max="25" width="40.5703125" bestFit="1" customWidth="1"/>
    <col min="26" max="26" width="28.42578125" bestFit="1" customWidth="1"/>
    <col min="27" max="27" width="34.7109375" bestFit="1" customWidth="1"/>
    <col min="28" max="28" width="35.85546875" bestFit="1" customWidth="1"/>
    <col min="29" max="29" width="18.5703125" bestFit="1" customWidth="1"/>
    <col min="30" max="30" width="25.7109375" bestFit="1" customWidth="1"/>
    <col min="31" max="31" width="34.7109375" customWidth="1"/>
    <col min="33" max="36" width="34.7109375" customWidth="1"/>
    <col min="37" max="37" width="33.5703125" customWidth="1"/>
    <col min="53" max="64" width="33.5703125" customWidth="1"/>
    <col min="70" max="72" width="42" customWidth="1"/>
    <col min="88" max="93" width="35.42578125" style="279" customWidth="1"/>
    <col min="94" max="105" width="35.42578125" style="266" customWidth="1"/>
  </cols>
  <sheetData>
    <row r="1" spans="1:105" s="168" customFormat="1" ht="32.450000000000003">
      <c r="A1" s="328"/>
      <c r="B1" s="329"/>
      <c r="C1" s="328"/>
      <c r="D1" s="328"/>
      <c r="E1" s="328"/>
      <c r="F1" s="328"/>
      <c r="G1" s="328"/>
      <c r="H1" s="328"/>
      <c r="I1" s="328"/>
      <c r="J1" s="328"/>
      <c r="K1" s="328"/>
      <c r="L1" s="328"/>
      <c r="M1" s="328"/>
      <c r="N1" s="330"/>
      <c r="O1" s="329"/>
      <c r="P1" s="329"/>
      <c r="Q1" s="329"/>
      <c r="R1" s="329"/>
      <c r="S1" s="329"/>
      <c r="T1" s="328"/>
      <c r="U1" s="328"/>
      <c r="V1" s="328"/>
      <c r="W1" s="328"/>
      <c r="X1" s="328"/>
      <c r="Y1" s="328"/>
      <c r="Z1" s="328"/>
      <c r="AA1" s="328"/>
      <c r="AB1" s="328"/>
      <c r="AC1" s="328"/>
      <c r="AD1" s="328"/>
      <c r="AE1" s="328"/>
      <c r="AF1" s="160"/>
      <c r="AG1" s="331"/>
      <c r="AH1" s="331"/>
      <c r="AI1" s="331"/>
      <c r="AJ1" s="331"/>
      <c r="AK1" s="331"/>
      <c r="BA1" s="332"/>
      <c r="BB1" s="332"/>
      <c r="BC1" s="332"/>
      <c r="BD1" s="332"/>
      <c r="BE1" s="332"/>
      <c r="BF1" s="332"/>
      <c r="BG1" s="332"/>
      <c r="BH1" s="332"/>
      <c r="BI1" s="332"/>
      <c r="BJ1" s="332"/>
      <c r="BK1" s="332"/>
      <c r="BL1" s="332"/>
      <c r="CJ1" s="165"/>
      <c r="CK1" s="165"/>
      <c r="CL1" s="165"/>
      <c r="CM1" s="165"/>
      <c r="CN1" s="165"/>
      <c r="CO1" s="165"/>
      <c r="CP1" s="165"/>
      <c r="CQ1" s="165"/>
      <c r="CR1" s="165"/>
      <c r="CS1" s="165"/>
      <c r="CT1" s="165"/>
      <c r="CU1" s="165"/>
      <c r="CV1" s="165"/>
      <c r="CW1" s="165"/>
      <c r="CX1" s="165"/>
      <c r="CY1" s="165"/>
      <c r="CZ1" s="165"/>
      <c r="DA1" s="165"/>
    </row>
    <row r="2" spans="1:105" s="168" customFormat="1" ht="32.450000000000003">
      <c r="A2" s="328"/>
      <c r="B2" s="329"/>
      <c r="C2" s="328"/>
      <c r="D2" s="328"/>
      <c r="E2" s="328"/>
      <c r="F2" s="328"/>
      <c r="G2" s="328"/>
      <c r="H2" s="328"/>
      <c r="I2" s="328"/>
      <c r="J2" s="328"/>
      <c r="K2" s="328"/>
      <c r="L2" s="328"/>
      <c r="M2" s="328"/>
      <c r="N2" s="330"/>
      <c r="O2" s="329"/>
      <c r="P2" s="329"/>
      <c r="Q2" s="329"/>
      <c r="R2" s="329"/>
      <c r="S2" s="329"/>
      <c r="T2" s="328"/>
      <c r="U2" s="328"/>
      <c r="V2" s="328"/>
      <c r="W2" s="328"/>
      <c r="X2" s="328"/>
      <c r="Y2" s="328"/>
      <c r="Z2" s="328"/>
      <c r="AA2" s="328"/>
      <c r="AB2" s="328"/>
      <c r="AC2" s="328"/>
      <c r="AD2" s="328"/>
      <c r="AE2" s="328"/>
      <c r="AF2" s="160"/>
      <c r="AG2" s="331"/>
      <c r="AH2" s="331"/>
      <c r="AI2" s="331"/>
      <c r="AJ2" s="331"/>
      <c r="AK2" s="331"/>
      <c r="BA2" s="332"/>
      <c r="BB2" s="332"/>
      <c r="BC2" s="332"/>
      <c r="BD2" s="332"/>
      <c r="BE2" s="332"/>
      <c r="BF2" s="332"/>
      <c r="BG2" s="332"/>
      <c r="BH2" s="332"/>
      <c r="BI2" s="332"/>
      <c r="BJ2" s="332"/>
      <c r="BK2" s="332"/>
      <c r="BL2" s="332"/>
      <c r="CJ2" s="165"/>
      <c r="CK2" s="165"/>
      <c r="CL2" s="165"/>
      <c r="CM2" s="165"/>
      <c r="CN2" s="165"/>
      <c r="CO2" s="165"/>
      <c r="CP2" s="165"/>
      <c r="CQ2" s="165"/>
      <c r="CR2" s="165"/>
      <c r="CS2" s="165"/>
      <c r="CT2" s="165"/>
      <c r="CU2" s="165"/>
      <c r="CV2" s="165"/>
      <c r="CW2" s="165"/>
      <c r="CX2" s="165"/>
      <c r="CY2" s="165"/>
      <c r="CZ2" s="165"/>
      <c r="DA2" s="165"/>
    </row>
    <row r="3" spans="1:105" s="168" customFormat="1" ht="32.450000000000003">
      <c r="A3" s="328"/>
      <c r="B3" s="329"/>
      <c r="C3" s="328"/>
      <c r="D3" s="328"/>
      <c r="E3" s="328"/>
      <c r="F3" s="328"/>
      <c r="G3" s="328"/>
      <c r="H3" s="328"/>
      <c r="I3" s="328"/>
      <c r="J3" s="328"/>
      <c r="K3" s="328"/>
      <c r="L3" s="328"/>
      <c r="M3" s="328"/>
      <c r="N3" s="330"/>
      <c r="O3" s="329"/>
      <c r="P3" s="329"/>
      <c r="Q3" s="329"/>
      <c r="R3" s="329"/>
      <c r="S3" s="329"/>
      <c r="T3" s="328"/>
      <c r="U3" s="328"/>
      <c r="V3" s="328"/>
      <c r="W3" s="328"/>
      <c r="X3" s="328"/>
      <c r="Y3" s="328"/>
      <c r="Z3" s="328"/>
      <c r="AA3" s="328"/>
      <c r="AB3" s="328"/>
      <c r="AC3" s="328"/>
      <c r="AD3" s="328"/>
      <c r="AE3" s="328"/>
      <c r="AF3" s="160"/>
      <c r="AG3" s="331"/>
      <c r="AH3" s="331"/>
      <c r="AI3" s="331"/>
      <c r="AJ3" s="331"/>
      <c r="AK3" s="331"/>
      <c r="BA3" s="332"/>
      <c r="BB3" s="332"/>
      <c r="BC3" s="332"/>
      <c r="BD3" s="332"/>
      <c r="BE3" s="332"/>
      <c r="BF3" s="332"/>
      <c r="BG3" s="332"/>
      <c r="BH3" s="332"/>
      <c r="BI3" s="332"/>
      <c r="BJ3" s="332"/>
      <c r="BK3" s="332"/>
      <c r="BL3" s="332"/>
      <c r="CJ3" s="165"/>
      <c r="CK3" s="165"/>
      <c r="CL3" s="165"/>
      <c r="CM3" s="165"/>
      <c r="CN3" s="165"/>
      <c r="CO3" s="165"/>
      <c r="CP3" s="165"/>
      <c r="CQ3" s="165"/>
      <c r="CR3" s="165"/>
      <c r="CS3" s="165"/>
      <c r="CT3" s="165"/>
      <c r="CU3" s="165"/>
      <c r="CV3" s="165"/>
      <c r="CW3" s="165"/>
      <c r="CX3" s="165"/>
      <c r="CY3" s="165"/>
      <c r="CZ3" s="165"/>
      <c r="DA3" s="165"/>
    </row>
    <row r="4" spans="1:105" s="168" customFormat="1" ht="32.450000000000003">
      <c r="A4" s="328"/>
      <c r="B4" s="329"/>
      <c r="C4" s="328"/>
      <c r="D4" s="328"/>
      <c r="E4" s="328"/>
      <c r="F4" s="328"/>
      <c r="G4" s="328"/>
      <c r="H4" s="328"/>
      <c r="I4" s="328"/>
      <c r="J4" s="328"/>
      <c r="K4" s="328"/>
      <c r="L4" s="328"/>
      <c r="M4" s="328"/>
      <c r="N4" s="330"/>
      <c r="O4" s="329"/>
      <c r="P4" s="329"/>
      <c r="Q4" s="329"/>
      <c r="R4" s="329"/>
      <c r="S4" s="329"/>
      <c r="T4" s="328"/>
      <c r="U4" s="328"/>
      <c r="V4" s="328"/>
      <c r="W4" s="328"/>
      <c r="X4" s="328"/>
      <c r="Y4" s="328"/>
      <c r="Z4" s="328"/>
      <c r="AA4" s="328"/>
      <c r="AB4" s="328"/>
      <c r="AC4" s="328"/>
      <c r="AD4" s="328"/>
      <c r="AE4" s="328"/>
      <c r="AF4" s="160"/>
      <c r="AG4" s="331"/>
      <c r="AH4" s="331"/>
      <c r="AI4" s="331"/>
      <c r="AJ4" s="331"/>
      <c r="AK4" s="331"/>
      <c r="BA4" s="332"/>
      <c r="BB4" s="332"/>
      <c r="BC4" s="332"/>
      <c r="BD4" s="332"/>
      <c r="BE4" s="332"/>
      <c r="BF4" s="332"/>
      <c r="BG4" s="332"/>
      <c r="BH4" s="332"/>
      <c r="BI4" s="332"/>
      <c r="BJ4" s="332"/>
      <c r="BK4" s="332"/>
      <c r="BL4" s="332"/>
      <c r="CJ4" s="165"/>
      <c r="CK4" s="165"/>
      <c r="CL4" s="165"/>
      <c r="CM4" s="165"/>
      <c r="CN4" s="165"/>
      <c r="CO4" s="165"/>
      <c r="CP4" s="165"/>
      <c r="CQ4" s="165"/>
      <c r="CR4" s="165"/>
      <c r="CS4" s="165"/>
      <c r="CT4" s="165"/>
      <c r="CU4" s="165"/>
      <c r="CV4" s="165"/>
      <c r="CW4" s="165"/>
      <c r="CX4" s="165"/>
      <c r="CY4" s="165"/>
      <c r="CZ4" s="165"/>
      <c r="DA4" s="165"/>
    </row>
    <row r="5" spans="1:105" s="168" customFormat="1" ht="32.450000000000003">
      <c r="A5" s="328"/>
      <c r="B5" s="329"/>
      <c r="C5" s="328"/>
      <c r="D5" s="328"/>
      <c r="E5" s="328"/>
      <c r="F5" s="328"/>
      <c r="G5" s="328"/>
      <c r="H5" s="328"/>
      <c r="I5" s="328"/>
      <c r="J5" s="328"/>
      <c r="K5" s="328"/>
      <c r="L5" s="328"/>
      <c r="M5" s="328"/>
      <c r="N5" s="330"/>
      <c r="O5" s="329"/>
      <c r="P5" s="329"/>
      <c r="Q5" s="329"/>
      <c r="R5" s="329"/>
      <c r="S5" s="329"/>
      <c r="T5" s="328"/>
      <c r="U5" s="328"/>
      <c r="V5" s="328"/>
      <c r="W5" s="328"/>
      <c r="X5" s="328"/>
      <c r="Y5" s="328"/>
      <c r="Z5" s="328"/>
      <c r="AA5" s="328"/>
      <c r="AB5" s="328"/>
      <c r="AC5" s="328"/>
      <c r="AD5" s="328"/>
      <c r="AE5" s="328"/>
      <c r="AF5" s="160"/>
      <c r="AG5" s="331"/>
      <c r="AH5" s="331"/>
      <c r="AI5" s="331"/>
      <c r="AJ5" s="331"/>
      <c r="AK5" s="331"/>
      <c r="BA5" s="332"/>
      <c r="BB5" s="332"/>
      <c r="BC5" s="332"/>
      <c r="BD5" s="332"/>
      <c r="BE5" s="332"/>
      <c r="BF5" s="332"/>
      <c r="BG5" s="332"/>
      <c r="BH5" s="332"/>
      <c r="BI5" s="332"/>
      <c r="BJ5" s="332"/>
      <c r="BK5" s="332"/>
      <c r="BL5" s="332"/>
      <c r="CJ5" s="165"/>
      <c r="CK5" s="165"/>
      <c r="CL5" s="165"/>
      <c r="CM5" s="165"/>
      <c r="CN5" s="165"/>
      <c r="CO5" s="165"/>
      <c r="CP5" s="165"/>
      <c r="CQ5" s="165"/>
      <c r="CR5" s="165"/>
      <c r="CS5" s="165"/>
      <c r="CT5" s="165"/>
      <c r="CU5" s="165"/>
      <c r="CV5" s="165"/>
      <c r="CW5" s="165"/>
      <c r="CX5" s="165"/>
      <c r="CY5" s="165"/>
      <c r="CZ5" s="165"/>
      <c r="DA5" s="165"/>
    </row>
    <row r="6" spans="1:105" s="168" customFormat="1" ht="32.450000000000003">
      <c r="A6" s="328"/>
      <c r="B6" s="329"/>
      <c r="C6" s="328"/>
      <c r="D6" s="328"/>
      <c r="E6" s="328"/>
      <c r="F6" s="328"/>
      <c r="G6" s="328"/>
      <c r="H6" s="328"/>
      <c r="I6" s="328"/>
      <c r="J6" s="328"/>
      <c r="K6" s="328"/>
      <c r="L6" s="328"/>
      <c r="M6" s="328"/>
      <c r="N6" s="330"/>
      <c r="O6" s="329"/>
      <c r="P6" s="329"/>
      <c r="Q6" s="329"/>
      <c r="R6" s="329"/>
      <c r="S6" s="329"/>
      <c r="T6" s="328"/>
      <c r="U6" s="328"/>
      <c r="V6" s="328"/>
      <c r="W6" s="328"/>
      <c r="X6" s="328"/>
      <c r="Y6" s="328"/>
      <c r="Z6" s="328"/>
      <c r="AA6" s="328"/>
      <c r="AB6" s="328"/>
      <c r="AC6" s="328"/>
      <c r="AD6" s="328"/>
      <c r="AE6" s="328"/>
      <c r="AF6" s="160"/>
      <c r="AG6" s="331"/>
      <c r="AH6" s="331"/>
      <c r="AI6" s="331"/>
      <c r="AJ6" s="331"/>
      <c r="AK6" s="331"/>
      <c r="BA6" s="332"/>
      <c r="BB6" s="332"/>
      <c r="BC6" s="332"/>
      <c r="BD6" s="332"/>
      <c r="BE6" s="332"/>
      <c r="BF6" s="332"/>
      <c r="BG6" s="332"/>
      <c r="BH6" s="332"/>
      <c r="BI6" s="332"/>
      <c r="BJ6" s="332"/>
      <c r="BK6" s="332"/>
      <c r="BL6" s="332"/>
      <c r="CJ6" s="165"/>
      <c r="CK6" s="165"/>
      <c r="CL6" s="165"/>
      <c r="CM6" s="165"/>
      <c r="CN6" s="165"/>
      <c r="CO6" s="165"/>
      <c r="CP6" s="165"/>
      <c r="CQ6" s="165"/>
      <c r="CR6" s="165"/>
      <c r="CS6" s="165"/>
      <c r="CT6" s="165"/>
      <c r="CU6" s="165"/>
      <c r="CV6" s="165"/>
      <c r="CW6" s="165"/>
      <c r="CX6" s="165"/>
      <c r="CY6" s="165"/>
      <c r="CZ6" s="165"/>
      <c r="DA6" s="165"/>
    </row>
    <row r="7" spans="1:105" s="168" customFormat="1" ht="32.450000000000003">
      <c r="A7" s="328"/>
      <c r="B7" s="329"/>
      <c r="C7" s="328"/>
      <c r="D7" s="328"/>
      <c r="E7" s="328"/>
      <c r="F7" s="328"/>
      <c r="G7" s="328"/>
      <c r="H7" s="328"/>
      <c r="I7" s="328"/>
      <c r="J7" s="328"/>
      <c r="K7" s="328"/>
      <c r="L7" s="328"/>
      <c r="M7" s="328"/>
      <c r="N7" s="330"/>
      <c r="O7" s="329"/>
      <c r="P7" s="329"/>
      <c r="Q7" s="329"/>
      <c r="R7" s="329"/>
      <c r="S7" s="329"/>
      <c r="T7" s="328"/>
      <c r="U7" s="328"/>
      <c r="V7" s="328"/>
      <c r="W7" s="328"/>
      <c r="X7" s="328"/>
      <c r="Y7" s="328"/>
      <c r="Z7" s="328"/>
      <c r="AA7" s="328"/>
      <c r="AB7" s="328"/>
      <c r="AC7" s="328"/>
      <c r="AD7" s="328"/>
      <c r="AE7" s="328"/>
      <c r="AF7" s="160"/>
      <c r="AG7" s="331"/>
      <c r="AH7" s="331"/>
      <c r="AI7" s="331"/>
      <c r="AJ7" s="331"/>
      <c r="AK7" s="331"/>
      <c r="BA7" s="332"/>
      <c r="BB7" s="332"/>
      <c r="BC7" s="332"/>
      <c r="BD7" s="332"/>
      <c r="BE7" s="332"/>
      <c r="BF7" s="332"/>
      <c r="BG7" s="332"/>
      <c r="BH7" s="332"/>
      <c r="BI7" s="332"/>
      <c r="BJ7" s="332"/>
      <c r="BK7" s="332"/>
      <c r="BL7" s="332"/>
      <c r="CJ7" s="165"/>
      <c r="CK7" s="165"/>
      <c r="CL7" s="165"/>
      <c r="CM7" s="165"/>
      <c r="CN7" s="165"/>
      <c r="CO7" s="165"/>
      <c r="CP7" s="165"/>
      <c r="CQ7" s="165"/>
      <c r="CR7" s="165"/>
      <c r="CS7" s="165"/>
      <c r="CT7" s="165"/>
      <c r="CU7" s="165"/>
      <c r="CV7" s="165"/>
      <c r="CW7" s="165"/>
      <c r="CX7" s="165"/>
      <c r="CY7" s="165"/>
      <c r="CZ7" s="165"/>
      <c r="DA7" s="165"/>
    </row>
    <row r="8" spans="1:105" s="168" customFormat="1" ht="32.450000000000003">
      <c r="A8" s="328"/>
      <c r="B8" s="329"/>
      <c r="C8" s="328"/>
      <c r="D8" s="328"/>
      <c r="E8" s="328"/>
      <c r="F8" s="328"/>
      <c r="G8" s="328"/>
      <c r="H8" s="328"/>
      <c r="I8" s="328"/>
      <c r="J8" s="328"/>
      <c r="K8" s="328"/>
      <c r="L8" s="328"/>
      <c r="M8" s="328"/>
      <c r="N8" s="330"/>
      <c r="O8" s="329"/>
      <c r="P8" s="329"/>
      <c r="Q8" s="329"/>
      <c r="R8" s="329"/>
      <c r="S8" s="329"/>
      <c r="T8" s="328"/>
      <c r="U8" s="328"/>
      <c r="V8" s="328"/>
      <c r="W8" s="328"/>
      <c r="X8" s="328"/>
      <c r="Y8" s="328"/>
      <c r="Z8" s="328"/>
      <c r="AA8" s="328"/>
      <c r="AB8" s="328"/>
      <c r="AC8" s="328"/>
      <c r="AD8" s="328"/>
      <c r="AE8" s="328"/>
      <c r="AF8" s="160"/>
      <c r="AG8" s="331"/>
      <c r="AH8" s="331"/>
      <c r="AI8" s="331"/>
      <c r="AJ8" s="331"/>
      <c r="AK8" s="331"/>
      <c r="BA8" s="332"/>
      <c r="BB8" s="332"/>
      <c r="BC8" s="332"/>
      <c r="BD8" s="332"/>
      <c r="BE8" s="332"/>
      <c r="BF8" s="332"/>
      <c r="BG8" s="332"/>
      <c r="BH8" s="332"/>
      <c r="BI8" s="332"/>
      <c r="BJ8" s="332"/>
      <c r="BK8" s="332"/>
      <c r="BL8" s="332"/>
      <c r="CJ8" s="165"/>
      <c r="CK8" s="165"/>
      <c r="CL8" s="165"/>
      <c r="CM8" s="165"/>
      <c r="CN8" s="165"/>
      <c r="CO8" s="165"/>
      <c r="CP8" s="165"/>
      <c r="CQ8" s="165"/>
      <c r="CR8" s="165"/>
      <c r="CS8" s="165"/>
      <c r="CT8" s="165"/>
      <c r="CU8" s="165"/>
      <c r="CV8" s="165"/>
      <c r="CW8" s="165"/>
      <c r="CX8" s="165"/>
      <c r="CY8" s="165"/>
      <c r="CZ8" s="165"/>
      <c r="DA8" s="165"/>
    </row>
    <row r="9" spans="1:105" s="168" customFormat="1" ht="32.450000000000003">
      <c r="A9" s="328"/>
      <c r="B9" s="329"/>
      <c r="C9" s="328"/>
      <c r="D9" s="328"/>
      <c r="E9" s="328"/>
      <c r="F9" s="328"/>
      <c r="G9" s="328"/>
      <c r="H9" s="328"/>
      <c r="I9" s="328"/>
      <c r="J9" s="328"/>
      <c r="K9" s="328"/>
      <c r="L9" s="328"/>
      <c r="M9" s="328"/>
      <c r="N9" s="330"/>
      <c r="O9" s="329"/>
      <c r="P9" s="329"/>
      <c r="Q9" s="329"/>
      <c r="R9" s="329"/>
      <c r="S9" s="329"/>
      <c r="T9" s="328"/>
      <c r="U9" s="328"/>
      <c r="V9" s="328"/>
      <c r="W9" s="328"/>
      <c r="X9" s="328"/>
      <c r="Y9" s="328"/>
      <c r="Z9" s="328"/>
      <c r="AA9" s="328"/>
      <c r="AB9" s="328"/>
      <c r="AC9" s="328"/>
      <c r="AD9" s="328"/>
      <c r="AE9" s="328"/>
      <c r="AF9" s="160"/>
      <c r="AG9" s="331"/>
      <c r="AH9" s="331"/>
      <c r="AI9" s="331"/>
      <c r="AJ9" s="331"/>
      <c r="AK9" s="331"/>
      <c r="BA9" s="332"/>
      <c r="BB9" s="332"/>
      <c r="BC9" s="332"/>
      <c r="BD9" s="332"/>
      <c r="BE9" s="332"/>
      <c r="BF9" s="332"/>
      <c r="BG9" s="332"/>
      <c r="BH9" s="332"/>
      <c r="BI9" s="332"/>
      <c r="BJ9" s="332"/>
      <c r="BK9" s="332"/>
      <c r="BL9" s="332"/>
      <c r="CJ9" s="165"/>
      <c r="CK9" s="165"/>
      <c r="CL9" s="165"/>
      <c r="CM9" s="165"/>
      <c r="CN9" s="165"/>
      <c r="CO9" s="165"/>
      <c r="CP9" s="165"/>
      <c r="CQ9" s="165"/>
      <c r="CR9" s="165"/>
      <c r="CS9" s="165"/>
      <c r="CT9" s="165"/>
      <c r="CU9" s="165"/>
      <c r="CV9" s="165"/>
      <c r="CW9" s="165"/>
      <c r="CX9" s="165"/>
      <c r="CY9" s="165"/>
      <c r="CZ9" s="165"/>
      <c r="DA9" s="165"/>
    </row>
    <row r="10" spans="1:105" s="168" customFormat="1" ht="32.450000000000003">
      <c r="A10" s="328"/>
      <c r="B10" s="329"/>
      <c r="C10" s="328"/>
      <c r="D10" s="328"/>
      <c r="E10" s="328"/>
      <c r="F10" s="328"/>
      <c r="G10" s="328"/>
      <c r="H10" s="328"/>
      <c r="I10" s="328"/>
      <c r="J10" s="328"/>
      <c r="K10" s="328"/>
      <c r="L10" s="328"/>
      <c r="M10" s="328"/>
      <c r="N10" s="330"/>
      <c r="O10" s="329"/>
      <c r="P10" s="329"/>
      <c r="Q10" s="329"/>
      <c r="R10" s="329"/>
      <c r="S10" s="329"/>
      <c r="T10" s="328"/>
      <c r="U10" s="328"/>
      <c r="V10" s="328"/>
      <c r="W10" s="328"/>
      <c r="X10" s="328"/>
      <c r="Y10" s="328"/>
      <c r="Z10" s="328"/>
      <c r="AA10" s="328"/>
      <c r="AB10" s="328"/>
      <c r="AC10" s="328"/>
      <c r="AD10" s="328"/>
      <c r="AE10" s="328"/>
      <c r="AF10" s="160"/>
      <c r="AG10" s="331"/>
      <c r="AH10" s="331"/>
      <c r="AI10" s="331"/>
      <c r="AJ10" s="331"/>
      <c r="AK10" s="331"/>
      <c r="BA10" s="332"/>
      <c r="BB10" s="332"/>
      <c r="BC10" s="332"/>
      <c r="BD10" s="332"/>
      <c r="BE10" s="332"/>
      <c r="BF10" s="332"/>
      <c r="BG10" s="332"/>
      <c r="BH10" s="332"/>
      <c r="BI10" s="332"/>
      <c r="BJ10" s="332"/>
      <c r="BK10" s="332"/>
      <c r="BL10" s="332"/>
      <c r="CJ10" s="165"/>
      <c r="CK10" s="165"/>
      <c r="CL10" s="165"/>
      <c r="CM10" s="165"/>
      <c r="CN10" s="165"/>
      <c r="CO10" s="165"/>
      <c r="CP10" s="165"/>
      <c r="CQ10" s="165"/>
      <c r="CR10" s="165"/>
      <c r="CS10" s="165"/>
      <c r="CT10" s="165"/>
      <c r="CU10" s="165"/>
      <c r="CV10" s="165"/>
      <c r="CW10" s="165"/>
      <c r="CX10" s="165"/>
      <c r="CY10" s="165"/>
      <c r="CZ10" s="165"/>
      <c r="DA10" s="165"/>
    </row>
    <row r="11" spans="1:105" s="168" customFormat="1" ht="32.450000000000003">
      <c r="A11" s="328"/>
      <c r="B11" s="329"/>
      <c r="C11" s="328"/>
      <c r="D11" s="328"/>
      <c r="E11" s="328"/>
      <c r="F11" s="328"/>
      <c r="G11" s="328"/>
      <c r="H11" s="328"/>
      <c r="I11" s="328"/>
      <c r="J11" s="328"/>
      <c r="K11" s="328"/>
      <c r="L11" s="328"/>
      <c r="M11" s="328"/>
      <c r="N11" s="330"/>
      <c r="O11" s="329"/>
      <c r="P11" s="329"/>
      <c r="Q11" s="329"/>
      <c r="R11" s="329"/>
      <c r="S11" s="329"/>
      <c r="T11" s="328"/>
      <c r="U11" s="328"/>
      <c r="V11" s="328"/>
      <c r="W11" s="328"/>
      <c r="X11" s="328"/>
      <c r="Y11" s="328"/>
      <c r="Z11" s="328"/>
      <c r="AA11" s="328"/>
      <c r="AB11" s="328"/>
      <c r="AC11" s="328"/>
      <c r="AD11" s="328"/>
      <c r="AE11" s="328"/>
      <c r="AF11" s="160"/>
      <c r="AG11" s="331"/>
      <c r="AH11" s="331"/>
      <c r="AI11" s="331"/>
      <c r="AJ11" s="331"/>
      <c r="AK11" s="331"/>
      <c r="BA11" s="332"/>
      <c r="BB11" s="332"/>
      <c r="BC11" s="332"/>
      <c r="BD11" s="332"/>
      <c r="BE11" s="332"/>
      <c r="BF11" s="332"/>
      <c r="BG11" s="332"/>
      <c r="BH11" s="332"/>
      <c r="BI11" s="332"/>
      <c r="BJ11" s="332"/>
      <c r="BK11" s="332"/>
      <c r="BL11" s="332"/>
      <c r="CJ11" s="165"/>
      <c r="CK11" s="165"/>
      <c r="CL11" s="165"/>
      <c r="CM11" s="165"/>
      <c r="CN11" s="165"/>
      <c r="CO11" s="165"/>
      <c r="CP11" s="165"/>
      <c r="CQ11" s="165"/>
      <c r="CR11" s="165"/>
      <c r="CS11" s="165"/>
      <c r="CT11" s="165"/>
      <c r="CU11" s="165"/>
      <c r="CV11" s="165"/>
      <c r="CW11" s="165"/>
      <c r="CX11" s="165"/>
      <c r="CY11" s="165"/>
      <c r="CZ11" s="165"/>
      <c r="DA11" s="165"/>
    </row>
    <row r="12" spans="1:105" s="168" customFormat="1" ht="32.450000000000003">
      <c r="A12" s="328"/>
      <c r="B12" s="329"/>
      <c r="C12" s="328"/>
      <c r="D12" s="328"/>
      <c r="E12" s="328"/>
      <c r="F12" s="328"/>
      <c r="G12" s="328"/>
      <c r="H12" s="328"/>
      <c r="I12" s="328"/>
      <c r="J12" s="328"/>
      <c r="K12" s="328"/>
      <c r="L12" s="328"/>
      <c r="M12" s="328"/>
      <c r="N12" s="330"/>
      <c r="O12" s="329"/>
      <c r="P12" s="329"/>
      <c r="Q12" s="329"/>
      <c r="R12" s="329"/>
      <c r="S12" s="329"/>
      <c r="T12" s="328"/>
      <c r="U12" s="328"/>
      <c r="V12" s="328"/>
      <c r="W12" s="328"/>
      <c r="X12" s="328"/>
      <c r="Y12" s="328"/>
      <c r="Z12" s="328"/>
      <c r="AA12" s="328"/>
      <c r="AB12" s="328"/>
      <c r="AC12" s="328"/>
      <c r="AD12" s="328"/>
      <c r="AE12" s="328"/>
      <c r="AF12" s="160"/>
      <c r="AG12" s="331"/>
      <c r="AH12" s="331"/>
      <c r="AI12" s="331"/>
      <c r="AJ12" s="331"/>
      <c r="AK12" s="331"/>
      <c r="BA12" s="332"/>
      <c r="BB12" s="332"/>
      <c r="BC12" s="332"/>
      <c r="BD12" s="332"/>
      <c r="BE12" s="332"/>
      <c r="BF12" s="332"/>
      <c r="BG12" s="332"/>
      <c r="BH12" s="332"/>
      <c r="BI12" s="332"/>
      <c r="BJ12" s="332"/>
      <c r="BK12" s="332"/>
      <c r="BL12" s="332"/>
      <c r="CJ12" s="165"/>
      <c r="CK12" s="165"/>
      <c r="CL12" s="165"/>
      <c r="CM12" s="165"/>
      <c r="CN12" s="165"/>
      <c r="CO12" s="165"/>
      <c r="CP12" s="165"/>
      <c r="CQ12" s="165"/>
      <c r="CR12" s="165"/>
      <c r="CS12" s="165"/>
      <c r="CT12" s="165"/>
      <c r="CU12" s="165"/>
      <c r="CV12" s="165"/>
      <c r="CW12" s="165"/>
      <c r="CX12" s="165"/>
      <c r="CY12" s="165"/>
      <c r="CZ12" s="165"/>
      <c r="DA12" s="165"/>
    </row>
    <row r="13" spans="1:105" s="168" customFormat="1" ht="32.450000000000003">
      <c r="A13" s="328"/>
      <c r="B13" s="329"/>
      <c r="C13" s="328"/>
      <c r="D13" s="328"/>
      <c r="E13" s="328"/>
      <c r="F13" s="328"/>
      <c r="G13" s="328"/>
      <c r="H13" s="328"/>
      <c r="I13" s="328"/>
      <c r="J13" s="328"/>
      <c r="K13" s="328"/>
      <c r="L13" s="328"/>
      <c r="M13" s="328"/>
      <c r="N13" s="330"/>
      <c r="O13" s="329"/>
      <c r="P13" s="329"/>
      <c r="Q13" s="329"/>
      <c r="R13" s="329"/>
      <c r="S13" s="329"/>
      <c r="T13" s="328"/>
      <c r="U13" s="328"/>
      <c r="V13" s="328"/>
      <c r="W13" s="328"/>
      <c r="X13" s="328"/>
      <c r="Y13" s="328"/>
      <c r="Z13" s="328"/>
      <c r="AA13" s="328"/>
      <c r="AB13" s="328"/>
      <c r="AC13" s="328"/>
      <c r="AD13" s="328"/>
      <c r="AE13" s="328"/>
      <c r="AF13" s="160"/>
      <c r="AG13" s="331"/>
      <c r="AH13" s="331"/>
      <c r="AI13" s="331"/>
      <c r="AJ13" s="331"/>
      <c r="AK13" s="331"/>
      <c r="BA13" s="332"/>
      <c r="BB13" s="332"/>
      <c r="BC13" s="332"/>
      <c r="BD13" s="332"/>
      <c r="BE13" s="332"/>
      <c r="BF13" s="332"/>
      <c r="BG13" s="332"/>
      <c r="BH13" s="332"/>
      <c r="BI13" s="332"/>
      <c r="BJ13" s="332"/>
      <c r="BK13" s="332"/>
      <c r="BL13" s="332"/>
    </row>
    <row r="14" spans="1:105" s="168" customFormat="1" ht="35.1" customHeight="1">
      <c r="A14" s="328"/>
      <c r="B14" s="329"/>
      <c r="C14" s="328"/>
      <c r="D14" s="328"/>
      <c r="E14" s="328"/>
      <c r="F14" s="328"/>
      <c r="G14" s="328"/>
      <c r="H14" s="328"/>
      <c r="I14" s="328"/>
      <c r="J14" s="328"/>
      <c r="K14" s="328"/>
      <c r="L14" s="328"/>
      <c r="M14" s="328"/>
      <c r="N14" s="330"/>
      <c r="O14" s="329"/>
      <c r="P14" s="329"/>
      <c r="Q14" s="329"/>
      <c r="R14" s="329"/>
      <c r="S14" s="329"/>
      <c r="T14" s="328"/>
      <c r="U14" s="328"/>
      <c r="V14" s="328"/>
      <c r="W14" s="328"/>
      <c r="X14" s="328"/>
      <c r="Y14" s="328"/>
      <c r="Z14" s="328"/>
      <c r="AA14" s="328"/>
      <c r="AB14" s="328"/>
      <c r="AC14" s="328"/>
      <c r="AD14" s="328"/>
      <c r="AE14" s="328"/>
      <c r="AF14" s="160"/>
      <c r="AG14" s="331"/>
      <c r="AH14" s="331"/>
      <c r="AI14" s="331"/>
      <c r="AJ14" s="331"/>
      <c r="AK14" s="331"/>
      <c r="BA14" s="332"/>
      <c r="BB14" s="332"/>
      <c r="BC14" s="332"/>
      <c r="BD14" s="332"/>
      <c r="BE14" s="332"/>
      <c r="BF14" s="332"/>
      <c r="BG14" s="332"/>
      <c r="BH14" s="332"/>
      <c r="BI14" s="332"/>
      <c r="BJ14" s="332"/>
      <c r="BK14" s="332"/>
      <c r="BL14" s="332"/>
      <c r="CJ14" s="394" t="s">
        <v>0</v>
      </c>
      <c r="CK14" s="395"/>
      <c r="CL14" s="395"/>
      <c r="CM14" s="395"/>
      <c r="CN14" s="395"/>
      <c r="CO14" s="395"/>
      <c r="CP14" s="395"/>
      <c r="CQ14" s="395"/>
      <c r="CR14" s="395"/>
      <c r="CS14" s="395"/>
      <c r="CT14" s="395"/>
      <c r="CU14" s="395"/>
      <c r="CV14" s="395"/>
      <c r="CW14" s="395"/>
      <c r="CX14" s="395"/>
      <c r="CY14" s="395"/>
      <c r="CZ14" s="395"/>
      <c r="DA14" s="395"/>
    </row>
    <row r="15" spans="1:105" s="168" customFormat="1" ht="56.1">
      <c r="A15" s="328"/>
      <c r="B15" s="329"/>
      <c r="C15" s="328"/>
      <c r="D15" s="328"/>
      <c r="E15" s="328"/>
      <c r="F15" s="328"/>
      <c r="G15" s="328"/>
      <c r="H15" s="328"/>
      <c r="I15" s="328"/>
      <c r="J15" s="328"/>
      <c r="K15" s="328"/>
      <c r="L15" s="328"/>
      <c r="M15" s="328"/>
      <c r="N15" s="330"/>
      <c r="O15" s="329"/>
      <c r="P15" s="329"/>
      <c r="Q15" s="329"/>
      <c r="R15" s="329"/>
      <c r="S15" s="329"/>
      <c r="T15" s="328"/>
      <c r="U15" s="328"/>
      <c r="V15" s="328"/>
      <c r="W15" s="328"/>
      <c r="X15" s="328"/>
      <c r="Y15" s="328"/>
      <c r="Z15" s="328"/>
      <c r="AA15" s="328"/>
      <c r="AB15" s="328"/>
      <c r="AC15" s="328"/>
      <c r="AD15" s="328"/>
      <c r="AE15" s="328"/>
      <c r="AF15" s="160"/>
      <c r="AG15" s="331"/>
      <c r="AH15" s="331"/>
      <c r="AI15" s="331"/>
      <c r="AJ15" s="331"/>
      <c r="AK15" s="331"/>
      <c r="BA15" s="332"/>
      <c r="BB15" s="332"/>
      <c r="BC15" s="332"/>
      <c r="BD15" s="332"/>
      <c r="BE15" s="332"/>
      <c r="BF15" s="332"/>
      <c r="BG15" s="332"/>
      <c r="BH15" s="332"/>
      <c r="BI15" s="332"/>
      <c r="BJ15" s="332"/>
      <c r="BK15" s="332"/>
      <c r="BL15" s="332"/>
      <c r="CJ15" s="356" t="s">
        <v>1</v>
      </c>
      <c r="CK15" s="356"/>
      <c r="CL15" s="356" t="s">
        <v>2</v>
      </c>
      <c r="CM15" s="356"/>
      <c r="CN15" s="356" t="s">
        <v>3</v>
      </c>
      <c r="CO15" s="356"/>
      <c r="CP15" s="356" t="s">
        <v>4</v>
      </c>
      <c r="CQ15" s="356"/>
      <c r="CR15" s="356" t="s">
        <v>5</v>
      </c>
      <c r="CS15" s="356"/>
      <c r="CT15" s="356" t="s">
        <v>6</v>
      </c>
      <c r="CU15" s="356"/>
      <c r="CV15" s="356" t="s">
        <v>7</v>
      </c>
      <c r="CW15" s="356"/>
      <c r="CX15" s="356" t="s">
        <v>8</v>
      </c>
      <c r="CY15" s="356"/>
      <c r="CZ15" s="356" t="s">
        <v>9</v>
      </c>
      <c r="DA15" s="356"/>
    </row>
    <row r="16" spans="1:105" ht="129.94999999999999">
      <c r="A16" s="323" t="s">
        <v>10</v>
      </c>
      <c r="B16" s="324" t="s">
        <v>1040</v>
      </c>
      <c r="C16" s="323" t="s">
        <v>11</v>
      </c>
      <c r="D16" s="323" t="s">
        <v>12</v>
      </c>
      <c r="E16" s="323" t="s">
        <v>13</v>
      </c>
      <c r="F16" s="323" t="s">
        <v>14</v>
      </c>
      <c r="G16" s="323" t="s">
        <v>15</v>
      </c>
      <c r="H16" s="323" t="s">
        <v>16</v>
      </c>
      <c r="I16" s="323" t="s">
        <v>17</v>
      </c>
      <c r="J16" s="323" t="s">
        <v>18</v>
      </c>
      <c r="K16" s="323" t="s">
        <v>19</v>
      </c>
      <c r="L16" s="323" t="s">
        <v>20</v>
      </c>
      <c r="M16" s="323" t="s">
        <v>21</v>
      </c>
      <c r="N16" s="325" t="s">
        <v>1191</v>
      </c>
      <c r="O16" s="324" t="s">
        <v>1192</v>
      </c>
      <c r="P16" s="324" t="s">
        <v>1193</v>
      </c>
      <c r="Q16" s="324" t="s">
        <v>669</v>
      </c>
      <c r="R16" s="324" t="s">
        <v>1195</v>
      </c>
      <c r="S16" s="324" t="s">
        <v>27</v>
      </c>
      <c r="T16" s="323" t="s">
        <v>28</v>
      </c>
      <c r="U16" s="323" t="s">
        <v>30</v>
      </c>
      <c r="V16" s="323" t="s">
        <v>1047</v>
      </c>
      <c r="W16" s="323" t="s">
        <v>31</v>
      </c>
      <c r="X16" s="323" t="s">
        <v>32</v>
      </c>
      <c r="Y16" s="323" t="s">
        <v>33</v>
      </c>
      <c r="Z16" s="323" t="s">
        <v>34</v>
      </c>
      <c r="AA16" s="323" t="s">
        <v>35</v>
      </c>
      <c r="AB16" s="323" t="s">
        <v>36</v>
      </c>
      <c r="AC16" s="323" t="s">
        <v>1048</v>
      </c>
      <c r="AD16" s="323" t="s">
        <v>1049</v>
      </c>
      <c r="AE16" s="323" t="s">
        <v>38</v>
      </c>
      <c r="AF16" s="160"/>
      <c r="AG16" s="326" t="s">
        <v>30</v>
      </c>
      <c r="AH16" s="326" t="s">
        <v>31</v>
      </c>
      <c r="AI16" s="326" t="s">
        <v>32</v>
      </c>
      <c r="AJ16" s="326" t="s">
        <v>33</v>
      </c>
      <c r="AK16" s="326" t="s">
        <v>272</v>
      </c>
      <c r="BA16" s="327" t="s">
        <v>40</v>
      </c>
      <c r="BB16" s="327" t="s">
        <v>41</v>
      </c>
      <c r="BC16" s="327" t="s">
        <v>42</v>
      </c>
      <c r="BD16" s="327" t="s">
        <v>43</v>
      </c>
      <c r="BE16" s="327" t="s">
        <v>44</v>
      </c>
      <c r="BF16" s="327" t="s">
        <v>45</v>
      </c>
      <c r="BG16" s="327" t="s">
        <v>46</v>
      </c>
      <c r="BH16" s="1" t="s">
        <v>47</v>
      </c>
      <c r="BI16" s="327" t="s">
        <v>48</v>
      </c>
      <c r="BJ16" s="327" t="s">
        <v>49</v>
      </c>
      <c r="BK16" s="327" t="s">
        <v>13</v>
      </c>
      <c r="BL16" s="327" t="s">
        <v>50</v>
      </c>
      <c r="BR16" s="321" t="s">
        <v>38</v>
      </c>
      <c r="BS16" s="194" t="s">
        <v>39</v>
      </c>
      <c r="BT16" s="194" t="s">
        <v>53</v>
      </c>
      <c r="CJ16" s="357" t="s">
        <v>54</v>
      </c>
      <c r="CK16" s="357" t="s">
        <v>55</v>
      </c>
      <c r="CL16" s="357" t="s">
        <v>54</v>
      </c>
      <c r="CM16" s="357" t="s">
        <v>55</v>
      </c>
      <c r="CN16" s="357" t="s">
        <v>54</v>
      </c>
      <c r="CO16" s="357" t="s">
        <v>55</v>
      </c>
      <c r="CP16" s="357" t="s">
        <v>54</v>
      </c>
      <c r="CQ16" s="357" t="s">
        <v>55</v>
      </c>
      <c r="CR16" s="357" t="s">
        <v>54</v>
      </c>
      <c r="CS16" s="357" t="s">
        <v>55</v>
      </c>
      <c r="CT16" s="357" t="s">
        <v>54</v>
      </c>
      <c r="CU16" s="357" t="s">
        <v>55</v>
      </c>
      <c r="CV16" s="357" t="s">
        <v>54</v>
      </c>
      <c r="CW16" s="357" t="s">
        <v>55</v>
      </c>
      <c r="CX16" s="357" t="s">
        <v>54</v>
      </c>
      <c r="CY16" s="357" t="s">
        <v>55</v>
      </c>
      <c r="CZ16" s="357" t="s">
        <v>54</v>
      </c>
      <c r="DA16" s="357" t="s">
        <v>55</v>
      </c>
    </row>
    <row r="17" spans="1:105" ht="65.099999999999994">
      <c r="A17" s="81">
        <v>30</v>
      </c>
      <c r="B17" s="81">
        <v>2</v>
      </c>
      <c r="C17" s="148">
        <v>46241</v>
      </c>
      <c r="D17" s="81" t="s">
        <v>277</v>
      </c>
      <c r="E17" s="149" t="s">
        <v>1359</v>
      </c>
      <c r="F17" s="91" t="s">
        <v>176</v>
      </c>
      <c r="G17" s="81" t="s">
        <v>1360</v>
      </c>
      <c r="H17" s="81" t="s">
        <v>1361</v>
      </c>
      <c r="I17" s="134"/>
      <c r="J17" s="81" t="s">
        <v>636</v>
      </c>
      <c r="K17" s="81" t="s">
        <v>1187</v>
      </c>
      <c r="L17" s="81" t="s">
        <v>281</v>
      </c>
      <c r="M17" s="81">
        <v>2</v>
      </c>
      <c r="N17" s="150">
        <v>0.95</v>
      </c>
      <c r="O17" s="150" t="e">
        <f ca="1">N17*$O$17</f>
        <v>#VALUE!</v>
      </c>
      <c r="P17" s="150">
        <f>N17*1.1</f>
        <v>1.0449999999999999</v>
      </c>
      <c r="Q17" s="150" t="e">
        <f ca="1">N17*$Q$18</f>
        <v>#VALUE!</v>
      </c>
      <c r="R17" s="150" t="e">
        <f ca="1">Q17*0.35</f>
        <v>#VALUE!</v>
      </c>
      <c r="S17" s="150" t="e">
        <f ca="1">(Q17+R17)*25.92%</f>
        <v>#VALUE!</v>
      </c>
      <c r="T17" s="151" t="e">
        <f ca="1">Q17+R17+S17</f>
        <v>#VALUE!</v>
      </c>
      <c r="U17" s="88">
        <v>79</v>
      </c>
      <c r="V17" s="150">
        <f>+U17/1.16</f>
        <v>68.103448275862078</v>
      </c>
      <c r="W17" s="125">
        <f>+V17*0.6</f>
        <v>40.862068965517246</v>
      </c>
      <c r="X17" s="143" t="e">
        <f ca="1">T17/W17</f>
        <v>#VALUE!</v>
      </c>
      <c r="Y17" s="153" t="e">
        <f ca="1">1-T17/W17</f>
        <v>#VALUE!</v>
      </c>
      <c r="Z17" s="153">
        <f>1-(W17/(U17/1.16))</f>
        <v>0.4</v>
      </c>
      <c r="AA17" s="81" t="s">
        <v>625</v>
      </c>
      <c r="AB17" s="81" t="s">
        <v>99</v>
      </c>
      <c r="AC17" s="81"/>
      <c r="AD17" s="81"/>
      <c r="AE17" s="81"/>
      <c r="AF17" s="146"/>
      <c r="AG17" s="157">
        <v>49</v>
      </c>
      <c r="AH17" s="150">
        <f>AG17/1.16</f>
        <v>42.241379310344833</v>
      </c>
      <c r="AI17" s="130" t="e">
        <f ca="1">T17/AH17</f>
        <v>#VALUE!</v>
      </c>
      <c r="AJ17" s="130" t="e">
        <f ca="1">1-(T17/AH17)</f>
        <v>#VALUE!</v>
      </c>
      <c r="AK17" s="33">
        <f>1-(AH17/(AG17/1.16))</f>
        <v>0</v>
      </c>
      <c r="BA17" s="3">
        <v>1</v>
      </c>
      <c r="BB17" s="3">
        <v>1</v>
      </c>
      <c r="BC17" s="3"/>
      <c r="BD17" s="3">
        <v>1</v>
      </c>
      <c r="BE17" s="3">
        <v>1</v>
      </c>
      <c r="BF17" s="3"/>
      <c r="BG17" s="3"/>
      <c r="BH17" s="3"/>
      <c r="BI17" s="3"/>
      <c r="BJ17" s="3">
        <v>9</v>
      </c>
      <c r="BK17" s="3">
        <f>SUM(BA17:BI17)</f>
        <v>4</v>
      </c>
      <c r="BL17" s="4">
        <f>+BK17/BJ17</f>
        <v>0.44444444444444442</v>
      </c>
      <c r="BR17" s="322"/>
      <c r="BS17" s="81"/>
      <c r="BT17" s="81"/>
      <c r="CJ17" s="358">
        <v>45809</v>
      </c>
      <c r="CK17" s="358">
        <v>45809</v>
      </c>
      <c r="CL17" s="278"/>
      <c r="CM17" s="278"/>
      <c r="CN17" s="278"/>
      <c r="CO17" s="278"/>
      <c r="CP17" s="268"/>
      <c r="CQ17" s="268"/>
      <c r="CR17" s="267"/>
      <c r="CS17" s="267"/>
      <c r="CT17" s="267"/>
      <c r="CU17" s="267"/>
      <c r="CV17" s="267"/>
      <c r="CW17" s="267"/>
      <c r="CX17" s="267"/>
      <c r="CY17" s="267"/>
      <c r="CZ17" s="267"/>
      <c r="DA17" s="267"/>
    </row>
    <row r="18" spans="1:105" ht="97.5">
      <c r="A18" s="81">
        <v>31</v>
      </c>
      <c r="B18" s="81">
        <v>2</v>
      </c>
      <c r="C18" s="148">
        <v>46241</v>
      </c>
      <c r="D18" s="81" t="s">
        <v>277</v>
      </c>
      <c r="E18" s="149" t="s">
        <v>1359</v>
      </c>
      <c r="F18" s="91" t="s">
        <v>176</v>
      </c>
      <c r="G18" s="81" t="s">
        <v>1362</v>
      </c>
      <c r="H18" s="81" t="s">
        <v>1363</v>
      </c>
      <c r="I18" s="161"/>
      <c r="J18" s="81" t="s">
        <v>636</v>
      </c>
      <c r="K18" s="81" t="s">
        <v>1187</v>
      </c>
      <c r="L18" s="81" t="s">
        <v>281</v>
      </c>
      <c r="M18" s="81">
        <v>2</v>
      </c>
      <c r="N18" s="150">
        <v>0.91</v>
      </c>
      <c r="O18" s="150" t="e">
        <f ca="1">N18*$O$17</f>
        <v>#VALUE!</v>
      </c>
      <c r="P18" s="150">
        <f>N18*1.1</f>
        <v>1.0010000000000001</v>
      </c>
      <c r="Q18" s="150" t="e">
        <f ca="1">N18*$Q$18</f>
        <v>#VALUE!</v>
      </c>
      <c r="R18" s="150" t="e">
        <f ca="1">Q18*0.25</f>
        <v>#VALUE!</v>
      </c>
      <c r="S18" s="150" t="e">
        <f ca="1">(Q18+R18)*27.06%</f>
        <v>#VALUE!</v>
      </c>
      <c r="T18" s="151" t="e">
        <f ca="1">Q18+R18+S18</f>
        <v>#VALUE!</v>
      </c>
      <c r="U18" s="88">
        <v>79</v>
      </c>
      <c r="V18" s="150">
        <f>+U18/1.16</f>
        <v>68.103448275862078</v>
      </c>
      <c r="W18" s="125">
        <f>+V18*0.6</f>
        <v>40.862068965517246</v>
      </c>
      <c r="X18" s="143" t="e">
        <f ca="1">T18/W18</f>
        <v>#VALUE!</v>
      </c>
      <c r="Y18" s="153" t="e">
        <f ca="1">1-T18/W18</f>
        <v>#VALUE!</v>
      </c>
      <c r="Z18" s="153">
        <f>1-(W18/(U18/1.16))</f>
        <v>0.4</v>
      </c>
      <c r="AA18" s="81" t="s">
        <v>625</v>
      </c>
      <c r="AB18" s="81" t="s">
        <v>99</v>
      </c>
      <c r="AC18" s="81"/>
      <c r="AD18" s="81"/>
      <c r="AE18" s="81"/>
      <c r="AF18" s="146"/>
      <c r="AG18" s="157">
        <v>49</v>
      </c>
      <c r="AH18" s="150">
        <f>AG18/1.16</f>
        <v>42.241379310344833</v>
      </c>
      <c r="AI18" s="130" t="e">
        <f ca="1">T18/AH18</f>
        <v>#VALUE!</v>
      </c>
      <c r="AJ18" s="130" t="e">
        <f ca="1">1-(T18/AH18)</f>
        <v>#VALUE!</v>
      </c>
      <c r="AK18" s="33">
        <f>1-(AH18/(AG18/1.16))</f>
        <v>0</v>
      </c>
      <c r="BA18" s="3">
        <v>1</v>
      </c>
      <c r="BB18" s="3">
        <v>1</v>
      </c>
      <c r="BC18" s="3"/>
      <c r="BD18" s="3">
        <v>1</v>
      </c>
      <c r="BE18" s="3">
        <v>1</v>
      </c>
      <c r="BF18" s="3"/>
      <c r="BG18" s="3"/>
      <c r="BH18" s="3"/>
      <c r="BI18" s="3"/>
      <c r="BJ18" s="3">
        <v>9</v>
      </c>
      <c r="BK18" s="3">
        <f>SUM(BA18:BI18)</f>
        <v>4</v>
      </c>
      <c r="BL18" s="4">
        <f>+BK18/BJ18</f>
        <v>0.44444444444444442</v>
      </c>
      <c r="CJ18" s="278"/>
      <c r="CK18" s="278"/>
      <c r="CL18" s="278"/>
      <c r="CM18" s="278"/>
      <c r="CN18" s="278"/>
      <c r="CO18" s="278"/>
      <c r="CP18" s="268"/>
      <c r="CQ18" s="268"/>
      <c r="CR18" s="267"/>
      <c r="CS18" s="267"/>
      <c r="CT18" s="267"/>
      <c r="CU18" s="267"/>
      <c r="CV18" s="267"/>
      <c r="CW18" s="267"/>
      <c r="CX18" s="267"/>
      <c r="CY18" s="267"/>
      <c r="CZ18" s="267"/>
      <c r="DA18" s="267"/>
    </row>
    <row r="19" spans="1:105">
      <c r="CJ19" s="278"/>
      <c r="CK19" s="278"/>
      <c r="CL19" s="278"/>
      <c r="CM19" s="278"/>
      <c r="CN19" s="278"/>
      <c r="CO19" s="278"/>
      <c r="CP19" s="268"/>
      <c r="CQ19" s="268"/>
      <c r="CR19" s="267"/>
      <c r="CS19" s="267"/>
      <c r="CT19" s="267"/>
      <c r="CU19" s="267"/>
      <c r="CV19" s="267"/>
      <c r="CW19" s="267"/>
      <c r="CX19" s="267"/>
      <c r="CY19" s="267"/>
      <c r="CZ19" s="267"/>
      <c r="DA19" s="267"/>
    </row>
    <row r="20" spans="1:105">
      <c r="CJ20" s="278"/>
      <c r="CK20" s="278"/>
      <c r="CL20" s="278"/>
      <c r="CM20" s="278"/>
      <c r="CN20" s="278"/>
      <c r="CO20" s="278"/>
      <c r="CP20" s="268"/>
      <c r="CQ20" s="268"/>
      <c r="CR20" s="267"/>
      <c r="CS20" s="267"/>
      <c r="CT20" s="267"/>
      <c r="CU20" s="267"/>
      <c r="CV20" s="267"/>
      <c r="CW20" s="267"/>
      <c r="CX20" s="267"/>
      <c r="CY20" s="267"/>
      <c r="CZ20" s="267"/>
      <c r="DA20" s="267"/>
    </row>
    <row r="21" spans="1:105">
      <c r="CJ21" s="278"/>
      <c r="CK21" s="278"/>
      <c r="CL21" s="278"/>
      <c r="CM21" s="278"/>
      <c r="CN21" s="278"/>
      <c r="CO21" s="278"/>
      <c r="CP21" s="268"/>
      <c r="CQ21" s="268"/>
      <c r="CR21" s="267"/>
      <c r="CS21" s="267"/>
      <c r="CT21" s="267"/>
      <c r="CU21" s="267"/>
      <c r="CV21" s="267"/>
      <c r="CW21" s="267"/>
      <c r="CX21" s="267"/>
      <c r="CY21" s="267"/>
      <c r="CZ21" s="267"/>
      <c r="DA21" s="267"/>
    </row>
    <row r="22" spans="1:105">
      <c r="CJ22" s="278"/>
      <c r="CK22" s="278"/>
      <c r="CL22" s="278"/>
      <c r="CM22" s="278"/>
      <c r="CN22" s="278"/>
      <c r="CO22" s="278"/>
      <c r="CP22" s="268"/>
      <c r="CQ22" s="268"/>
      <c r="CR22" s="267"/>
      <c r="CS22" s="267"/>
      <c r="CT22" s="267"/>
      <c r="CU22" s="267"/>
      <c r="CV22" s="267"/>
      <c r="CW22" s="267"/>
      <c r="CX22" s="267"/>
      <c r="CY22" s="267"/>
      <c r="CZ22" s="267"/>
      <c r="DA22" s="267"/>
    </row>
    <row r="23" spans="1:105">
      <c r="CJ23" s="278"/>
      <c r="CK23" s="278"/>
      <c r="CL23" s="278"/>
      <c r="CM23" s="278"/>
      <c r="CN23" s="278"/>
      <c r="CO23" s="278"/>
      <c r="CP23" s="268"/>
      <c r="CQ23" s="268"/>
      <c r="CR23" s="267"/>
      <c r="CS23" s="267"/>
      <c r="CT23" s="267"/>
      <c r="CU23" s="267"/>
      <c r="CV23" s="267"/>
      <c r="CW23" s="267"/>
      <c r="CX23" s="267"/>
      <c r="CY23" s="267"/>
      <c r="CZ23" s="267"/>
      <c r="DA23" s="267"/>
    </row>
    <row r="24" spans="1:105">
      <c r="CJ24" s="278"/>
      <c r="CK24" s="278"/>
      <c r="CL24" s="278"/>
      <c r="CM24" s="278"/>
      <c r="CN24" s="278"/>
      <c r="CO24" s="278"/>
      <c r="CP24" s="268"/>
      <c r="CQ24" s="268"/>
      <c r="CR24" s="267"/>
      <c r="CS24" s="267"/>
      <c r="CT24" s="267"/>
      <c r="CU24" s="267"/>
      <c r="CV24" s="267"/>
      <c r="CW24" s="267"/>
      <c r="CX24" s="267"/>
      <c r="CY24" s="267"/>
      <c r="CZ24" s="267"/>
      <c r="DA24" s="267"/>
    </row>
    <row r="25" spans="1:105">
      <c r="CJ25" s="278"/>
      <c r="CK25" s="278"/>
      <c r="CL25" s="278"/>
      <c r="CM25" s="278"/>
      <c r="CN25" s="278"/>
      <c r="CO25" s="278"/>
      <c r="CP25" s="268"/>
      <c r="CQ25" s="268"/>
      <c r="CR25" s="267"/>
      <c r="CS25" s="267"/>
      <c r="CT25" s="267"/>
      <c r="CU25" s="267"/>
      <c r="CV25" s="267"/>
      <c r="CW25" s="267"/>
      <c r="CX25" s="267"/>
      <c r="CY25" s="267"/>
      <c r="CZ25" s="267"/>
      <c r="DA25" s="267"/>
    </row>
    <row r="26" spans="1:105">
      <c r="CJ26" s="278"/>
      <c r="CK26" s="278"/>
      <c r="CL26" s="278"/>
      <c r="CM26" s="278"/>
      <c r="CN26" s="278"/>
      <c r="CO26" s="278"/>
      <c r="CP26" s="268"/>
      <c r="CQ26" s="268"/>
      <c r="CR26" s="267"/>
      <c r="CS26" s="267"/>
      <c r="CT26" s="267"/>
      <c r="CU26" s="267"/>
      <c r="CV26" s="267"/>
      <c r="CW26" s="267"/>
      <c r="CX26" s="267"/>
      <c r="CY26" s="267"/>
      <c r="CZ26" s="267"/>
      <c r="DA26" s="267"/>
    </row>
    <row r="27" spans="1:105">
      <c r="CJ27" s="278"/>
      <c r="CK27" s="278"/>
      <c r="CL27" s="278"/>
      <c r="CM27" s="278"/>
      <c r="CN27" s="278"/>
      <c r="CO27" s="278"/>
      <c r="CP27" s="268"/>
      <c r="CQ27" s="268"/>
      <c r="CR27" s="267"/>
      <c r="CS27" s="267"/>
      <c r="CT27" s="267"/>
      <c r="CU27" s="267"/>
      <c r="CV27" s="267"/>
      <c r="CW27" s="267"/>
      <c r="CX27" s="267"/>
      <c r="CY27" s="267"/>
      <c r="CZ27" s="267"/>
      <c r="DA27" s="267"/>
    </row>
    <row r="28" spans="1:105">
      <c r="CJ28" s="278"/>
      <c r="CK28" s="278"/>
      <c r="CL28" s="278"/>
      <c r="CM28" s="278"/>
      <c r="CN28" s="278"/>
      <c r="CO28" s="278"/>
      <c r="CP28" s="268"/>
      <c r="CQ28" s="268"/>
      <c r="CR28" s="267"/>
      <c r="CS28" s="267"/>
      <c r="CT28" s="267"/>
      <c r="CU28" s="267"/>
      <c r="CV28" s="267"/>
      <c r="CW28" s="267"/>
      <c r="CX28" s="267"/>
      <c r="CY28" s="267"/>
      <c r="CZ28" s="267"/>
      <c r="DA28" s="267"/>
    </row>
    <row r="29" spans="1:105">
      <c r="CJ29" s="278"/>
      <c r="CK29" s="278"/>
      <c r="CL29" s="278"/>
      <c r="CM29" s="278"/>
      <c r="CN29" s="278"/>
      <c r="CO29" s="278"/>
      <c r="CP29" s="268"/>
      <c r="CQ29" s="268"/>
      <c r="CR29" s="267"/>
      <c r="CS29" s="267"/>
      <c r="CT29" s="267"/>
      <c r="CU29" s="267"/>
      <c r="CV29" s="267"/>
      <c r="CW29" s="267"/>
      <c r="CX29" s="267"/>
      <c r="CY29" s="267"/>
      <c r="CZ29" s="267"/>
      <c r="DA29" s="267"/>
    </row>
    <row r="30" spans="1:105">
      <c r="CJ30" s="278"/>
      <c r="CK30" s="278"/>
      <c r="CL30" s="278"/>
      <c r="CM30" s="278"/>
      <c r="CN30" s="278"/>
      <c r="CO30" s="278"/>
      <c r="CP30" s="268"/>
      <c r="CQ30" s="268"/>
      <c r="CR30" s="267"/>
      <c r="CS30" s="267"/>
      <c r="CT30" s="267"/>
      <c r="CU30" s="267"/>
      <c r="CV30" s="267"/>
      <c r="CW30" s="267"/>
      <c r="CX30" s="267"/>
      <c r="CY30" s="267"/>
      <c r="CZ30" s="267"/>
      <c r="DA30" s="267"/>
    </row>
    <row r="31" spans="1:105">
      <c r="CJ31" s="278"/>
      <c r="CK31" s="278"/>
      <c r="CL31" s="278"/>
      <c r="CM31" s="278"/>
      <c r="CN31" s="278"/>
      <c r="CO31" s="278"/>
      <c r="CP31" s="268"/>
      <c r="CQ31" s="268"/>
      <c r="CR31" s="267"/>
      <c r="CS31" s="267"/>
      <c r="CT31" s="267"/>
      <c r="CU31" s="267"/>
      <c r="CV31" s="267"/>
      <c r="CW31" s="267"/>
      <c r="CX31" s="267"/>
      <c r="CY31" s="267"/>
      <c r="CZ31" s="267"/>
      <c r="DA31" s="267"/>
    </row>
    <row r="32" spans="1:105">
      <c r="CJ32" s="278"/>
      <c r="CK32" s="278"/>
      <c r="CL32" s="278"/>
      <c r="CM32" s="278"/>
      <c r="CN32" s="278"/>
      <c r="CO32" s="278"/>
      <c r="CP32" s="268"/>
      <c r="CQ32" s="268"/>
      <c r="CR32" s="267"/>
      <c r="CS32" s="267"/>
      <c r="CT32" s="267"/>
      <c r="CU32" s="267"/>
      <c r="CV32" s="267"/>
      <c r="CW32" s="267"/>
      <c r="CX32" s="267"/>
      <c r="CY32" s="267"/>
      <c r="CZ32" s="267"/>
      <c r="DA32" s="267"/>
    </row>
    <row r="33" spans="88:105">
      <c r="CJ33" s="278"/>
      <c r="CK33" s="278"/>
      <c r="CL33" s="278"/>
      <c r="CM33" s="278"/>
      <c r="CN33" s="278"/>
      <c r="CO33" s="278"/>
      <c r="CP33" s="268"/>
      <c r="CQ33" s="268"/>
      <c r="CR33" s="267"/>
      <c r="CS33" s="267"/>
      <c r="CT33" s="267"/>
      <c r="CU33" s="267"/>
      <c r="CV33" s="267"/>
      <c r="CW33" s="267"/>
      <c r="CX33" s="267"/>
      <c r="CY33" s="267"/>
      <c r="CZ33" s="267"/>
      <c r="DA33" s="267"/>
    </row>
    <row r="34" spans="88:105">
      <c r="CJ34" s="278"/>
      <c r="CK34" s="278"/>
      <c r="CL34" s="278"/>
      <c r="CM34" s="278"/>
      <c r="CN34" s="278"/>
      <c r="CO34" s="278"/>
      <c r="CP34" s="268"/>
      <c r="CQ34" s="268"/>
      <c r="CR34" s="267"/>
      <c r="CS34" s="267"/>
      <c r="CT34" s="267"/>
      <c r="CU34" s="267"/>
      <c r="CV34" s="267"/>
      <c r="CW34" s="267"/>
      <c r="CX34" s="267"/>
      <c r="CY34" s="267"/>
      <c r="CZ34" s="267"/>
      <c r="DA34" s="267"/>
    </row>
    <row r="35" spans="88:105">
      <c r="CJ35" s="278"/>
      <c r="CK35" s="278"/>
      <c r="CL35" s="278"/>
      <c r="CM35" s="278"/>
      <c r="CN35" s="278"/>
      <c r="CO35" s="278"/>
      <c r="CP35" s="268"/>
      <c r="CQ35" s="268"/>
      <c r="CR35" s="267"/>
      <c r="CS35" s="267"/>
      <c r="CT35" s="267"/>
      <c r="CU35" s="267"/>
      <c r="CV35" s="267"/>
      <c r="CW35" s="267"/>
      <c r="CX35" s="267"/>
      <c r="CY35" s="267"/>
      <c r="CZ35" s="267"/>
      <c r="DA35" s="267"/>
    </row>
    <row r="36" spans="88:105">
      <c r="CJ36" s="278"/>
      <c r="CK36" s="278"/>
      <c r="CL36" s="278"/>
      <c r="CM36" s="278"/>
      <c r="CN36" s="278"/>
      <c r="CO36" s="278"/>
      <c r="CP36" s="268"/>
      <c r="CQ36" s="268"/>
      <c r="CR36" s="267"/>
      <c r="CS36" s="267"/>
      <c r="CT36" s="267"/>
      <c r="CU36" s="267"/>
      <c r="CV36" s="267"/>
      <c r="CW36" s="267"/>
      <c r="CX36" s="267"/>
      <c r="CY36" s="267"/>
      <c r="CZ36" s="267"/>
      <c r="DA36" s="267"/>
    </row>
    <row r="37" spans="88:105">
      <c r="CJ37" s="278"/>
      <c r="CK37" s="278"/>
      <c r="CL37" s="278"/>
      <c r="CM37" s="278"/>
      <c r="CN37" s="278"/>
      <c r="CO37" s="278"/>
      <c r="CP37" s="268"/>
      <c r="CQ37" s="268"/>
      <c r="CR37" s="267"/>
      <c r="CS37" s="267"/>
      <c r="CT37" s="267"/>
      <c r="CU37" s="267"/>
      <c r="CV37" s="267"/>
      <c r="CW37" s="267"/>
      <c r="CX37" s="267"/>
      <c r="CY37" s="267"/>
      <c r="CZ37" s="267"/>
      <c r="DA37" s="267"/>
    </row>
    <row r="38" spans="88:105">
      <c r="CJ38" s="278"/>
      <c r="CK38" s="278"/>
      <c r="CL38" s="278"/>
      <c r="CM38" s="278"/>
      <c r="CN38" s="278"/>
      <c r="CO38" s="278"/>
      <c r="CP38" s="268"/>
      <c r="CQ38" s="268"/>
      <c r="CR38" s="267"/>
      <c r="CS38" s="267"/>
      <c r="CT38" s="267"/>
      <c r="CU38" s="267"/>
      <c r="CV38" s="267"/>
      <c r="CW38" s="267"/>
      <c r="CX38" s="267"/>
      <c r="CY38" s="267"/>
      <c r="CZ38" s="267"/>
      <c r="DA38" s="267"/>
    </row>
    <row r="39" spans="88:105">
      <c r="CJ39" s="278"/>
      <c r="CK39" s="278"/>
      <c r="CL39" s="278"/>
      <c r="CM39" s="278"/>
      <c r="CN39" s="278"/>
      <c r="CO39" s="278"/>
      <c r="CP39" s="268"/>
      <c r="CQ39" s="268"/>
      <c r="CR39" s="267"/>
      <c r="CS39" s="267"/>
      <c r="CT39" s="267"/>
      <c r="CU39" s="267"/>
      <c r="CV39" s="267"/>
      <c r="CW39" s="267"/>
      <c r="CX39" s="267"/>
      <c r="CY39" s="267"/>
      <c r="CZ39" s="267"/>
      <c r="DA39" s="267"/>
    </row>
    <row r="40" spans="88:105">
      <c r="CJ40" s="278"/>
      <c r="CK40" s="278"/>
      <c r="CL40" s="278"/>
      <c r="CM40" s="278"/>
      <c r="CN40" s="278"/>
      <c r="CO40" s="278"/>
      <c r="CP40" s="268"/>
      <c r="CQ40" s="268"/>
      <c r="CR40" s="267"/>
      <c r="CS40" s="267"/>
      <c r="CT40" s="267"/>
      <c r="CU40" s="267"/>
      <c r="CV40" s="267"/>
      <c r="CW40" s="267"/>
      <c r="CX40" s="267"/>
      <c r="CY40" s="267"/>
      <c r="CZ40" s="267"/>
      <c r="DA40" s="267"/>
    </row>
    <row r="41" spans="88:105">
      <c r="CJ41" s="278"/>
      <c r="CK41" s="278"/>
      <c r="CL41" s="278"/>
      <c r="CM41" s="278"/>
      <c r="CN41" s="278"/>
      <c r="CO41" s="278"/>
      <c r="CP41" s="268"/>
      <c r="CQ41" s="268"/>
      <c r="CR41" s="267"/>
      <c r="CS41" s="267"/>
      <c r="CT41" s="267"/>
      <c r="CU41" s="267"/>
      <c r="CV41" s="267"/>
      <c r="CW41" s="267"/>
      <c r="CX41" s="267"/>
      <c r="CY41" s="267"/>
      <c r="CZ41" s="267"/>
      <c r="DA41" s="267"/>
    </row>
    <row r="42" spans="88:105">
      <c r="CJ42" s="278"/>
      <c r="CK42" s="278"/>
      <c r="CL42" s="278"/>
      <c r="CM42" s="278"/>
      <c r="CN42" s="278"/>
      <c r="CO42" s="278"/>
      <c r="CP42" s="268"/>
      <c r="CQ42" s="268"/>
      <c r="CR42" s="267"/>
      <c r="CS42" s="267"/>
      <c r="CT42" s="267"/>
      <c r="CU42" s="267"/>
      <c r="CV42" s="267"/>
      <c r="CW42" s="267"/>
      <c r="CX42" s="267"/>
      <c r="CY42" s="267"/>
      <c r="CZ42" s="267"/>
      <c r="DA42" s="267"/>
    </row>
    <row r="43" spans="88:105">
      <c r="CJ43" s="278"/>
      <c r="CK43" s="278"/>
      <c r="CL43" s="278"/>
      <c r="CM43" s="278"/>
      <c r="CN43" s="278"/>
      <c r="CO43" s="278"/>
      <c r="CP43" s="268"/>
      <c r="CQ43" s="268"/>
      <c r="CR43" s="267"/>
      <c r="CS43" s="267"/>
      <c r="CT43" s="267"/>
      <c r="CU43" s="267"/>
      <c r="CV43" s="267"/>
      <c r="CW43" s="267"/>
      <c r="CX43" s="267"/>
      <c r="CY43" s="267"/>
      <c r="CZ43" s="267"/>
      <c r="DA43" s="267"/>
    </row>
    <row r="44" spans="88:105">
      <c r="CJ44" s="278"/>
      <c r="CK44" s="278"/>
      <c r="CL44" s="278"/>
      <c r="CM44" s="278"/>
      <c r="CN44" s="278"/>
      <c r="CO44" s="278"/>
      <c r="CP44" s="268"/>
      <c r="CQ44" s="268"/>
      <c r="CR44" s="341"/>
      <c r="CS44" s="341"/>
      <c r="CT44" s="341"/>
      <c r="CU44" s="341"/>
      <c r="CV44" s="341"/>
      <c r="CW44" s="341"/>
      <c r="CX44" s="341"/>
      <c r="CY44" s="341"/>
      <c r="CZ44" s="341"/>
      <c r="DA44" s="341"/>
    </row>
    <row r="45" spans="88:105">
      <c r="CJ45" s="278"/>
      <c r="CK45" s="278"/>
      <c r="CL45" s="278"/>
      <c r="CM45" s="278"/>
      <c r="CN45" s="278"/>
      <c r="CO45" s="278"/>
      <c r="CP45" s="268"/>
      <c r="CQ45" s="268"/>
      <c r="CR45" s="267"/>
      <c r="CS45" s="267"/>
      <c r="CT45" s="267"/>
      <c r="CU45" s="267"/>
      <c r="CV45" s="267"/>
      <c r="CW45" s="267"/>
      <c r="CX45" s="267"/>
      <c r="CY45" s="267"/>
      <c r="CZ45" s="267"/>
      <c r="DA45" s="267"/>
    </row>
    <row r="46" spans="88:105">
      <c r="CJ46" s="278"/>
      <c r="CK46" s="278"/>
      <c r="CL46" s="278"/>
      <c r="CM46" s="278"/>
      <c r="CN46" s="278"/>
      <c r="CO46" s="278"/>
      <c r="CP46" s="268"/>
      <c r="CQ46" s="268"/>
      <c r="CR46" s="267"/>
      <c r="CS46" s="267"/>
      <c r="CT46" s="267"/>
      <c r="CU46" s="267"/>
      <c r="CV46" s="267"/>
      <c r="CW46" s="267"/>
      <c r="CX46" s="267"/>
      <c r="CY46" s="267"/>
      <c r="CZ46" s="267"/>
      <c r="DA46" s="267"/>
    </row>
    <row r="47" spans="88:105">
      <c r="CJ47" s="278"/>
      <c r="CK47" s="278"/>
      <c r="CL47" s="278"/>
      <c r="CM47" s="278"/>
      <c r="CN47" s="278"/>
      <c r="CO47" s="278"/>
      <c r="CP47" s="268"/>
      <c r="CQ47" s="268"/>
      <c r="CR47" s="267"/>
      <c r="CS47" s="267"/>
      <c r="CT47" s="267"/>
      <c r="CU47" s="267"/>
      <c r="CV47" s="267"/>
      <c r="CW47" s="267"/>
      <c r="CX47" s="267"/>
      <c r="CY47" s="267"/>
      <c r="CZ47" s="267"/>
      <c r="DA47" s="267"/>
    </row>
    <row r="48" spans="88:105">
      <c r="CJ48" s="278"/>
      <c r="CK48" s="278"/>
      <c r="CL48" s="278"/>
      <c r="CM48" s="278"/>
      <c r="CN48" s="278"/>
      <c r="CO48" s="278"/>
      <c r="CP48" s="268"/>
      <c r="CQ48" s="268"/>
      <c r="CR48" s="267"/>
      <c r="CS48" s="267"/>
      <c r="CT48" s="267"/>
      <c r="CU48" s="267"/>
      <c r="CV48" s="267"/>
      <c r="CW48" s="267"/>
      <c r="CX48" s="267"/>
      <c r="CY48" s="267"/>
      <c r="CZ48" s="267"/>
      <c r="DA48" s="267"/>
    </row>
    <row r="49" spans="88:105">
      <c r="CJ49" s="278"/>
      <c r="CK49" s="278"/>
      <c r="CL49" s="278"/>
      <c r="CM49" s="278"/>
      <c r="CN49" s="278"/>
      <c r="CO49" s="278"/>
      <c r="CP49" s="268"/>
      <c r="CQ49" s="268"/>
      <c r="CR49" s="267"/>
      <c r="CS49" s="267"/>
      <c r="CT49" s="267"/>
      <c r="CU49" s="267"/>
      <c r="CV49" s="267"/>
      <c r="CW49" s="267"/>
      <c r="CX49" s="267"/>
      <c r="CY49" s="267"/>
      <c r="CZ49" s="267"/>
      <c r="DA49" s="267"/>
    </row>
    <row r="50" spans="88:105">
      <c r="CJ50" s="278"/>
      <c r="CK50" s="278"/>
      <c r="CL50" s="278"/>
      <c r="CM50" s="278"/>
      <c r="CN50" s="278"/>
      <c r="CO50" s="278"/>
      <c r="CP50" s="268"/>
      <c r="CQ50" s="268"/>
      <c r="CR50" s="267"/>
      <c r="CS50" s="267"/>
      <c r="CT50" s="267"/>
      <c r="CU50" s="267"/>
      <c r="CV50" s="267"/>
      <c r="CW50" s="267"/>
      <c r="CX50" s="267"/>
      <c r="CY50" s="267"/>
      <c r="CZ50" s="267"/>
      <c r="DA50" s="267"/>
    </row>
    <row r="51" spans="88:105">
      <c r="CJ51" s="278"/>
      <c r="CK51" s="278"/>
      <c r="CL51" s="278"/>
      <c r="CM51" s="278"/>
      <c r="CN51" s="278"/>
      <c r="CO51" s="278"/>
      <c r="CP51" s="268"/>
      <c r="CQ51" s="268"/>
      <c r="CR51" s="267"/>
      <c r="CS51" s="267"/>
      <c r="CT51" s="267"/>
      <c r="CU51" s="267"/>
      <c r="CV51" s="267"/>
      <c r="CW51" s="267"/>
      <c r="CX51" s="267"/>
      <c r="CY51" s="267"/>
      <c r="CZ51" s="267"/>
      <c r="DA51" s="267"/>
    </row>
    <row r="52" spans="88:105">
      <c r="CJ52" s="278"/>
      <c r="CK52" s="278"/>
      <c r="CL52" s="278"/>
      <c r="CM52" s="278"/>
      <c r="CN52" s="278"/>
      <c r="CO52" s="278"/>
      <c r="CP52" s="268"/>
      <c r="CQ52" s="268"/>
      <c r="CR52" s="267"/>
      <c r="CS52" s="267"/>
      <c r="CT52" s="267"/>
      <c r="CU52" s="267"/>
      <c r="CV52" s="267"/>
      <c r="CW52" s="267"/>
      <c r="CX52" s="267"/>
      <c r="CY52" s="267"/>
      <c r="CZ52" s="267"/>
      <c r="DA52" s="267"/>
    </row>
    <row r="53" spans="88:105">
      <c r="CJ53" s="278"/>
      <c r="CK53" s="278"/>
      <c r="CL53" s="278"/>
      <c r="CM53" s="278"/>
      <c r="CN53" s="278"/>
      <c r="CO53" s="278"/>
      <c r="CP53" s="268"/>
      <c r="CQ53" s="268"/>
      <c r="CR53" s="267"/>
      <c r="CS53" s="267"/>
      <c r="CT53" s="267"/>
      <c r="CU53" s="267"/>
      <c r="CV53" s="267"/>
      <c r="CW53" s="267"/>
      <c r="CX53" s="267"/>
      <c r="CY53" s="267"/>
      <c r="CZ53" s="267"/>
      <c r="DA53" s="267"/>
    </row>
    <row r="54" spans="88:105">
      <c r="CJ54" s="278"/>
      <c r="CK54" s="278"/>
      <c r="CL54" s="278"/>
      <c r="CM54" s="278"/>
      <c r="CN54" s="278"/>
      <c r="CO54" s="278"/>
      <c r="CP54" s="268"/>
      <c r="CQ54" s="268"/>
      <c r="CR54" s="267"/>
      <c r="CS54" s="267"/>
      <c r="CT54" s="267"/>
      <c r="CU54" s="267"/>
      <c r="CV54" s="267"/>
      <c r="CW54" s="267"/>
      <c r="CX54" s="267"/>
      <c r="CY54" s="267"/>
      <c r="CZ54" s="267"/>
      <c r="DA54" s="267"/>
    </row>
    <row r="55" spans="88:105">
      <c r="CJ55" s="278"/>
      <c r="CK55" s="278"/>
      <c r="CL55" s="278"/>
      <c r="CM55" s="278"/>
      <c r="CN55" s="278"/>
      <c r="CO55" s="278"/>
      <c r="CP55" s="268"/>
      <c r="CQ55" s="268"/>
      <c r="CR55" s="267"/>
      <c r="CS55" s="267"/>
      <c r="CT55" s="267"/>
      <c r="CU55" s="267"/>
      <c r="CV55" s="267"/>
      <c r="CW55" s="267"/>
      <c r="CX55" s="267"/>
      <c r="CY55" s="267"/>
      <c r="CZ55" s="267"/>
      <c r="DA55" s="267"/>
    </row>
    <row r="56" spans="88:105">
      <c r="CJ56" s="278"/>
      <c r="CK56" s="278"/>
      <c r="CL56" s="278"/>
      <c r="CM56" s="278"/>
      <c r="CN56" s="278"/>
      <c r="CO56" s="278"/>
      <c r="CP56" s="268"/>
      <c r="CQ56" s="268"/>
      <c r="CR56" s="267"/>
      <c r="CS56" s="267"/>
      <c r="CT56" s="267"/>
      <c r="CU56" s="267"/>
      <c r="CV56" s="267"/>
      <c r="CW56" s="267"/>
      <c r="CX56" s="267"/>
      <c r="CY56" s="267"/>
      <c r="CZ56" s="267"/>
      <c r="DA56" s="267"/>
    </row>
    <row r="57" spans="88:105">
      <c r="CJ57" s="278"/>
      <c r="CK57" s="278"/>
      <c r="CL57" s="278"/>
      <c r="CM57" s="278"/>
      <c r="CN57" s="278"/>
      <c r="CO57" s="278"/>
      <c r="CP57" s="268"/>
      <c r="CQ57" s="268"/>
      <c r="CR57" s="267"/>
      <c r="CS57" s="267"/>
      <c r="CT57" s="267"/>
      <c r="CU57" s="267"/>
      <c r="CV57" s="267"/>
      <c r="CW57" s="267"/>
      <c r="CX57" s="267"/>
      <c r="CY57" s="267"/>
      <c r="CZ57" s="267"/>
      <c r="DA57" s="267"/>
    </row>
    <row r="58" spans="88:105">
      <c r="CJ58" s="278"/>
      <c r="CK58" s="278"/>
      <c r="CL58" s="278"/>
      <c r="CM58" s="278"/>
      <c r="CN58" s="278"/>
      <c r="CO58" s="278"/>
      <c r="CP58" s="268"/>
      <c r="CQ58" s="268"/>
      <c r="CR58" s="267"/>
      <c r="CS58" s="267"/>
      <c r="CT58" s="267"/>
      <c r="CU58" s="267"/>
      <c r="CV58" s="267"/>
      <c r="CW58" s="267"/>
      <c r="CX58" s="267"/>
      <c r="CY58" s="267"/>
      <c r="CZ58" s="267"/>
      <c r="DA58" s="267"/>
    </row>
    <row r="59" spans="88:105">
      <c r="CJ59" s="278"/>
      <c r="CK59" s="278"/>
      <c r="CL59" s="278"/>
      <c r="CM59" s="278"/>
      <c r="CN59" s="278"/>
      <c r="CO59" s="278"/>
      <c r="CP59" s="268"/>
      <c r="CQ59" s="268"/>
      <c r="CR59" s="267"/>
      <c r="CS59" s="267"/>
      <c r="CT59" s="267"/>
      <c r="CU59" s="267"/>
      <c r="CV59" s="267"/>
      <c r="CW59" s="267"/>
      <c r="CX59" s="267"/>
      <c r="CY59" s="267"/>
      <c r="CZ59" s="267"/>
      <c r="DA59" s="267"/>
    </row>
    <row r="60" spans="88:105">
      <c r="CJ60" s="278"/>
      <c r="CK60" s="278"/>
      <c r="CL60" s="278"/>
      <c r="CM60" s="278"/>
      <c r="CN60" s="278"/>
      <c r="CO60" s="278"/>
      <c r="CP60" s="268"/>
      <c r="CQ60" s="268"/>
      <c r="CR60" s="267"/>
      <c r="CS60" s="267"/>
      <c r="CT60" s="267"/>
      <c r="CU60" s="267"/>
      <c r="CV60" s="267"/>
      <c r="CW60" s="267"/>
      <c r="CX60" s="267"/>
      <c r="CY60" s="267"/>
      <c r="CZ60" s="267"/>
      <c r="DA60" s="267"/>
    </row>
    <row r="61" spans="88:105">
      <c r="CJ61" s="278"/>
      <c r="CK61" s="278"/>
      <c r="CL61" s="278"/>
      <c r="CM61" s="278"/>
      <c r="CN61" s="278"/>
      <c r="CO61" s="278"/>
      <c r="CP61" s="268"/>
      <c r="CQ61" s="268"/>
      <c r="CR61" s="267"/>
      <c r="CS61" s="267"/>
      <c r="CT61" s="267"/>
      <c r="CU61" s="267"/>
      <c r="CV61" s="267"/>
      <c r="CW61" s="267"/>
      <c r="CX61" s="267"/>
      <c r="CY61" s="267"/>
      <c r="CZ61" s="267"/>
      <c r="DA61" s="267"/>
    </row>
    <row r="62" spans="88:105">
      <c r="CJ62" s="278"/>
      <c r="CK62" s="278"/>
      <c r="CL62" s="278"/>
      <c r="CM62" s="278"/>
      <c r="CN62" s="278"/>
      <c r="CO62" s="278"/>
      <c r="CP62" s="268"/>
      <c r="CQ62" s="268"/>
      <c r="CR62" s="267"/>
      <c r="CS62" s="267"/>
      <c r="CT62" s="267"/>
      <c r="CU62" s="267"/>
      <c r="CV62" s="267"/>
      <c r="CW62" s="267"/>
      <c r="CX62" s="267"/>
      <c r="CY62" s="267"/>
      <c r="CZ62" s="267"/>
      <c r="DA62" s="267"/>
    </row>
    <row r="63" spans="88:105">
      <c r="CJ63" s="278"/>
      <c r="CK63" s="278"/>
      <c r="CL63" s="278"/>
      <c r="CM63" s="278"/>
      <c r="CN63" s="278"/>
      <c r="CO63" s="278"/>
      <c r="CP63" s="268"/>
      <c r="CQ63" s="268"/>
      <c r="CR63" s="267"/>
      <c r="CS63" s="267"/>
      <c r="CT63" s="267"/>
      <c r="CU63" s="267"/>
      <c r="CV63" s="267"/>
      <c r="CW63" s="267"/>
      <c r="CX63" s="267"/>
      <c r="CY63" s="267"/>
      <c r="CZ63" s="267"/>
      <c r="DA63" s="267"/>
    </row>
    <row r="64" spans="88:105">
      <c r="CJ64" s="278"/>
      <c r="CK64" s="278"/>
      <c r="CL64" s="278"/>
      <c r="CM64" s="278"/>
      <c r="CN64" s="278"/>
      <c r="CO64" s="278"/>
      <c r="CP64" s="268"/>
      <c r="CQ64" s="268"/>
      <c r="CR64" s="267"/>
      <c r="CS64" s="267"/>
      <c r="CT64" s="267"/>
      <c r="CU64" s="267"/>
      <c r="CV64" s="267"/>
      <c r="CW64" s="267"/>
      <c r="CX64" s="267"/>
      <c r="CY64" s="267"/>
      <c r="CZ64" s="267"/>
      <c r="DA64" s="267"/>
    </row>
    <row r="65" spans="88:105">
      <c r="CJ65" s="278"/>
      <c r="CK65" s="278"/>
      <c r="CL65" s="278"/>
      <c r="CM65" s="278"/>
      <c r="CN65" s="278"/>
      <c r="CO65" s="278"/>
      <c r="CP65" s="268"/>
      <c r="CQ65" s="268"/>
      <c r="CR65" s="267"/>
      <c r="CS65" s="267"/>
      <c r="CT65" s="267"/>
      <c r="CU65" s="267"/>
      <c r="CV65" s="267"/>
      <c r="CW65" s="267"/>
      <c r="CX65" s="267"/>
      <c r="CY65" s="267"/>
      <c r="CZ65" s="267"/>
      <c r="DA65" s="267"/>
    </row>
    <row r="66" spans="88:105">
      <c r="CJ66" s="278"/>
      <c r="CK66" s="278"/>
      <c r="CL66" s="278"/>
      <c r="CM66" s="278"/>
      <c r="CN66" s="278"/>
      <c r="CO66" s="278"/>
      <c r="CP66" s="268"/>
      <c r="CQ66" s="268"/>
      <c r="CR66" s="267"/>
      <c r="CS66" s="267"/>
      <c r="CT66" s="267"/>
      <c r="CU66" s="267"/>
      <c r="CV66" s="267"/>
      <c r="CW66" s="267"/>
      <c r="CX66" s="267"/>
      <c r="CY66" s="267"/>
      <c r="CZ66" s="267"/>
      <c r="DA66" s="267"/>
    </row>
    <row r="67" spans="88:105">
      <c r="CJ67" s="278"/>
      <c r="CK67" s="278"/>
      <c r="CL67" s="278"/>
      <c r="CM67" s="278"/>
      <c r="CN67" s="278"/>
      <c r="CO67" s="278"/>
      <c r="CP67" s="268"/>
      <c r="CQ67" s="268"/>
      <c r="CR67" s="267"/>
      <c r="CS67" s="267"/>
      <c r="CT67" s="267"/>
      <c r="CU67" s="267"/>
      <c r="CV67" s="267"/>
      <c r="CW67" s="267"/>
      <c r="CX67" s="267"/>
      <c r="CY67" s="267"/>
      <c r="CZ67" s="267"/>
      <c r="DA67" s="267"/>
    </row>
    <row r="68" spans="88:105">
      <c r="CJ68" s="278"/>
      <c r="CK68" s="278"/>
      <c r="CL68" s="278"/>
      <c r="CM68" s="278"/>
      <c r="CN68" s="278"/>
      <c r="CO68" s="278"/>
      <c r="CP68" s="268"/>
      <c r="CQ68" s="268"/>
      <c r="CR68" s="267"/>
      <c r="CS68" s="267"/>
      <c r="CT68" s="267"/>
      <c r="CU68" s="267"/>
      <c r="CV68" s="267"/>
      <c r="CW68" s="267"/>
      <c r="CX68" s="267"/>
      <c r="CY68" s="267"/>
      <c r="CZ68" s="267"/>
      <c r="DA68" s="267"/>
    </row>
  </sheetData>
  <mergeCells count="1">
    <mergeCell ref="CJ14:DA14"/>
  </mergeCells>
  <conditionalFormatting sqref="X17:X18">
    <cfRule type="cellIs" dxfId="4" priority="2" operator="greaterThan">
      <formula>0.259</formula>
    </cfRule>
    <cfRule type="cellIs" dxfId="3" priority="3" operator="greaterThan">
      <formula>25.9</formula>
    </cfRule>
  </conditionalFormatting>
  <conditionalFormatting sqref="AK17:AK18">
    <cfRule type="cellIs" dxfId="2" priority="4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A86"/>
  <sheetViews>
    <sheetView topLeftCell="A5" zoomScale="40" zoomScaleNormal="40" workbookViewId="0">
      <selection activeCell="CP65" sqref="CP65"/>
    </sheetView>
  </sheetViews>
  <sheetFormatPr defaultColWidth="11.5703125" defaultRowHeight="27.6"/>
  <cols>
    <col min="1" max="1" width="30.5703125" style="214" bestFit="1" customWidth="1"/>
    <col min="2" max="2" width="33.85546875" style="214" customWidth="1"/>
    <col min="3" max="3" width="36.140625" style="214" customWidth="1"/>
    <col min="4" max="4" width="26.28515625" style="214" bestFit="1" customWidth="1"/>
    <col min="5" max="5" width="39.42578125" style="214" bestFit="1" customWidth="1"/>
    <col min="6" max="6" width="46.140625" style="214" bestFit="1" customWidth="1"/>
    <col min="7" max="7" width="78.85546875" style="214" bestFit="1" customWidth="1"/>
    <col min="8" max="8" width="23.7109375" style="214" bestFit="1" customWidth="1"/>
    <col min="9" max="9" width="33.5703125" style="214" bestFit="1" customWidth="1"/>
    <col min="10" max="10" width="21.5703125" style="214" bestFit="1" customWidth="1"/>
    <col min="11" max="11" width="38.42578125" style="214" bestFit="1" customWidth="1"/>
    <col min="12" max="12" width="20" style="214" bestFit="1" customWidth="1"/>
    <col min="13" max="13" width="36.5703125" style="214" bestFit="1" customWidth="1"/>
    <col min="14" max="27" width="29" style="214" customWidth="1"/>
    <col min="28" max="28" width="22.5703125" style="214" bestFit="1" customWidth="1"/>
    <col min="29" max="29" width="30" style="214" bestFit="1" customWidth="1"/>
    <col min="30" max="30" width="41" style="214" bestFit="1" customWidth="1"/>
    <col min="31" max="31" width="41" style="214" customWidth="1"/>
    <col min="32" max="32" width="79.140625" style="214" customWidth="1"/>
    <col min="33" max="33" width="56.28515625" style="214" bestFit="1" customWidth="1"/>
    <col min="34" max="34" width="63.5703125" style="214" bestFit="1" customWidth="1"/>
    <col min="35" max="35" width="36.85546875" style="214" bestFit="1" customWidth="1"/>
    <col min="36" max="36" width="66.5703125" style="214" bestFit="1" customWidth="1"/>
    <col min="37" max="37" width="31.140625" style="214" bestFit="1" customWidth="1"/>
    <col min="38" max="52" width="5.7109375" style="214" customWidth="1"/>
    <col min="53" max="53" width="26" style="214" customWidth="1"/>
    <col min="54" max="54" width="31.85546875" style="214" customWidth="1"/>
    <col min="55" max="55" width="32.85546875" style="214" customWidth="1"/>
    <col min="56" max="64" width="28.7109375" style="214" customWidth="1"/>
    <col min="65" max="69" width="6.140625" style="214" customWidth="1"/>
    <col min="70" max="70" width="36.85546875" style="351" customWidth="1"/>
    <col min="71" max="72" width="36.85546875" style="214" customWidth="1"/>
    <col min="73" max="87" width="2.42578125" style="214" customWidth="1"/>
    <col min="88" max="89" width="35.42578125" style="279" customWidth="1"/>
    <col min="90" max="90" width="40.28515625" style="279" customWidth="1"/>
    <col min="91" max="93" width="35.42578125" style="279" customWidth="1"/>
    <col min="94" max="94" width="45.28515625" style="266" customWidth="1"/>
    <col min="95" max="103" width="35.42578125" style="266" customWidth="1"/>
    <col min="104" max="104" width="46" style="266" customWidth="1"/>
    <col min="105" max="105" width="35.42578125" style="266" customWidth="1"/>
    <col min="106" max="16384" width="11.5703125" style="214"/>
  </cols>
  <sheetData>
    <row r="1" spans="1:105" ht="27.95">
      <c r="A1" s="207"/>
      <c r="B1" s="208" t="s">
        <v>13</v>
      </c>
      <c r="C1" s="209" t="s">
        <v>248</v>
      </c>
      <c r="D1" s="210"/>
      <c r="E1" s="210"/>
      <c r="F1" s="210"/>
      <c r="G1" s="210"/>
      <c r="H1" s="210"/>
      <c r="I1" s="210"/>
      <c r="J1" s="210"/>
      <c r="K1" s="210"/>
      <c r="L1" s="210"/>
      <c r="M1" s="210"/>
      <c r="N1" s="210"/>
      <c r="O1" s="210"/>
      <c r="P1" s="210"/>
      <c r="Q1" s="210"/>
      <c r="R1" s="211"/>
      <c r="S1" s="211"/>
      <c r="T1" s="211"/>
      <c r="U1" s="210"/>
      <c r="V1" s="210"/>
      <c r="W1" s="210"/>
      <c r="X1" s="210"/>
      <c r="Y1" s="210"/>
      <c r="Z1" s="210"/>
      <c r="AA1" s="210"/>
      <c r="AB1" s="210"/>
      <c r="AC1" s="210"/>
      <c r="AD1" s="210"/>
      <c r="AE1" s="210"/>
      <c r="AF1" s="211"/>
      <c r="AG1" s="212"/>
      <c r="AH1" s="212"/>
      <c r="AI1" s="212"/>
      <c r="AJ1" s="212"/>
      <c r="AK1" s="212"/>
      <c r="AL1" s="211"/>
      <c r="AM1" s="211"/>
      <c r="AN1" s="211"/>
      <c r="AO1" s="211"/>
      <c r="AP1" s="211"/>
      <c r="AQ1" s="211"/>
      <c r="AR1" s="211"/>
      <c r="AS1" s="211"/>
      <c r="AT1" s="211"/>
      <c r="AU1" s="211"/>
      <c r="AV1" s="211"/>
      <c r="AW1" s="211"/>
      <c r="AX1" s="211"/>
      <c r="AY1" s="211"/>
      <c r="AZ1" s="211"/>
      <c r="BA1" s="213"/>
      <c r="BB1" s="213"/>
      <c r="BC1" s="213"/>
      <c r="BD1" s="213"/>
      <c r="BE1" s="213"/>
      <c r="BF1" s="213"/>
      <c r="BG1" s="213"/>
      <c r="BH1" s="213"/>
      <c r="BI1" s="213"/>
      <c r="BJ1" s="213"/>
      <c r="BK1" s="213"/>
      <c r="BL1" s="213"/>
      <c r="CJ1" s="165"/>
      <c r="CK1" s="165"/>
      <c r="CL1" s="165"/>
      <c r="CM1" s="165"/>
      <c r="CN1" s="165"/>
      <c r="CO1" s="165"/>
      <c r="CP1" s="165"/>
      <c r="CQ1" s="165"/>
      <c r="CR1" s="165"/>
      <c r="CS1" s="165"/>
      <c r="CT1" s="165"/>
      <c r="CU1" s="165"/>
      <c r="CV1" s="165"/>
      <c r="CW1" s="165"/>
      <c r="CX1" s="165"/>
      <c r="CY1" s="165"/>
      <c r="CZ1" s="165"/>
      <c r="DA1" s="165"/>
    </row>
    <row r="2" spans="1:105" ht="27.95">
      <c r="A2" s="402" t="s">
        <v>1364</v>
      </c>
      <c r="B2" s="402"/>
      <c r="C2" s="207"/>
      <c r="D2" s="354"/>
      <c r="E2" s="210"/>
      <c r="F2" s="210"/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1"/>
      <c r="S2" s="211"/>
      <c r="T2" s="211"/>
      <c r="U2" s="210"/>
      <c r="V2" s="210"/>
      <c r="W2" s="210"/>
      <c r="X2" s="210"/>
      <c r="Y2" s="210"/>
      <c r="Z2" s="210"/>
      <c r="AA2" s="210"/>
      <c r="AB2" s="210"/>
      <c r="AC2" s="210"/>
      <c r="AD2" s="210"/>
      <c r="AE2" s="210"/>
      <c r="AF2" s="211"/>
      <c r="AG2" s="212"/>
      <c r="AH2" s="212"/>
      <c r="AI2" s="212"/>
      <c r="AJ2" s="212"/>
      <c r="AK2" s="212"/>
      <c r="AL2" s="211"/>
      <c r="AM2" s="211"/>
      <c r="AN2" s="211"/>
      <c r="AO2" s="211"/>
      <c r="AP2" s="211"/>
      <c r="AQ2" s="211"/>
      <c r="AR2" s="211"/>
      <c r="AS2" s="211"/>
      <c r="AT2" s="211"/>
      <c r="AU2" s="211"/>
      <c r="AV2" s="211"/>
      <c r="AW2" s="211"/>
      <c r="AX2" s="211"/>
      <c r="AY2" s="211"/>
      <c r="AZ2" s="211"/>
      <c r="BA2" s="213"/>
      <c r="BB2" s="213"/>
      <c r="BC2" s="213"/>
      <c r="BD2" s="213"/>
      <c r="BE2" s="213"/>
      <c r="BF2" s="213"/>
      <c r="BG2" s="213"/>
      <c r="BH2" s="213"/>
      <c r="BI2" s="213"/>
      <c r="BJ2" s="213"/>
      <c r="BK2" s="213"/>
      <c r="BL2" s="213"/>
      <c r="CJ2" s="165"/>
      <c r="CK2" s="165"/>
      <c r="CL2" s="165"/>
      <c r="CM2" s="165"/>
      <c r="CN2" s="165"/>
      <c r="CO2" s="165"/>
      <c r="CP2" s="165"/>
      <c r="CQ2" s="165"/>
      <c r="CR2" s="165"/>
      <c r="CS2" s="165"/>
      <c r="CT2" s="165"/>
      <c r="CU2" s="165"/>
      <c r="CV2" s="165"/>
      <c r="CW2" s="165"/>
      <c r="CX2" s="165"/>
      <c r="CY2" s="165"/>
      <c r="CZ2" s="165"/>
      <c r="DA2" s="165"/>
    </row>
    <row r="3" spans="1:105" ht="27.95">
      <c r="A3" s="215" t="s">
        <v>254</v>
      </c>
      <c r="B3" s="216">
        <v>46117</v>
      </c>
      <c r="C3" s="217">
        <v>46154</v>
      </c>
      <c r="D3" s="211"/>
      <c r="E3" s="210"/>
      <c r="F3" s="210"/>
      <c r="G3" s="210"/>
      <c r="H3" s="210"/>
      <c r="I3" s="210"/>
      <c r="J3" s="210"/>
      <c r="K3" s="210"/>
      <c r="L3" s="210"/>
      <c r="M3" s="210"/>
      <c r="N3" s="210"/>
      <c r="O3" s="210"/>
      <c r="P3" s="210"/>
      <c r="Q3" s="210"/>
      <c r="R3" s="211"/>
      <c r="S3" s="211"/>
      <c r="T3" s="211"/>
      <c r="U3" s="210"/>
      <c r="V3" s="210"/>
      <c r="W3" s="210"/>
      <c r="X3" s="210"/>
      <c r="Y3" s="210"/>
      <c r="Z3" s="210"/>
      <c r="AA3" s="210"/>
      <c r="AB3" s="210"/>
      <c r="AC3" s="210"/>
      <c r="AD3" s="210"/>
      <c r="AE3" s="210"/>
      <c r="AF3" s="211"/>
      <c r="AG3" s="212"/>
      <c r="AH3" s="212"/>
      <c r="AI3" s="212"/>
      <c r="AJ3" s="212"/>
      <c r="AK3" s="212"/>
      <c r="AL3" s="211"/>
      <c r="AM3" s="211"/>
      <c r="AN3" s="211"/>
      <c r="AO3" s="211"/>
      <c r="AP3" s="211"/>
      <c r="AQ3" s="211"/>
      <c r="AR3" s="211"/>
      <c r="AS3" s="211"/>
      <c r="AT3" s="211"/>
      <c r="AU3" s="211"/>
      <c r="AV3" s="211"/>
      <c r="AW3" s="211"/>
      <c r="AX3" s="211"/>
      <c r="AY3" s="211"/>
      <c r="AZ3" s="211"/>
      <c r="BA3" s="213"/>
      <c r="BB3" s="213"/>
      <c r="BC3" s="213"/>
      <c r="BD3" s="213"/>
      <c r="BE3" s="213"/>
      <c r="BF3" s="213"/>
      <c r="BG3" s="213"/>
      <c r="BH3" s="213"/>
      <c r="BI3" s="213"/>
      <c r="BJ3" s="213"/>
      <c r="BK3" s="213"/>
      <c r="BL3" s="213"/>
      <c r="CJ3" s="165"/>
      <c r="CK3" s="165"/>
      <c r="CL3" s="165"/>
      <c r="CM3" s="165"/>
      <c r="CN3" s="165"/>
      <c r="CO3" s="165"/>
      <c r="CP3" s="165"/>
      <c r="CQ3" s="165"/>
      <c r="CR3" s="165"/>
      <c r="CS3" s="165"/>
      <c r="CT3" s="165"/>
      <c r="CU3" s="165"/>
      <c r="CV3" s="165"/>
      <c r="CW3" s="165"/>
      <c r="CX3" s="165"/>
      <c r="CY3" s="165"/>
      <c r="CZ3" s="165"/>
      <c r="DA3" s="165"/>
    </row>
    <row r="4" spans="1:105" ht="27.95">
      <c r="A4" s="218" t="s">
        <v>1365</v>
      </c>
      <c r="B4" s="219"/>
      <c r="C4" s="220">
        <v>46155</v>
      </c>
      <c r="D4" s="211"/>
      <c r="E4" s="210"/>
      <c r="F4" s="210"/>
      <c r="G4" s="210"/>
      <c r="H4" s="210"/>
      <c r="I4" s="210"/>
      <c r="J4" s="210"/>
      <c r="K4" s="210"/>
      <c r="L4" s="210"/>
      <c r="M4" s="210"/>
      <c r="N4" s="210"/>
      <c r="O4" s="210"/>
      <c r="P4" s="210"/>
      <c r="Q4" s="210"/>
      <c r="R4" s="211"/>
      <c r="S4" s="211"/>
      <c r="T4" s="211"/>
      <c r="U4" s="210"/>
      <c r="V4" s="210"/>
      <c r="W4" s="210"/>
      <c r="X4" s="210"/>
      <c r="Y4" s="210"/>
      <c r="Z4" s="210"/>
      <c r="AA4" s="210"/>
      <c r="AB4" s="210"/>
      <c r="AC4" s="210"/>
      <c r="AD4" s="210"/>
      <c r="AE4" s="210"/>
      <c r="AF4" s="211"/>
      <c r="AG4" s="212"/>
      <c r="AH4" s="212"/>
      <c r="AI4" s="212"/>
      <c r="AJ4" s="212"/>
      <c r="AK4" s="212"/>
      <c r="AL4" s="211"/>
      <c r="AM4" s="211"/>
      <c r="AN4" s="211"/>
      <c r="AO4" s="211"/>
      <c r="AP4" s="211"/>
      <c r="AQ4" s="211"/>
      <c r="AR4" s="211"/>
      <c r="AS4" s="211"/>
      <c r="AT4" s="211"/>
      <c r="AU4" s="211"/>
      <c r="AV4" s="211"/>
      <c r="AW4" s="211"/>
      <c r="AX4" s="211"/>
      <c r="AY4" s="211"/>
      <c r="AZ4" s="211"/>
      <c r="BA4" s="213"/>
      <c r="BB4" s="213"/>
      <c r="BC4" s="213"/>
      <c r="BD4" s="213"/>
      <c r="BE4" s="213"/>
      <c r="BF4" s="213"/>
      <c r="BG4" s="213"/>
      <c r="BH4" s="213"/>
      <c r="BI4" s="213"/>
      <c r="BJ4" s="213"/>
      <c r="BK4" s="213"/>
      <c r="BL4" s="213"/>
      <c r="CJ4" s="165"/>
      <c r="CK4" s="165"/>
      <c r="CL4" s="165"/>
      <c r="CM4" s="165"/>
      <c r="CN4" s="165"/>
      <c r="CO4" s="165"/>
      <c r="CP4" s="165"/>
      <c r="CQ4" s="165"/>
      <c r="CR4" s="165"/>
      <c r="CS4" s="165"/>
      <c r="CT4" s="165"/>
      <c r="CU4" s="165"/>
      <c r="CV4" s="165"/>
      <c r="CW4" s="165"/>
      <c r="CX4" s="165"/>
      <c r="CY4" s="165"/>
      <c r="CZ4" s="165"/>
      <c r="DA4" s="165"/>
    </row>
    <row r="5" spans="1:105" ht="27.95">
      <c r="A5" s="215" t="s">
        <v>256</v>
      </c>
      <c r="B5" s="221">
        <f>+B3+55</f>
        <v>46172</v>
      </c>
      <c r="C5" s="222">
        <f>+C4+55</f>
        <v>46210</v>
      </c>
      <c r="D5" s="211"/>
      <c r="E5" s="210"/>
      <c r="F5" s="210"/>
      <c r="G5" s="210"/>
      <c r="H5" s="210"/>
      <c r="I5" s="210"/>
      <c r="J5" s="210"/>
      <c r="K5" s="210"/>
      <c r="L5" s="210"/>
      <c r="M5" s="210"/>
      <c r="N5" s="210"/>
      <c r="O5" s="210"/>
      <c r="P5" s="210"/>
      <c r="Q5" s="210"/>
      <c r="R5" s="211"/>
      <c r="S5" s="211"/>
      <c r="T5" s="211"/>
      <c r="U5" s="210"/>
      <c r="V5" s="210"/>
      <c r="W5" s="210"/>
      <c r="X5" s="210"/>
      <c r="Y5" s="210"/>
      <c r="Z5" s="210"/>
      <c r="AA5" s="210"/>
      <c r="AB5" s="210"/>
      <c r="AC5" s="210"/>
      <c r="AD5" s="210"/>
      <c r="AE5" s="210"/>
      <c r="AF5" s="211"/>
      <c r="AG5" s="212"/>
      <c r="AH5" s="212"/>
      <c r="AI5" s="212"/>
      <c r="AJ5" s="212"/>
      <c r="AK5" s="212"/>
      <c r="AL5" s="211"/>
      <c r="AM5" s="211"/>
      <c r="AN5" s="211"/>
      <c r="AO5" s="211"/>
      <c r="AP5" s="211"/>
      <c r="AQ5" s="211"/>
      <c r="AR5" s="211"/>
      <c r="AS5" s="211"/>
      <c r="AT5" s="211"/>
      <c r="AU5" s="211"/>
      <c r="AV5" s="211"/>
      <c r="AW5" s="211"/>
      <c r="AX5" s="211"/>
      <c r="AY5" s="211"/>
      <c r="AZ5" s="211"/>
      <c r="BA5" s="213"/>
      <c r="BB5" s="213"/>
      <c r="BC5" s="213"/>
      <c r="BD5" s="213"/>
      <c r="BE5" s="213"/>
      <c r="BF5" s="213"/>
      <c r="BG5" s="213"/>
      <c r="BH5" s="213"/>
      <c r="BI5" s="213"/>
      <c r="BJ5" s="213"/>
      <c r="BK5" s="213"/>
      <c r="BL5" s="213"/>
      <c r="CJ5" s="165"/>
      <c r="CK5" s="165"/>
      <c r="CL5" s="165"/>
      <c r="CM5" s="165"/>
      <c r="CN5" s="165"/>
      <c r="CO5" s="165"/>
      <c r="CP5" s="165"/>
      <c r="CQ5" s="165"/>
      <c r="CR5" s="165"/>
      <c r="CS5" s="165"/>
      <c r="CT5" s="165"/>
      <c r="CU5" s="165"/>
      <c r="CV5" s="165"/>
      <c r="CW5" s="165"/>
      <c r="CX5" s="165"/>
      <c r="CY5" s="165"/>
      <c r="CZ5" s="165"/>
      <c r="DA5" s="165"/>
    </row>
    <row r="6" spans="1:105" ht="27.95">
      <c r="A6" s="215" t="s">
        <v>255</v>
      </c>
      <c r="B6" s="221">
        <f>+B5+45</f>
        <v>46217</v>
      </c>
      <c r="C6" s="222">
        <f>+C5+65</f>
        <v>46275</v>
      </c>
      <c r="D6" s="211"/>
      <c r="E6" s="210"/>
      <c r="F6" s="210"/>
      <c r="G6" s="210"/>
      <c r="H6" s="210"/>
      <c r="I6" s="210"/>
      <c r="J6" s="210"/>
      <c r="K6" s="210"/>
      <c r="L6" s="210"/>
      <c r="M6" s="210"/>
      <c r="N6" s="210"/>
      <c r="O6" s="210"/>
      <c r="P6" s="210"/>
      <c r="Q6" s="210"/>
      <c r="R6" s="211"/>
      <c r="S6" s="211"/>
      <c r="T6" s="211"/>
      <c r="U6" s="210"/>
      <c r="V6" s="210"/>
      <c r="W6" s="210"/>
      <c r="X6" s="210"/>
      <c r="Y6" s="210"/>
      <c r="Z6" s="210"/>
      <c r="AA6" s="210"/>
      <c r="AB6" s="210"/>
      <c r="AC6" s="210"/>
      <c r="AD6" s="210"/>
      <c r="AE6" s="210"/>
      <c r="AF6" s="211"/>
      <c r="AG6" s="212"/>
      <c r="AH6" s="212"/>
      <c r="AI6" s="212"/>
      <c r="AJ6" s="212"/>
      <c r="AK6" s="212"/>
      <c r="AL6" s="211"/>
      <c r="AM6" s="211"/>
      <c r="AN6" s="211"/>
      <c r="AO6" s="211"/>
      <c r="AP6" s="211"/>
      <c r="AQ6" s="211"/>
      <c r="AR6" s="211"/>
      <c r="AS6" s="211"/>
      <c r="AT6" s="211"/>
      <c r="AU6" s="211"/>
      <c r="AV6" s="211"/>
      <c r="AW6" s="211"/>
      <c r="AX6" s="211"/>
      <c r="AY6" s="211"/>
      <c r="AZ6" s="211"/>
      <c r="BA6" s="213"/>
      <c r="BB6" s="213"/>
      <c r="BC6" s="213"/>
      <c r="BD6" s="213"/>
      <c r="BE6" s="213"/>
      <c r="BF6" s="213"/>
      <c r="BG6" s="213"/>
      <c r="BH6" s="213"/>
      <c r="BI6" s="213"/>
      <c r="BJ6" s="213"/>
      <c r="BK6" s="213"/>
      <c r="BL6" s="213"/>
      <c r="CJ6" s="165"/>
      <c r="CK6" s="165"/>
      <c r="CL6" s="165"/>
      <c r="CM6" s="165"/>
      <c r="CN6" s="165"/>
      <c r="CO6" s="165"/>
      <c r="CP6" s="165"/>
      <c r="CQ6" s="165"/>
      <c r="CR6" s="165"/>
      <c r="CS6" s="165"/>
      <c r="CT6" s="165"/>
      <c r="CU6" s="165"/>
      <c r="CV6" s="165"/>
      <c r="CW6" s="165"/>
      <c r="CX6" s="165"/>
      <c r="CY6" s="165"/>
      <c r="CZ6" s="165"/>
      <c r="DA6" s="165"/>
    </row>
    <row r="7" spans="1:105" ht="27.95">
      <c r="A7" s="215" t="s">
        <v>257</v>
      </c>
      <c r="B7" s="221">
        <f>+B5+65</f>
        <v>46237</v>
      </c>
      <c r="C7" s="222">
        <f>+C5+65</f>
        <v>46275</v>
      </c>
      <c r="D7" s="211"/>
      <c r="E7" s="210"/>
      <c r="F7" s="210"/>
      <c r="G7" s="210"/>
      <c r="H7" s="210"/>
      <c r="I7" s="210"/>
      <c r="J7" s="210"/>
      <c r="K7" s="210"/>
      <c r="L7" s="210"/>
      <c r="M7" s="210"/>
      <c r="N7" s="210"/>
      <c r="O7" s="210"/>
      <c r="P7" s="210"/>
      <c r="Q7" s="210"/>
      <c r="R7" s="211"/>
      <c r="S7" s="211"/>
      <c r="T7" s="211"/>
      <c r="U7" s="210"/>
      <c r="V7" s="210"/>
      <c r="W7" s="210"/>
      <c r="X7" s="210"/>
      <c r="Y7" s="210"/>
      <c r="Z7" s="210"/>
      <c r="AA7" s="210"/>
      <c r="AB7" s="210"/>
      <c r="AC7" s="210"/>
      <c r="AD7" s="210"/>
      <c r="AE7" s="210"/>
      <c r="AF7" s="211"/>
      <c r="AG7" s="212"/>
      <c r="AH7" s="212"/>
      <c r="AI7" s="212"/>
      <c r="AJ7" s="212"/>
      <c r="AK7" s="212"/>
      <c r="AL7" s="211"/>
      <c r="AM7" s="211"/>
      <c r="AN7" s="211"/>
      <c r="AO7" s="211"/>
      <c r="AP7" s="211"/>
      <c r="AQ7" s="211"/>
      <c r="AR7" s="211"/>
      <c r="AS7" s="211"/>
      <c r="AT7" s="211"/>
      <c r="AU7" s="211"/>
      <c r="AV7" s="211"/>
      <c r="AW7" s="211"/>
      <c r="AX7" s="211"/>
      <c r="AY7" s="211"/>
      <c r="AZ7" s="211"/>
      <c r="BA7" s="213"/>
      <c r="BB7" s="213"/>
      <c r="BC7" s="213"/>
      <c r="BD7" s="213"/>
      <c r="BE7" s="213"/>
      <c r="BF7" s="213"/>
      <c r="BG7" s="213"/>
      <c r="BH7" s="213"/>
      <c r="BI7" s="213"/>
      <c r="BJ7" s="213"/>
      <c r="BK7" s="213"/>
      <c r="BL7" s="213"/>
      <c r="CJ7" s="165"/>
      <c r="CK7" s="165"/>
      <c r="CL7" s="165"/>
      <c r="CM7" s="165"/>
      <c r="CN7" s="165"/>
      <c r="CO7" s="165"/>
      <c r="CP7" s="165"/>
      <c r="CQ7" s="165"/>
      <c r="CR7" s="165"/>
      <c r="CS7" s="165"/>
      <c r="CT7" s="165"/>
      <c r="CU7" s="165"/>
      <c r="CV7" s="165"/>
      <c r="CW7" s="165"/>
      <c r="CX7" s="165"/>
      <c r="CY7" s="165"/>
      <c r="CZ7" s="165"/>
      <c r="DA7" s="165"/>
    </row>
    <row r="8" spans="1:105" ht="27.95">
      <c r="A8" s="223" t="s">
        <v>258</v>
      </c>
      <c r="B8" s="224">
        <f>+B7+7</f>
        <v>46244</v>
      </c>
      <c r="C8" s="225">
        <f>+C7+7</f>
        <v>46282</v>
      </c>
      <c r="D8" s="211"/>
      <c r="E8" s="210"/>
      <c r="F8" s="210"/>
      <c r="G8" s="210"/>
      <c r="H8" s="210"/>
      <c r="I8" s="210"/>
      <c r="J8" s="210"/>
      <c r="K8" s="210"/>
      <c r="L8" s="210"/>
      <c r="M8" s="210"/>
      <c r="N8" s="210"/>
      <c r="O8" s="210"/>
      <c r="P8" s="210"/>
      <c r="Q8" s="210"/>
      <c r="R8" s="211"/>
      <c r="S8" s="211"/>
      <c r="T8" s="211"/>
      <c r="U8" s="210"/>
      <c r="V8" s="210"/>
      <c r="W8" s="210"/>
      <c r="X8" s="210"/>
      <c r="Y8" s="210"/>
      <c r="Z8" s="210"/>
      <c r="AA8" s="210"/>
      <c r="AB8" s="210"/>
      <c r="AC8" s="210"/>
      <c r="AD8" s="210"/>
      <c r="AE8" s="210"/>
      <c r="AF8" s="211"/>
      <c r="AG8" s="212"/>
      <c r="AH8" s="212"/>
      <c r="AI8" s="212"/>
      <c r="AJ8" s="212"/>
      <c r="AK8" s="212"/>
      <c r="AL8" s="211"/>
      <c r="AM8" s="211"/>
      <c r="AN8" s="211"/>
      <c r="AO8" s="211"/>
      <c r="AP8" s="211"/>
      <c r="AQ8" s="211"/>
      <c r="AR8" s="211"/>
      <c r="AS8" s="211"/>
      <c r="AT8" s="211"/>
      <c r="AU8" s="211"/>
      <c r="AV8" s="211"/>
      <c r="AW8" s="211"/>
      <c r="AX8" s="211"/>
      <c r="AY8" s="211"/>
      <c r="AZ8" s="211"/>
      <c r="BA8" s="213"/>
      <c r="BB8" s="213"/>
      <c r="BC8" s="213"/>
      <c r="BD8" s="213"/>
      <c r="BE8" s="213"/>
      <c r="BF8" s="213"/>
      <c r="BG8" s="213"/>
      <c r="BH8" s="213"/>
      <c r="BI8" s="213"/>
      <c r="BJ8" s="213"/>
      <c r="BK8" s="213"/>
      <c r="BL8" s="213"/>
      <c r="CJ8" s="165"/>
      <c r="CK8" s="165"/>
      <c r="CL8" s="165"/>
      <c r="CM8" s="165"/>
      <c r="CN8" s="165"/>
      <c r="CO8" s="165"/>
      <c r="CP8" s="165"/>
      <c r="CQ8" s="165"/>
      <c r="CR8" s="165"/>
      <c r="CS8" s="165"/>
      <c r="CT8" s="165"/>
      <c r="CU8" s="165"/>
      <c r="CV8" s="165"/>
      <c r="CW8" s="165"/>
      <c r="CX8" s="165"/>
      <c r="CY8" s="165"/>
      <c r="CZ8" s="165"/>
      <c r="DA8" s="165"/>
    </row>
    <row r="9" spans="1:105" s="211" customFormat="1" ht="27.95">
      <c r="A9" s="210"/>
      <c r="B9" s="210"/>
      <c r="C9" s="210"/>
      <c r="D9" s="210"/>
      <c r="E9" s="210"/>
      <c r="F9" s="210"/>
      <c r="G9" s="210"/>
      <c r="H9" s="210"/>
      <c r="I9" s="210"/>
      <c r="J9" s="210"/>
      <c r="K9" s="210"/>
      <c r="L9" s="210"/>
      <c r="M9" s="210"/>
      <c r="N9" s="210"/>
      <c r="O9" s="210"/>
      <c r="P9" s="210"/>
      <c r="Q9" s="210"/>
      <c r="R9" s="210"/>
      <c r="S9" s="210"/>
      <c r="T9" s="210"/>
      <c r="U9" s="210"/>
      <c r="V9" s="210"/>
      <c r="W9" s="210"/>
      <c r="X9" s="210"/>
      <c r="Y9" s="210"/>
      <c r="Z9" s="210"/>
      <c r="AA9" s="210"/>
      <c r="AB9" s="210"/>
      <c r="AC9" s="210"/>
      <c r="AD9" s="210"/>
      <c r="AE9" s="210"/>
      <c r="AG9" s="212"/>
      <c r="AH9" s="212"/>
      <c r="AI9" s="212"/>
      <c r="AJ9" s="212"/>
      <c r="AK9" s="212"/>
      <c r="BA9" s="213"/>
      <c r="BB9" s="213"/>
      <c r="BC9" s="213"/>
      <c r="BD9" s="213"/>
      <c r="BE9" s="213"/>
      <c r="BF9" s="213"/>
      <c r="BG9" s="213"/>
      <c r="BH9" s="213"/>
      <c r="BI9" s="213"/>
      <c r="BJ9" s="213"/>
      <c r="BK9" s="213"/>
      <c r="BL9" s="213"/>
      <c r="BR9" s="352"/>
      <c r="CJ9" s="165"/>
      <c r="CK9" s="165"/>
      <c r="CL9" s="165"/>
      <c r="CM9" s="165"/>
      <c r="CN9" s="165"/>
      <c r="CO9" s="165"/>
      <c r="CP9" s="165"/>
      <c r="CQ9" s="165"/>
      <c r="CR9" s="165"/>
      <c r="CS9" s="165"/>
      <c r="CT9" s="165"/>
      <c r="CU9" s="165"/>
      <c r="CV9" s="165"/>
      <c r="CW9" s="165"/>
      <c r="CX9" s="165"/>
      <c r="CY9" s="165"/>
      <c r="CZ9" s="165"/>
      <c r="DA9" s="165"/>
    </row>
    <row r="10" spans="1:105" s="211" customFormat="1" ht="27.95">
      <c r="A10" s="210"/>
      <c r="B10" s="210"/>
      <c r="C10" s="210"/>
      <c r="D10" s="210"/>
      <c r="E10" s="210"/>
      <c r="F10" s="210"/>
      <c r="G10" s="210"/>
      <c r="H10" s="210"/>
      <c r="I10" s="210"/>
      <c r="J10" s="210"/>
      <c r="K10" s="210"/>
      <c r="L10" s="210"/>
      <c r="M10" s="210"/>
      <c r="N10" s="210"/>
      <c r="O10" s="210"/>
      <c r="P10" s="210"/>
      <c r="Q10" s="210"/>
      <c r="R10" s="210"/>
      <c r="S10" s="210"/>
      <c r="T10" s="210"/>
      <c r="U10" s="210"/>
      <c r="V10" s="210"/>
      <c r="W10" s="210"/>
      <c r="X10" s="210"/>
      <c r="Y10" s="210"/>
      <c r="Z10" s="210"/>
      <c r="AA10" s="210"/>
      <c r="AB10" s="210"/>
      <c r="AC10" s="210"/>
      <c r="AD10" s="210"/>
      <c r="AE10" s="210"/>
      <c r="AG10" s="212"/>
      <c r="AH10" s="212"/>
      <c r="AI10" s="212"/>
      <c r="AJ10" s="212"/>
      <c r="AK10" s="212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R10" s="352"/>
      <c r="CJ10" s="165"/>
      <c r="CK10" s="165"/>
      <c r="CL10" s="165"/>
      <c r="CM10" s="165"/>
      <c r="CN10" s="165"/>
      <c r="CO10" s="165"/>
      <c r="CP10" s="165"/>
      <c r="CQ10" s="165"/>
      <c r="CR10" s="165"/>
      <c r="CS10" s="165"/>
      <c r="CT10" s="165"/>
      <c r="CU10" s="165"/>
      <c r="CV10" s="165"/>
      <c r="CW10" s="165"/>
      <c r="CX10" s="165"/>
      <c r="CY10" s="165"/>
      <c r="CZ10" s="165"/>
      <c r="DA10" s="165"/>
    </row>
    <row r="11" spans="1:105" s="211" customFormat="1" ht="27.95">
      <c r="A11" s="210"/>
      <c r="B11" s="210"/>
      <c r="C11" s="210"/>
      <c r="D11" s="210"/>
      <c r="E11" s="210"/>
      <c r="F11" s="210"/>
      <c r="G11" s="210"/>
      <c r="H11" s="210"/>
      <c r="I11" s="210"/>
      <c r="J11" s="210"/>
      <c r="K11" s="210"/>
      <c r="L11" s="210"/>
      <c r="M11" s="210"/>
      <c r="N11" s="210"/>
      <c r="O11" s="210"/>
      <c r="P11" s="210"/>
      <c r="Q11" s="210"/>
      <c r="R11" s="210"/>
      <c r="S11" s="210"/>
      <c r="T11" s="210"/>
      <c r="U11" s="210"/>
      <c r="V11" s="210"/>
      <c r="W11" s="210"/>
      <c r="X11" s="210"/>
      <c r="Y11" s="210"/>
      <c r="Z11" s="210"/>
      <c r="AA11" s="210"/>
      <c r="AB11" s="210"/>
      <c r="AC11" s="210"/>
      <c r="AD11" s="210"/>
      <c r="AE11" s="210"/>
      <c r="AG11" s="212"/>
      <c r="AH11" s="212"/>
      <c r="AI11" s="212"/>
      <c r="AJ11" s="212"/>
      <c r="AK11" s="212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R11" s="352"/>
      <c r="CJ11" s="165"/>
      <c r="CK11" s="165"/>
      <c r="CL11" s="165"/>
      <c r="CM11" s="165"/>
      <c r="CN11" s="165"/>
      <c r="CO11" s="165"/>
      <c r="CP11" s="165"/>
      <c r="CQ11" s="165"/>
      <c r="CR11" s="165"/>
      <c r="CS11" s="165"/>
      <c r="CT11" s="165"/>
      <c r="CU11" s="165"/>
      <c r="CV11" s="165"/>
      <c r="CW11" s="165"/>
      <c r="CX11" s="165"/>
      <c r="CY11" s="165"/>
      <c r="CZ11" s="165"/>
      <c r="DA11" s="165"/>
    </row>
    <row r="12" spans="1:105" s="211" customFormat="1" ht="27.95">
      <c r="A12" s="210"/>
      <c r="B12" s="210"/>
      <c r="C12" s="210"/>
      <c r="D12" s="210"/>
      <c r="E12" s="210"/>
      <c r="F12" s="210"/>
      <c r="G12" s="210"/>
      <c r="H12" s="210"/>
      <c r="I12" s="210"/>
      <c r="J12" s="210"/>
      <c r="K12" s="210"/>
      <c r="L12" s="210"/>
      <c r="M12" s="210"/>
      <c r="N12" s="210"/>
      <c r="O12" s="210"/>
      <c r="P12" s="210"/>
      <c r="Q12" s="210"/>
      <c r="R12" s="210"/>
      <c r="S12" s="210"/>
      <c r="T12" s="210"/>
      <c r="U12" s="210"/>
      <c r="V12" s="210"/>
      <c r="W12" s="210"/>
      <c r="X12" s="210"/>
      <c r="Y12" s="210"/>
      <c r="Z12" s="210"/>
      <c r="AA12" s="210"/>
      <c r="AB12" s="210"/>
      <c r="AC12" s="210"/>
      <c r="AD12" s="210"/>
      <c r="AE12" s="210"/>
      <c r="AG12" s="212"/>
      <c r="AH12" s="212"/>
      <c r="AI12" s="212"/>
      <c r="AJ12" s="212"/>
      <c r="AK12" s="212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R12" s="352"/>
      <c r="CJ12" s="165"/>
      <c r="CK12" s="165"/>
      <c r="CL12" s="165"/>
      <c r="CM12" s="165"/>
      <c r="CN12" s="165"/>
      <c r="CO12" s="165"/>
      <c r="CP12" s="165"/>
      <c r="CQ12" s="165"/>
      <c r="CR12" s="165"/>
      <c r="CS12" s="165"/>
      <c r="CT12" s="165"/>
      <c r="CU12" s="165"/>
      <c r="CV12" s="165"/>
      <c r="CW12" s="165"/>
      <c r="CX12" s="165"/>
      <c r="CY12" s="165"/>
      <c r="CZ12" s="165"/>
      <c r="DA12" s="165"/>
    </row>
    <row r="13" spans="1:105" s="211" customFormat="1" ht="23.1">
      <c r="A13" s="210"/>
      <c r="B13" s="210"/>
      <c r="C13" s="210"/>
      <c r="D13" s="210"/>
      <c r="E13" s="210"/>
      <c r="F13" s="210"/>
      <c r="G13" s="210"/>
      <c r="H13" s="210"/>
      <c r="I13" s="210"/>
      <c r="J13" s="210"/>
      <c r="K13" s="210"/>
      <c r="L13" s="210"/>
      <c r="M13" s="210"/>
      <c r="N13" s="210"/>
      <c r="O13" s="210"/>
      <c r="P13" s="210"/>
      <c r="Q13" s="210"/>
      <c r="R13" s="210"/>
      <c r="S13" s="210"/>
      <c r="T13" s="210"/>
      <c r="U13" s="210"/>
      <c r="V13" s="210"/>
      <c r="W13" s="210"/>
      <c r="X13" s="210"/>
      <c r="Y13" s="210"/>
      <c r="Z13" s="210"/>
      <c r="AA13" s="210"/>
      <c r="AB13" s="210"/>
      <c r="AC13" s="210"/>
      <c r="AD13" s="210"/>
      <c r="AE13" s="210"/>
      <c r="AG13" s="212"/>
      <c r="AH13" s="212"/>
      <c r="AI13" s="212"/>
      <c r="AJ13" s="212"/>
      <c r="AK13" s="212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R13" s="352"/>
      <c r="CJ13" s="168"/>
      <c r="CK13" s="168"/>
      <c r="CL13" s="168"/>
      <c r="CM13" s="168"/>
      <c r="CN13" s="168"/>
      <c r="CO13" s="168"/>
      <c r="CP13" s="168"/>
      <c r="CQ13" s="168"/>
      <c r="CR13" s="168"/>
      <c r="CS13" s="168"/>
      <c r="CT13" s="168"/>
      <c r="CU13" s="168"/>
      <c r="CV13" s="168"/>
      <c r="CW13" s="168"/>
      <c r="CX13" s="168"/>
      <c r="CY13" s="168"/>
      <c r="CZ13" s="168"/>
      <c r="DA13" s="168"/>
    </row>
    <row r="14" spans="1:105" s="211" customFormat="1" ht="35.1" customHeight="1">
      <c r="A14" s="210"/>
      <c r="B14" s="210"/>
      <c r="C14" s="210"/>
      <c r="D14" s="210"/>
      <c r="E14" s="210"/>
      <c r="F14" s="210"/>
      <c r="G14" s="210"/>
      <c r="H14" s="210"/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  <c r="AC14" s="210"/>
      <c r="AD14" s="210"/>
      <c r="AE14" s="210"/>
      <c r="AG14" s="212"/>
      <c r="AH14" s="212"/>
      <c r="AI14" s="212"/>
      <c r="AJ14" s="212"/>
      <c r="AK14" s="212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R14" s="352"/>
      <c r="CJ14" s="394" t="s">
        <v>0</v>
      </c>
      <c r="CK14" s="395"/>
      <c r="CL14" s="395"/>
      <c r="CM14" s="395"/>
      <c r="CN14" s="395"/>
      <c r="CO14" s="395"/>
      <c r="CP14" s="395"/>
      <c r="CQ14" s="395"/>
      <c r="CR14" s="395"/>
      <c r="CS14" s="395"/>
      <c r="CT14" s="395"/>
      <c r="CU14" s="395"/>
      <c r="CV14" s="395"/>
      <c r="CW14" s="395"/>
      <c r="CX14" s="395"/>
      <c r="CY14" s="395"/>
      <c r="CZ14" s="395"/>
      <c r="DA14" s="395"/>
    </row>
    <row r="15" spans="1:105" s="211" customFormat="1" ht="63">
      <c r="A15" s="210"/>
      <c r="B15" s="210"/>
      <c r="C15" s="210"/>
      <c r="D15" s="210"/>
      <c r="E15" s="210"/>
      <c r="F15" s="210"/>
      <c r="G15" s="210"/>
      <c r="H15" s="210"/>
      <c r="I15" s="210"/>
      <c r="J15" s="210"/>
      <c r="K15" s="210"/>
      <c r="L15" s="210"/>
      <c r="M15" s="210"/>
      <c r="N15" s="210"/>
      <c r="O15" s="210"/>
      <c r="P15" s="210">
        <v>18.5</v>
      </c>
      <c r="Q15" s="210"/>
      <c r="R15" s="210"/>
      <c r="S15" s="210"/>
      <c r="T15" s="210"/>
      <c r="U15" s="210"/>
      <c r="V15" s="210"/>
      <c r="W15" s="210"/>
      <c r="X15" s="210"/>
      <c r="Y15" s="210"/>
      <c r="Z15" s="210"/>
      <c r="AA15" s="210"/>
      <c r="AB15" s="210"/>
      <c r="AC15" s="210"/>
      <c r="AD15" s="210"/>
      <c r="AE15" s="210"/>
      <c r="AG15" s="212"/>
      <c r="AH15" s="212"/>
      <c r="AI15" s="212"/>
      <c r="AJ15" s="212"/>
      <c r="AK15" s="212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R15" s="352"/>
      <c r="CJ15" s="356" t="s">
        <v>1</v>
      </c>
      <c r="CK15" s="356"/>
      <c r="CL15" s="356" t="s">
        <v>1366</v>
      </c>
      <c r="CM15" s="356"/>
      <c r="CN15" s="356" t="s">
        <v>3</v>
      </c>
      <c r="CO15" s="356"/>
      <c r="CP15" s="356" t="s">
        <v>4</v>
      </c>
      <c r="CQ15" s="356"/>
      <c r="CR15" s="356" t="s">
        <v>5</v>
      </c>
      <c r="CS15" s="356"/>
      <c r="CT15" s="356" t="s">
        <v>6</v>
      </c>
      <c r="CU15" s="356"/>
      <c r="CV15" s="356" t="s">
        <v>7</v>
      </c>
      <c r="CW15" s="356"/>
      <c r="CX15" s="356" t="s">
        <v>8</v>
      </c>
      <c r="CY15" s="356"/>
      <c r="CZ15" s="356" t="s">
        <v>9</v>
      </c>
      <c r="DA15" s="356"/>
    </row>
    <row r="16" spans="1:105" ht="88.5">
      <c r="A16" s="226" t="s">
        <v>10</v>
      </c>
      <c r="B16" s="226" t="s">
        <v>11</v>
      </c>
      <c r="C16" s="226" t="s">
        <v>12</v>
      </c>
      <c r="D16" s="226" t="s">
        <v>13</v>
      </c>
      <c r="E16" s="226" t="s">
        <v>14</v>
      </c>
      <c r="F16" s="226" t="s">
        <v>15</v>
      </c>
      <c r="G16" s="226" t="s">
        <v>16</v>
      </c>
      <c r="H16" s="226" t="s">
        <v>17</v>
      </c>
      <c r="I16" s="226" t="s">
        <v>18</v>
      </c>
      <c r="J16" s="226" t="s">
        <v>19</v>
      </c>
      <c r="K16" s="226" t="s">
        <v>20</v>
      </c>
      <c r="L16" s="226" t="s">
        <v>1040</v>
      </c>
      <c r="M16" s="226" t="s">
        <v>41</v>
      </c>
      <c r="N16" s="226" t="s">
        <v>23</v>
      </c>
      <c r="O16" s="226" t="s">
        <v>24</v>
      </c>
      <c r="P16" s="226" t="s">
        <v>669</v>
      </c>
      <c r="Q16" s="226" t="s">
        <v>1046</v>
      </c>
      <c r="R16" s="226" t="s">
        <v>27</v>
      </c>
      <c r="S16" s="226" t="s">
        <v>28</v>
      </c>
      <c r="T16" s="226" t="s">
        <v>30</v>
      </c>
      <c r="U16" s="226" t="s">
        <v>1047</v>
      </c>
      <c r="V16" s="226" t="s">
        <v>31</v>
      </c>
      <c r="W16" s="227" t="s">
        <v>32</v>
      </c>
      <c r="X16" s="227" t="s">
        <v>33</v>
      </c>
      <c r="Y16" s="227" t="s">
        <v>34</v>
      </c>
      <c r="Z16" s="226" t="s">
        <v>35</v>
      </c>
      <c r="AA16" s="226" t="s">
        <v>36</v>
      </c>
      <c r="AB16" s="226" t="s">
        <v>1048</v>
      </c>
      <c r="AC16" s="226" t="s">
        <v>1049</v>
      </c>
      <c r="AD16" s="226" t="s">
        <v>39</v>
      </c>
      <c r="AE16" s="285"/>
      <c r="AG16" s="228" t="s">
        <v>30</v>
      </c>
      <c r="AH16" s="228" t="s">
        <v>31</v>
      </c>
      <c r="AI16" s="228" t="s">
        <v>32</v>
      </c>
      <c r="AJ16" s="228" t="s">
        <v>33</v>
      </c>
      <c r="AK16" s="228" t="s">
        <v>272</v>
      </c>
      <c r="BA16" s="229" t="s">
        <v>40</v>
      </c>
      <c r="BB16" s="229" t="s">
        <v>41</v>
      </c>
      <c r="BC16" s="229" t="s">
        <v>42</v>
      </c>
      <c r="BD16" s="229" t="s">
        <v>43</v>
      </c>
      <c r="BE16" s="229" t="s">
        <v>44</v>
      </c>
      <c r="BF16" s="229" t="s">
        <v>45</v>
      </c>
      <c r="BG16" s="229" t="s">
        <v>46</v>
      </c>
      <c r="BH16" s="1" t="s">
        <v>47</v>
      </c>
      <c r="BI16" s="229" t="s">
        <v>48</v>
      </c>
      <c r="BJ16" s="229" t="s">
        <v>49</v>
      </c>
      <c r="BK16" s="229" t="s">
        <v>13</v>
      </c>
      <c r="BL16" s="229" t="s">
        <v>50</v>
      </c>
      <c r="BR16" s="333" t="s">
        <v>38</v>
      </c>
      <c r="BS16" s="333" t="s">
        <v>39</v>
      </c>
      <c r="BT16" s="333" t="s">
        <v>53</v>
      </c>
      <c r="CJ16" s="357" t="s">
        <v>54</v>
      </c>
      <c r="CK16" s="357" t="s">
        <v>55</v>
      </c>
      <c r="CL16" s="357" t="s">
        <v>54</v>
      </c>
      <c r="CM16" s="357" t="s">
        <v>55</v>
      </c>
      <c r="CN16" s="357" t="s">
        <v>54</v>
      </c>
      <c r="CO16" s="357" t="s">
        <v>55</v>
      </c>
      <c r="CP16" s="357" t="s">
        <v>54</v>
      </c>
      <c r="CQ16" s="357" t="s">
        <v>55</v>
      </c>
      <c r="CR16" s="357" t="s">
        <v>54</v>
      </c>
      <c r="CS16" s="357" t="s">
        <v>55</v>
      </c>
      <c r="CT16" s="357" t="s">
        <v>54</v>
      </c>
      <c r="CU16" s="357" t="s">
        <v>55</v>
      </c>
      <c r="CV16" s="357" t="s">
        <v>54</v>
      </c>
      <c r="CW16" s="357" t="s">
        <v>55</v>
      </c>
      <c r="CX16" s="357" t="s">
        <v>54</v>
      </c>
      <c r="CY16" s="357" t="s">
        <v>55</v>
      </c>
      <c r="CZ16" s="357" t="s">
        <v>54</v>
      </c>
      <c r="DA16" s="357" t="s">
        <v>55</v>
      </c>
    </row>
    <row r="17" spans="1:105" ht="69" customHeight="1">
      <c r="A17" s="230">
        <v>1</v>
      </c>
      <c r="B17" s="231">
        <v>46266</v>
      </c>
      <c r="C17" s="231">
        <v>46266</v>
      </c>
      <c r="D17" s="230" t="s">
        <v>77</v>
      </c>
      <c r="E17" s="232">
        <v>7502327991816</v>
      </c>
      <c r="F17" s="230" t="s">
        <v>1367</v>
      </c>
      <c r="G17" s="233" t="s">
        <v>1368</v>
      </c>
      <c r="H17" s="234"/>
      <c r="I17" s="234" t="s">
        <v>1369</v>
      </c>
      <c r="J17" s="234" t="s">
        <v>1364</v>
      </c>
      <c r="K17" s="235" t="s">
        <v>1053</v>
      </c>
      <c r="L17" s="236">
        <v>1</v>
      </c>
      <c r="M17" s="237">
        <v>0.62</v>
      </c>
      <c r="N17" s="238" t="s">
        <v>64</v>
      </c>
      <c r="O17" s="239">
        <v>10000</v>
      </c>
      <c r="P17" s="238">
        <f>+M17*$P$15</f>
        <v>11.47</v>
      </c>
      <c r="Q17" s="238">
        <f t="shared" ref="Q17:Q23" si="0">P17*0.25</f>
        <v>2.8675000000000002</v>
      </c>
      <c r="R17" s="238">
        <f>(P17+Q17)*2.7%</f>
        <v>0.38711250000000008</v>
      </c>
      <c r="S17" s="238">
        <f t="shared" ref="S17:S52" si="1">+R17+Q17+P17</f>
        <v>14.724612500000001</v>
      </c>
      <c r="T17" s="240">
        <v>109</v>
      </c>
      <c r="U17" s="238">
        <f t="shared" ref="U17:U49" si="2">+T17/1.16</f>
        <v>93.965517241379317</v>
      </c>
      <c r="V17" s="241">
        <f t="shared" ref="V17:V49" si="3">+U17*0.6</f>
        <v>56.379310344827587</v>
      </c>
      <c r="W17" s="242">
        <f t="shared" ref="W17:W49" si="4">+S17/V17</f>
        <v>0.26117049694189604</v>
      </c>
      <c r="X17" s="243">
        <f t="shared" ref="X17:X49" si="5">1-(S17/V17)</f>
        <v>0.73882950305810402</v>
      </c>
      <c r="Y17" s="244">
        <f t="shared" ref="Y17:Y49" si="6">1-(V17/(T17/1.16))</f>
        <v>0.4</v>
      </c>
      <c r="Z17" s="245" t="s">
        <v>1370</v>
      </c>
      <c r="AA17" s="246" t="s">
        <v>1371</v>
      </c>
      <c r="AB17" s="234">
        <v>6</v>
      </c>
      <c r="AC17" s="234">
        <f>24*AB17</f>
        <v>144</v>
      </c>
      <c r="AD17" s="465">
        <v>46308</v>
      </c>
      <c r="AE17" s="286"/>
      <c r="AG17" s="247">
        <v>79</v>
      </c>
      <c r="AH17" s="248">
        <f t="shared" ref="AH17:AH49" si="7">AG17/1.16</f>
        <v>68.103448275862078</v>
      </c>
      <c r="AI17" s="249">
        <f t="shared" ref="AI17:AI49" si="8">+S17/AH17</f>
        <v>0.21620949999999997</v>
      </c>
      <c r="AJ17" s="250">
        <f t="shared" ref="AJ17:AJ49" si="9">1-(S17/AH17)</f>
        <v>0.78379050000000006</v>
      </c>
      <c r="AK17" s="251">
        <f t="shared" ref="AK17:AK49" si="10">1-(AH17/(AG17/1.16))</f>
        <v>0</v>
      </c>
      <c r="BA17" s="252">
        <v>1</v>
      </c>
      <c r="BB17" s="252">
        <v>1</v>
      </c>
      <c r="BC17" s="252">
        <v>1</v>
      </c>
      <c r="BD17" s="252">
        <v>1</v>
      </c>
      <c r="BE17" s="252">
        <v>1</v>
      </c>
      <c r="BF17" s="252">
        <v>1</v>
      </c>
      <c r="BG17" s="252">
        <v>1</v>
      </c>
      <c r="BH17" s="252"/>
      <c r="BI17" s="252"/>
      <c r="BJ17" s="252">
        <v>9</v>
      </c>
      <c r="BK17" s="252">
        <f t="shared" ref="BK17:BK49" si="11">SUM(BA17:BI17)</f>
        <v>7</v>
      </c>
      <c r="BL17" s="253">
        <f t="shared" ref="BL17:BL49" si="12">+BK17/BJ17</f>
        <v>0.77777777777777779</v>
      </c>
      <c r="BR17" s="353" t="s">
        <v>1372</v>
      </c>
      <c r="BS17" s="81"/>
      <c r="BT17" s="81" t="s">
        <v>627</v>
      </c>
      <c r="CJ17" s="358">
        <v>46156</v>
      </c>
      <c r="CK17" s="358">
        <v>46156</v>
      </c>
      <c r="CL17" s="358">
        <f>CK17+15</f>
        <v>46171</v>
      </c>
      <c r="CM17" s="358"/>
      <c r="CN17" s="358">
        <f>CL17+14</f>
        <v>46185</v>
      </c>
      <c r="CO17" s="278"/>
      <c r="CP17" s="358">
        <f>CN17+45</f>
        <v>46230</v>
      </c>
      <c r="CQ17" s="268"/>
      <c r="CR17" s="378">
        <f>CP17-12</f>
        <v>46218</v>
      </c>
      <c r="CS17" s="267"/>
      <c r="CT17" s="378">
        <f>CP17+7</f>
        <v>46237</v>
      </c>
      <c r="CU17" s="267"/>
      <c r="CV17" s="378">
        <f>CT17+7</f>
        <v>46244</v>
      </c>
      <c r="CW17" s="267"/>
      <c r="CX17" s="378">
        <f>CV17+44</f>
        <v>46288</v>
      </c>
      <c r="CY17" s="267"/>
      <c r="CZ17" s="378">
        <f>CX17+10</f>
        <v>46298</v>
      </c>
      <c r="DA17" s="267"/>
    </row>
    <row r="18" spans="1:105" ht="69" customHeight="1">
      <c r="A18" s="230">
        <v>2</v>
      </c>
      <c r="B18" s="231">
        <v>46266</v>
      </c>
      <c r="C18" s="231">
        <v>46266</v>
      </c>
      <c r="D18" s="230" t="s">
        <v>77</v>
      </c>
      <c r="E18" s="232">
        <v>7502327991823</v>
      </c>
      <c r="F18" s="230" t="s">
        <v>1373</v>
      </c>
      <c r="G18" s="233" t="s">
        <v>1374</v>
      </c>
      <c r="H18" s="215"/>
      <c r="I18" s="234" t="s">
        <v>1369</v>
      </c>
      <c r="J18" s="235" t="s">
        <v>1364</v>
      </c>
      <c r="K18" s="235" t="s">
        <v>1053</v>
      </c>
      <c r="L18" s="236">
        <v>1</v>
      </c>
      <c r="M18" s="237">
        <v>0.62</v>
      </c>
      <c r="N18" s="238" t="s">
        <v>64</v>
      </c>
      <c r="O18" s="239">
        <v>10000</v>
      </c>
      <c r="P18" s="238">
        <f t="shared" ref="P18:P52" si="13">+M18*$P$15</f>
        <v>11.47</v>
      </c>
      <c r="Q18" s="238">
        <f t="shared" si="0"/>
        <v>2.8675000000000002</v>
      </c>
      <c r="R18" s="238">
        <f>(P18+Q18)*2.7%</f>
        <v>0.38711250000000008</v>
      </c>
      <c r="S18" s="238">
        <f t="shared" si="1"/>
        <v>14.724612500000001</v>
      </c>
      <c r="T18" s="240">
        <v>109</v>
      </c>
      <c r="U18" s="238">
        <f t="shared" si="2"/>
        <v>93.965517241379317</v>
      </c>
      <c r="V18" s="241">
        <f t="shared" si="3"/>
        <v>56.379310344827587</v>
      </c>
      <c r="W18" s="242">
        <f t="shared" si="4"/>
        <v>0.26117049694189604</v>
      </c>
      <c r="X18" s="243">
        <f t="shared" si="5"/>
        <v>0.73882950305810402</v>
      </c>
      <c r="Y18" s="244">
        <f t="shared" si="6"/>
        <v>0.4</v>
      </c>
      <c r="Z18" s="245" t="s">
        <v>1370</v>
      </c>
      <c r="AA18" s="246" t="s">
        <v>1371</v>
      </c>
      <c r="AB18" s="234">
        <v>6</v>
      </c>
      <c r="AC18" s="234">
        <f>24*AB18</f>
        <v>144</v>
      </c>
      <c r="AD18" s="465">
        <v>46308</v>
      </c>
      <c r="AE18" s="286"/>
      <c r="AG18" s="247">
        <v>79</v>
      </c>
      <c r="AH18" s="248">
        <f t="shared" si="7"/>
        <v>68.103448275862078</v>
      </c>
      <c r="AI18" s="249">
        <f t="shared" si="8"/>
        <v>0.21620949999999997</v>
      </c>
      <c r="AJ18" s="250">
        <f t="shared" si="9"/>
        <v>0.78379050000000006</v>
      </c>
      <c r="AK18" s="251">
        <f t="shared" si="10"/>
        <v>0</v>
      </c>
      <c r="BA18" s="252">
        <v>1</v>
      </c>
      <c r="BB18" s="252">
        <v>1</v>
      </c>
      <c r="BC18" s="252">
        <v>1</v>
      </c>
      <c r="BD18" s="252">
        <v>1</v>
      </c>
      <c r="BE18" s="252">
        <v>1</v>
      </c>
      <c r="BF18" s="254">
        <v>1</v>
      </c>
      <c r="BG18" s="254">
        <v>1</v>
      </c>
      <c r="BH18" s="254"/>
      <c r="BI18" s="254"/>
      <c r="BJ18" s="252">
        <v>9</v>
      </c>
      <c r="BK18" s="252">
        <f t="shared" si="11"/>
        <v>7</v>
      </c>
      <c r="BL18" s="253">
        <f t="shared" si="12"/>
        <v>0.77777777777777779</v>
      </c>
      <c r="BR18" s="353" t="s">
        <v>1372</v>
      </c>
      <c r="BS18" s="334"/>
      <c r="BT18" s="81" t="s">
        <v>627</v>
      </c>
      <c r="CJ18" s="358">
        <v>46156</v>
      </c>
      <c r="CK18" s="358">
        <v>46156</v>
      </c>
      <c r="CL18" s="358">
        <f t="shared" ref="CL18:CL21" si="14">CK18+15</f>
        <v>46171</v>
      </c>
      <c r="CM18" s="358"/>
      <c r="CN18" s="358">
        <f t="shared" ref="CN18:CN22" si="15">CL18+14</f>
        <v>46185</v>
      </c>
      <c r="CO18" s="278"/>
      <c r="CP18" s="358">
        <f t="shared" ref="CP18:CP20" si="16">CN18+45</f>
        <v>46230</v>
      </c>
      <c r="CQ18" s="268"/>
      <c r="CR18" s="378">
        <f t="shared" ref="CR18:CR20" si="17">CP18-12</f>
        <v>46218</v>
      </c>
      <c r="CS18" s="267"/>
      <c r="CT18" s="378">
        <f t="shared" ref="CT18:CT20" si="18">CP18+7</f>
        <v>46237</v>
      </c>
      <c r="CU18" s="267"/>
      <c r="CV18" s="378">
        <f t="shared" ref="CV18:CV20" si="19">CT18+7</f>
        <v>46244</v>
      </c>
      <c r="CW18" s="267"/>
      <c r="CX18" s="378">
        <f t="shared" ref="CX18:CX20" si="20">CV18+44</f>
        <v>46288</v>
      </c>
      <c r="CY18" s="267"/>
      <c r="CZ18" s="378">
        <f t="shared" ref="CZ18:CZ20" si="21">CX18+10</f>
        <v>46298</v>
      </c>
      <c r="DA18" s="267"/>
    </row>
    <row r="19" spans="1:105" ht="69" customHeight="1">
      <c r="A19" s="230">
        <v>3</v>
      </c>
      <c r="B19" s="231">
        <v>46266</v>
      </c>
      <c r="C19" s="231">
        <v>46266</v>
      </c>
      <c r="D19" s="230" t="s">
        <v>77</v>
      </c>
      <c r="E19" s="232">
        <v>7502327991830</v>
      </c>
      <c r="F19" s="230" t="s">
        <v>1375</v>
      </c>
      <c r="G19" s="233" t="s">
        <v>1376</v>
      </c>
      <c r="H19" s="234"/>
      <c r="I19" s="234" t="s">
        <v>1369</v>
      </c>
      <c r="J19" s="234" t="s">
        <v>1364</v>
      </c>
      <c r="K19" s="235" t="s">
        <v>1053</v>
      </c>
      <c r="L19" s="236">
        <v>1</v>
      </c>
      <c r="M19" s="237">
        <v>0.62</v>
      </c>
      <c r="N19" s="238" t="s">
        <v>64</v>
      </c>
      <c r="O19" s="239">
        <v>10000</v>
      </c>
      <c r="P19" s="238">
        <f t="shared" si="13"/>
        <v>11.47</v>
      </c>
      <c r="Q19" s="238">
        <f t="shared" si="0"/>
        <v>2.8675000000000002</v>
      </c>
      <c r="R19" s="238">
        <f>(P19+Q19)*2.7%</f>
        <v>0.38711250000000008</v>
      </c>
      <c r="S19" s="238">
        <f t="shared" si="1"/>
        <v>14.724612500000001</v>
      </c>
      <c r="T19" s="240">
        <v>109</v>
      </c>
      <c r="U19" s="238">
        <f t="shared" si="2"/>
        <v>93.965517241379317</v>
      </c>
      <c r="V19" s="241">
        <f t="shared" si="3"/>
        <v>56.379310344827587</v>
      </c>
      <c r="W19" s="242">
        <f t="shared" si="4"/>
        <v>0.26117049694189604</v>
      </c>
      <c r="X19" s="243">
        <f t="shared" si="5"/>
        <v>0.73882950305810402</v>
      </c>
      <c r="Y19" s="244">
        <f t="shared" si="6"/>
        <v>0.4</v>
      </c>
      <c r="Z19" s="245" t="s">
        <v>1370</v>
      </c>
      <c r="AA19" s="246" t="s">
        <v>1371</v>
      </c>
      <c r="AB19" s="234">
        <v>6</v>
      </c>
      <c r="AC19" s="234">
        <f>24*AB19</f>
        <v>144</v>
      </c>
      <c r="AD19" s="465">
        <v>46308</v>
      </c>
      <c r="AE19" s="286"/>
      <c r="AG19" s="247">
        <v>79</v>
      </c>
      <c r="AH19" s="248">
        <f t="shared" si="7"/>
        <v>68.103448275862078</v>
      </c>
      <c r="AI19" s="249">
        <f t="shared" si="8"/>
        <v>0.21620949999999997</v>
      </c>
      <c r="AJ19" s="250">
        <f t="shared" si="9"/>
        <v>0.78379050000000006</v>
      </c>
      <c r="AK19" s="251">
        <f t="shared" si="10"/>
        <v>0</v>
      </c>
      <c r="BA19" s="252">
        <v>1</v>
      </c>
      <c r="BB19" s="252">
        <v>1</v>
      </c>
      <c r="BC19" s="252">
        <v>1</v>
      </c>
      <c r="BD19" s="252">
        <v>1</v>
      </c>
      <c r="BE19" s="252">
        <v>1</v>
      </c>
      <c r="BF19" s="254">
        <v>1</v>
      </c>
      <c r="BG19" s="254">
        <v>1</v>
      </c>
      <c r="BH19" s="254"/>
      <c r="BI19" s="254"/>
      <c r="BJ19" s="252">
        <v>9</v>
      </c>
      <c r="BK19" s="252">
        <f t="shared" si="11"/>
        <v>7</v>
      </c>
      <c r="BL19" s="253">
        <f t="shared" si="12"/>
        <v>0.77777777777777779</v>
      </c>
      <c r="BR19" s="353" t="s">
        <v>1372</v>
      </c>
      <c r="BS19" s="334"/>
      <c r="BT19" s="81" t="s">
        <v>627</v>
      </c>
      <c r="CJ19" s="358">
        <v>46156</v>
      </c>
      <c r="CK19" s="358">
        <v>46156</v>
      </c>
      <c r="CL19" s="358">
        <f t="shared" si="14"/>
        <v>46171</v>
      </c>
      <c r="CM19" s="358"/>
      <c r="CN19" s="358">
        <f t="shared" si="15"/>
        <v>46185</v>
      </c>
      <c r="CO19" s="278"/>
      <c r="CP19" s="358">
        <f t="shared" si="16"/>
        <v>46230</v>
      </c>
      <c r="CQ19" s="268"/>
      <c r="CR19" s="378">
        <f t="shared" si="17"/>
        <v>46218</v>
      </c>
      <c r="CS19" s="267"/>
      <c r="CT19" s="378">
        <f t="shared" si="18"/>
        <v>46237</v>
      </c>
      <c r="CU19" s="267"/>
      <c r="CV19" s="378">
        <f t="shared" si="19"/>
        <v>46244</v>
      </c>
      <c r="CW19" s="267"/>
      <c r="CX19" s="378">
        <f t="shared" si="20"/>
        <v>46288</v>
      </c>
      <c r="CY19" s="267"/>
      <c r="CZ19" s="378">
        <f t="shared" si="21"/>
        <v>46298</v>
      </c>
      <c r="DA19" s="267"/>
    </row>
    <row r="20" spans="1:105" ht="69" customHeight="1">
      <c r="A20" s="230">
        <v>4</v>
      </c>
      <c r="B20" s="231">
        <v>46266</v>
      </c>
      <c r="C20" s="231">
        <v>46266</v>
      </c>
      <c r="D20" s="230" t="s">
        <v>77</v>
      </c>
      <c r="E20" s="232">
        <v>7502327991847</v>
      </c>
      <c r="F20" s="230" t="s">
        <v>1377</v>
      </c>
      <c r="G20" s="233" t="s">
        <v>1378</v>
      </c>
      <c r="H20" s="215"/>
      <c r="I20" s="234" t="s">
        <v>1369</v>
      </c>
      <c r="J20" s="235" t="s">
        <v>1364</v>
      </c>
      <c r="K20" s="235" t="s">
        <v>1053</v>
      </c>
      <c r="L20" s="236">
        <v>1</v>
      </c>
      <c r="M20" s="237">
        <v>0.62</v>
      </c>
      <c r="N20" s="238" t="s">
        <v>64</v>
      </c>
      <c r="O20" s="239">
        <v>10000</v>
      </c>
      <c r="P20" s="238">
        <f t="shared" si="13"/>
        <v>11.47</v>
      </c>
      <c r="Q20" s="238">
        <f t="shared" si="0"/>
        <v>2.8675000000000002</v>
      </c>
      <c r="R20" s="238">
        <f>(P20+Q20)*2.7%</f>
        <v>0.38711250000000008</v>
      </c>
      <c r="S20" s="238">
        <f t="shared" si="1"/>
        <v>14.724612500000001</v>
      </c>
      <c r="T20" s="240">
        <v>109</v>
      </c>
      <c r="U20" s="238">
        <f t="shared" si="2"/>
        <v>93.965517241379317</v>
      </c>
      <c r="V20" s="241">
        <f t="shared" si="3"/>
        <v>56.379310344827587</v>
      </c>
      <c r="W20" s="242">
        <f t="shared" si="4"/>
        <v>0.26117049694189604</v>
      </c>
      <c r="X20" s="243">
        <f t="shared" si="5"/>
        <v>0.73882950305810402</v>
      </c>
      <c r="Y20" s="244">
        <f t="shared" si="6"/>
        <v>0.4</v>
      </c>
      <c r="Z20" s="245" t="s">
        <v>1370</v>
      </c>
      <c r="AA20" s="246" t="s">
        <v>1371</v>
      </c>
      <c r="AB20" s="234">
        <v>6</v>
      </c>
      <c r="AC20" s="234">
        <f>24*AB20</f>
        <v>144</v>
      </c>
      <c r="AD20" s="465">
        <v>46308</v>
      </c>
      <c r="AE20" s="286"/>
      <c r="AG20" s="247">
        <v>79</v>
      </c>
      <c r="AH20" s="248">
        <f t="shared" si="7"/>
        <v>68.103448275862078</v>
      </c>
      <c r="AI20" s="249">
        <f t="shared" si="8"/>
        <v>0.21620949999999997</v>
      </c>
      <c r="AJ20" s="250">
        <f t="shared" si="9"/>
        <v>0.78379050000000006</v>
      </c>
      <c r="AK20" s="251">
        <f t="shared" si="10"/>
        <v>0</v>
      </c>
      <c r="BA20" s="252">
        <v>1</v>
      </c>
      <c r="BB20" s="252">
        <v>1</v>
      </c>
      <c r="BC20" s="252">
        <v>1</v>
      </c>
      <c r="BD20" s="252">
        <v>1</v>
      </c>
      <c r="BE20" s="252">
        <v>1</v>
      </c>
      <c r="BF20" s="254">
        <v>1</v>
      </c>
      <c r="BG20" s="254">
        <v>1</v>
      </c>
      <c r="BH20" s="254"/>
      <c r="BI20" s="254"/>
      <c r="BJ20" s="252">
        <v>9</v>
      </c>
      <c r="BK20" s="252">
        <f t="shared" si="11"/>
        <v>7</v>
      </c>
      <c r="BL20" s="253">
        <f t="shared" si="12"/>
        <v>0.77777777777777779</v>
      </c>
      <c r="BR20" s="353" t="s">
        <v>1372</v>
      </c>
      <c r="BS20" s="334"/>
      <c r="BT20" s="81" t="s">
        <v>627</v>
      </c>
      <c r="CJ20" s="358">
        <v>46156</v>
      </c>
      <c r="CK20" s="358">
        <v>46156</v>
      </c>
      <c r="CL20" s="358">
        <f t="shared" si="14"/>
        <v>46171</v>
      </c>
      <c r="CM20" s="358"/>
      <c r="CN20" s="358">
        <f t="shared" si="15"/>
        <v>46185</v>
      </c>
      <c r="CO20" s="278"/>
      <c r="CP20" s="358">
        <f t="shared" si="16"/>
        <v>46230</v>
      </c>
      <c r="CQ20" s="268"/>
      <c r="CR20" s="378">
        <f t="shared" si="17"/>
        <v>46218</v>
      </c>
      <c r="CS20" s="267"/>
      <c r="CT20" s="378">
        <f t="shared" si="18"/>
        <v>46237</v>
      </c>
      <c r="CU20" s="267"/>
      <c r="CV20" s="378">
        <f t="shared" si="19"/>
        <v>46244</v>
      </c>
      <c r="CW20" s="267"/>
      <c r="CX20" s="378">
        <f t="shared" si="20"/>
        <v>46288</v>
      </c>
      <c r="CY20" s="267"/>
      <c r="CZ20" s="378">
        <f t="shared" si="21"/>
        <v>46298</v>
      </c>
      <c r="DA20" s="267"/>
    </row>
    <row r="21" spans="1:105" ht="69" customHeight="1">
      <c r="A21" s="230">
        <v>5</v>
      </c>
      <c r="B21" s="231">
        <v>46266</v>
      </c>
      <c r="C21" s="231">
        <v>46266</v>
      </c>
      <c r="D21" s="230" t="s">
        <v>77</v>
      </c>
      <c r="E21" s="232">
        <v>7502327991854</v>
      </c>
      <c r="F21" s="230" t="s">
        <v>1379</v>
      </c>
      <c r="G21" s="233" t="s">
        <v>1380</v>
      </c>
      <c r="H21" s="215"/>
      <c r="I21" s="234" t="s">
        <v>147</v>
      </c>
      <c r="J21" s="235" t="s">
        <v>1364</v>
      </c>
      <c r="K21" s="235" t="s">
        <v>1053</v>
      </c>
      <c r="L21" s="236">
        <v>1</v>
      </c>
      <c r="M21" s="255">
        <v>0.56999999999999995</v>
      </c>
      <c r="N21" s="238" t="s">
        <v>64</v>
      </c>
      <c r="O21" s="239">
        <v>10000</v>
      </c>
      <c r="P21" s="238">
        <f t="shared" si="13"/>
        <v>10.545</v>
      </c>
      <c r="Q21" s="238">
        <f t="shared" si="0"/>
        <v>2.63625</v>
      </c>
      <c r="R21" s="238">
        <f>(P21+Q21)*9.66%</f>
        <v>1.2733087500000002</v>
      </c>
      <c r="S21" s="238">
        <f t="shared" si="1"/>
        <v>14.45455875</v>
      </c>
      <c r="T21" s="240">
        <v>99</v>
      </c>
      <c r="U21" s="238">
        <f t="shared" si="2"/>
        <v>85.344827586206904</v>
      </c>
      <c r="V21" s="241">
        <f t="shared" si="3"/>
        <v>51.206896551724142</v>
      </c>
      <c r="W21" s="242">
        <f t="shared" si="4"/>
        <v>0.28227757828282829</v>
      </c>
      <c r="X21" s="243">
        <f t="shared" si="5"/>
        <v>0.71772242171717171</v>
      </c>
      <c r="Y21" s="244">
        <f t="shared" si="6"/>
        <v>0.4</v>
      </c>
      <c r="Z21" s="245" t="s">
        <v>1370</v>
      </c>
      <c r="AA21" s="246" t="s">
        <v>1371</v>
      </c>
      <c r="AB21" s="234">
        <v>6</v>
      </c>
      <c r="AC21" s="234">
        <v>72</v>
      </c>
      <c r="AD21" s="465">
        <v>46334</v>
      </c>
      <c r="AE21" s="286"/>
      <c r="AG21" s="247">
        <v>69</v>
      </c>
      <c r="AH21" s="248">
        <f t="shared" si="7"/>
        <v>59.482758620689658</v>
      </c>
      <c r="AI21" s="249">
        <f t="shared" si="8"/>
        <v>0.24300417608695651</v>
      </c>
      <c r="AJ21" s="250">
        <f t="shared" si="9"/>
        <v>0.75699582391304343</v>
      </c>
      <c r="AK21" s="251">
        <f t="shared" si="10"/>
        <v>0</v>
      </c>
      <c r="BA21" s="252">
        <v>1</v>
      </c>
      <c r="BB21" s="252">
        <v>1</v>
      </c>
      <c r="BC21" s="252">
        <v>1</v>
      </c>
      <c r="BD21" s="252">
        <v>1</v>
      </c>
      <c r="BE21" s="252">
        <v>1</v>
      </c>
      <c r="BF21" s="254">
        <v>1</v>
      </c>
      <c r="BG21" s="254"/>
      <c r="BH21" s="254"/>
      <c r="BI21" s="254"/>
      <c r="BJ21" s="252">
        <v>9</v>
      </c>
      <c r="BK21" s="252">
        <f t="shared" si="11"/>
        <v>6</v>
      </c>
      <c r="BL21" s="253">
        <f t="shared" si="12"/>
        <v>0.66666666666666663</v>
      </c>
      <c r="BR21" s="353" t="s">
        <v>1372</v>
      </c>
      <c r="BS21" s="334"/>
      <c r="BT21" s="81" t="s">
        <v>627</v>
      </c>
      <c r="CJ21" s="358"/>
      <c r="CK21" s="358"/>
      <c r="CL21" s="358"/>
      <c r="CM21" s="358"/>
      <c r="CN21" s="358"/>
      <c r="CO21" s="278"/>
      <c r="CP21" s="358"/>
      <c r="CQ21" s="268"/>
      <c r="CR21" s="378"/>
      <c r="CS21" s="267"/>
      <c r="CT21" s="378"/>
      <c r="CU21" s="267"/>
      <c r="CV21" s="378"/>
      <c r="CW21" s="267"/>
      <c r="CX21" s="378"/>
      <c r="CY21" s="267"/>
      <c r="CZ21" s="378"/>
      <c r="DA21" s="267"/>
    </row>
    <row r="22" spans="1:105" ht="69" customHeight="1">
      <c r="A22" s="230">
        <v>6</v>
      </c>
      <c r="B22" s="231">
        <v>46266</v>
      </c>
      <c r="C22" s="231">
        <v>46266</v>
      </c>
      <c r="D22" s="230" t="s">
        <v>77</v>
      </c>
      <c r="E22" s="232">
        <v>7502327991861</v>
      </c>
      <c r="F22" s="230" t="s">
        <v>1381</v>
      </c>
      <c r="G22" s="233" t="s">
        <v>1382</v>
      </c>
      <c r="H22" s="215"/>
      <c r="I22" s="234" t="s">
        <v>147</v>
      </c>
      <c r="J22" s="235" t="s">
        <v>1364</v>
      </c>
      <c r="K22" s="235" t="s">
        <v>1053</v>
      </c>
      <c r="L22" s="236">
        <v>1</v>
      </c>
      <c r="M22" s="255">
        <v>0.56999999999999995</v>
      </c>
      <c r="N22" s="238" t="s">
        <v>64</v>
      </c>
      <c r="O22" s="239">
        <v>10000</v>
      </c>
      <c r="P22" s="238">
        <f t="shared" si="13"/>
        <v>10.545</v>
      </c>
      <c r="Q22" s="238">
        <f t="shared" si="0"/>
        <v>2.63625</v>
      </c>
      <c r="R22" s="238">
        <f>(P22+Q22)*9.66%</f>
        <v>1.2733087500000002</v>
      </c>
      <c r="S22" s="238">
        <f t="shared" si="1"/>
        <v>14.45455875</v>
      </c>
      <c r="T22" s="240">
        <v>99</v>
      </c>
      <c r="U22" s="238">
        <f t="shared" si="2"/>
        <v>85.344827586206904</v>
      </c>
      <c r="V22" s="241">
        <f t="shared" si="3"/>
        <v>51.206896551724142</v>
      </c>
      <c r="W22" s="242">
        <f t="shared" si="4"/>
        <v>0.28227757828282829</v>
      </c>
      <c r="X22" s="243">
        <f t="shared" si="5"/>
        <v>0.71772242171717171</v>
      </c>
      <c r="Y22" s="244">
        <f t="shared" si="6"/>
        <v>0.4</v>
      </c>
      <c r="Z22" s="245" t="s">
        <v>1370</v>
      </c>
      <c r="AA22" s="246" t="s">
        <v>1371</v>
      </c>
      <c r="AB22" s="234">
        <v>6</v>
      </c>
      <c r="AC22" s="234">
        <v>72</v>
      </c>
      <c r="AD22" s="465">
        <v>46334</v>
      </c>
      <c r="AE22" s="286"/>
      <c r="AG22" s="247">
        <v>69</v>
      </c>
      <c r="AH22" s="248">
        <f t="shared" si="7"/>
        <v>59.482758620689658</v>
      </c>
      <c r="AI22" s="249">
        <f t="shared" si="8"/>
        <v>0.24300417608695651</v>
      </c>
      <c r="AJ22" s="250">
        <f t="shared" si="9"/>
        <v>0.75699582391304343</v>
      </c>
      <c r="AK22" s="251">
        <f t="shared" si="10"/>
        <v>0</v>
      </c>
      <c r="BA22" s="252">
        <v>1</v>
      </c>
      <c r="BB22" s="252">
        <v>1</v>
      </c>
      <c r="BC22" s="252">
        <v>1</v>
      </c>
      <c r="BD22" s="252">
        <v>1</v>
      </c>
      <c r="BE22" s="252">
        <v>1</v>
      </c>
      <c r="BF22" s="254">
        <v>1</v>
      </c>
      <c r="BG22" s="254"/>
      <c r="BH22" s="254"/>
      <c r="BI22" s="254"/>
      <c r="BJ22" s="252">
        <v>9</v>
      </c>
      <c r="BK22" s="252">
        <f t="shared" si="11"/>
        <v>6</v>
      </c>
      <c r="BL22" s="253">
        <f t="shared" si="12"/>
        <v>0.66666666666666663</v>
      </c>
      <c r="BR22" s="353" t="s">
        <v>1372</v>
      </c>
      <c r="BS22" s="334"/>
      <c r="BT22" s="81" t="s">
        <v>627</v>
      </c>
      <c r="CJ22" s="278"/>
      <c r="CK22" s="278"/>
      <c r="CL22" s="278"/>
      <c r="CM22" s="278"/>
      <c r="CN22" s="358"/>
      <c r="CO22" s="278"/>
      <c r="CP22" s="268"/>
      <c r="CQ22" s="268"/>
      <c r="CR22" s="267"/>
      <c r="CS22" s="267"/>
      <c r="CT22" s="267"/>
      <c r="CU22" s="267"/>
      <c r="CV22" s="267"/>
      <c r="CW22" s="267"/>
      <c r="CX22" s="267"/>
      <c r="CY22" s="267"/>
      <c r="CZ22" s="267"/>
      <c r="DA22" s="267"/>
    </row>
    <row r="23" spans="1:105" ht="69" customHeight="1">
      <c r="A23" s="230">
        <v>7</v>
      </c>
      <c r="B23" s="231">
        <v>46266</v>
      </c>
      <c r="C23" s="231">
        <v>46266</v>
      </c>
      <c r="D23" s="230" t="s">
        <v>77</v>
      </c>
      <c r="E23" s="232">
        <v>7502327991878</v>
      </c>
      <c r="F23" s="230" t="s">
        <v>1383</v>
      </c>
      <c r="G23" s="233" t="s">
        <v>1384</v>
      </c>
      <c r="H23" s="215"/>
      <c r="I23" s="234" t="s">
        <v>147</v>
      </c>
      <c r="J23" s="235" t="s">
        <v>1364</v>
      </c>
      <c r="K23" s="235" t="s">
        <v>1053</v>
      </c>
      <c r="L23" s="236">
        <v>1</v>
      </c>
      <c r="M23" s="255">
        <v>0.56999999999999995</v>
      </c>
      <c r="N23" s="238" t="s">
        <v>64</v>
      </c>
      <c r="O23" s="239">
        <v>10000</v>
      </c>
      <c r="P23" s="238">
        <f t="shared" si="13"/>
        <v>10.545</v>
      </c>
      <c r="Q23" s="238">
        <f t="shared" si="0"/>
        <v>2.63625</v>
      </c>
      <c r="R23" s="238">
        <f>(P23+Q23)*9.66%</f>
        <v>1.2733087500000002</v>
      </c>
      <c r="S23" s="238">
        <f t="shared" si="1"/>
        <v>14.45455875</v>
      </c>
      <c r="T23" s="240">
        <v>99</v>
      </c>
      <c r="U23" s="238">
        <f t="shared" si="2"/>
        <v>85.344827586206904</v>
      </c>
      <c r="V23" s="241">
        <f t="shared" si="3"/>
        <v>51.206896551724142</v>
      </c>
      <c r="W23" s="242">
        <f t="shared" si="4"/>
        <v>0.28227757828282829</v>
      </c>
      <c r="X23" s="243">
        <f t="shared" si="5"/>
        <v>0.71772242171717171</v>
      </c>
      <c r="Y23" s="244">
        <f t="shared" si="6"/>
        <v>0.4</v>
      </c>
      <c r="Z23" s="245" t="s">
        <v>1370</v>
      </c>
      <c r="AA23" s="246" t="s">
        <v>1371</v>
      </c>
      <c r="AB23" s="234">
        <v>6</v>
      </c>
      <c r="AC23" s="234">
        <v>72</v>
      </c>
      <c r="AD23" s="465">
        <v>46334</v>
      </c>
      <c r="AE23" s="286"/>
      <c r="AG23" s="247">
        <v>69</v>
      </c>
      <c r="AH23" s="248">
        <f t="shared" si="7"/>
        <v>59.482758620689658</v>
      </c>
      <c r="AI23" s="249">
        <f t="shared" si="8"/>
        <v>0.24300417608695651</v>
      </c>
      <c r="AJ23" s="250">
        <f t="shared" si="9"/>
        <v>0.75699582391304343</v>
      </c>
      <c r="AK23" s="251">
        <f t="shared" si="10"/>
        <v>0</v>
      </c>
      <c r="BA23" s="252">
        <v>1</v>
      </c>
      <c r="BB23" s="252">
        <v>1</v>
      </c>
      <c r="BC23" s="252">
        <v>1</v>
      </c>
      <c r="BD23" s="252">
        <v>1</v>
      </c>
      <c r="BE23" s="252">
        <v>1</v>
      </c>
      <c r="BF23" s="254">
        <v>1</v>
      </c>
      <c r="BG23" s="254"/>
      <c r="BH23" s="254"/>
      <c r="BI23" s="254"/>
      <c r="BJ23" s="252">
        <v>9</v>
      </c>
      <c r="BK23" s="252">
        <f t="shared" si="11"/>
        <v>6</v>
      </c>
      <c r="BL23" s="253">
        <f t="shared" si="12"/>
        <v>0.66666666666666663</v>
      </c>
      <c r="BR23" s="353" t="s">
        <v>1372</v>
      </c>
      <c r="BS23" s="334"/>
      <c r="BT23" s="81" t="s">
        <v>627</v>
      </c>
      <c r="CJ23" s="278"/>
      <c r="CK23" s="278"/>
      <c r="CL23" s="278"/>
      <c r="CM23" s="278"/>
      <c r="CN23" s="278"/>
      <c r="CO23" s="278"/>
      <c r="CP23" s="268"/>
      <c r="CQ23" s="268"/>
      <c r="CR23" s="267"/>
      <c r="CS23" s="267"/>
      <c r="CT23" s="267"/>
      <c r="CU23" s="267"/>
      <c r="CV23" s="267"/>
      <c r="CW23" s="267"/>
      <c r="CX23" s="267"/>
      <c r="CY23" s="267"/>
      <c r="CZ23" s="267"/>
      <c r="DA23" s="267"/>
    </row>
    <row r="24" spans="1:105" ht="69" customHeight="1">
      <c r="A24" s="230">
        <v>8</v>
      </c>
      <c r="B24" s="231">
        <v>46266</v>
      </c>
      <c r="C24" s="231">
        <v>46266</v>
      </c>
      <c r="D24" s="230" t="s">
        <v>77</v>
      </c>
      <c r="E24" s="232">
        <v>7502327991885</v>
      </c>
      <c r="F24" s="230" t="s">
        <v>1385</v>
      </c>
      <c r="G24" s="233" t="s">
        <v>1386</v>
      </c>
      <c r="H24" s="215"/>
      <c r="I24" s="234" t="s">
        <v>375</v>
      </c>
      <c r="J24" s="235" t="s">
        <v>1364</v>
      </c>
      <c r="K24" s="235" t="s">
        <v>1053</v>
      </c>
      <c r="L24" s="236">
        <v>1</v>
      </c>
      <c r="M24" s="255">
        <v>0.52</v>
      </c>
      <c r="N24" s="238" t="s">
        <v>64</v>
      </c>
      <c r="O24" s="239">
        <v>10000</v>
      </c>
      <c r="P24" s="238">
        <f t="shared" si="13"/>
        <v>9.620000000000001</v>
      </c>
      <c r="Q24" s="238">
        <f t="shared" ref="Q24:Q41" si="22">P24*0.36</f>
        <v>3.4632000000000001</v>
      </c>
      <c r="R24" s="238">
        <f>(P24+Q24)*2.65%</f>
        <v>0.34670480000000004</v>
      </c>
      <c r="S24" s="238">
        <f t="shared" si="1"/>
        <v>13.429904800000001</v>
      </c>
      <c r="T24" s="240">
        <v>119</v>
      </c>
      <c r="U24" s="238">
        <f t="shared" si="2"/>
        <v>102.58620689655173</v>
      </c>
      <c r="V24" s="241">
        <f t="shared" si="3"/>
        <v>61.551724137931032</v>
      </c>
      <c r="W24" s="242">
        <f t="shared" si="4"/>
        <v>0.21818892952380955</v>
      </c>
      <c r="X24" s="243">
        <f t="shared" si="5"/>
        <v>0.78181107047619047</v>
      </c>
      <c r="Y24" s="244">
        <f t="shared" si="6"/>
        <v>0.4</v>
      </c>
      <c r="Z24" s="245" t="s">
        <v>1370</v>
      </c>
      <c r="AA24" s="246" t="s">
        <v>1371</v>
      </c>
      <c r="AB24" s="234">
        <v>6</v>
      </c>
      <c r="AC24" s="234">
        <v>144</v>
      </c>
      <c r="AD24" s="465">
        <v>46308</v>
      </c>
      <c r="AE24" s="286"/>
      <c r="AG24" s="247">
        <v>79</v>
      </c>
      <c r="AH24" s="248">
        <f t="shared" si="7"/>
        <v>68.103448275862078</v>
      </c>
      <c r="AI24" s="249">
        <f t="shared" si="8"/>
        <v>0.19719860212658227</v>
      </c>
      <c r="AJ24" s="250">
        <f t="shared" si="9"/>
        <v>0.80280139787341775</v>
      </c>
      <c r="AK24" s="251">
        <f t="shared" si="10"/>
        <v>0</v>
      </c>
      <c r="BA24" s="252">
        <v>1</v>
      </c>
      <c r="BB24" s="252">
        <v>1</v>
      </c>
      <c r="BC24" s="252">
        <v>1</v>
      </c>
      <c r="BD24" s="252">
        <v>1</v>
      </c>
      <c r="BE24" s="252">
        <v>1</v>
      </c>
      <c r="BF24" s="254">
        <v>1</v>
      </c>
      <c r="BG24" s="254">
        <v>1</v>
      </c>
      <c r="BH24" s="254"/>
      <c r="BI24" s="254"/>
      <c r="BJ24" s="252">
        <v>9</v>
      </c>
      <c r="BK24" s="252">
        <f t="shared" si="11"/>
        <v>7</v>
      </c>
      <c r="BL24" s="253">
        <f t="shared" si="12"/>
        <v>0.77777777777777779</v>
      </c>
      <c r="BR24" s="353" t="s">
        <v>1387</v>
      </c>
      <c r="BS24" s="334"/>
      <c r="BT24" s="334" t="s">
        <v>86</v>
      </c>
      <c r="CJ24" s="358">
        <v>46156</v>
      </c>
      <c r="CK24" s="358">
        <v>46156</v>
      </c>
      <c r="CL24" s="358">
        <f t="shared" ref="CL24:CL26" si="23">CK24+15</f>
        <v>46171</v>
      </c>
      <c r="CM24" s="358"/>
      <c r="CN24" s="358">
        <f>CL24+14</f>
        <v>46185</v>
      </c>
      <c r="CO24" s="278"/>
      <c r="CP24" s="358">
        <f t="shared" ref="CP24:CP26" si="24">CN24+45</f>
        <v>46230</v>
      </c>
      <c r="CQ24" s="268"/>
      <c r="CR24" s="378">
        <f t="shared" ref="CR24:CR26" si="25">CP24-12</f>
        <v>46218</v>
      </c>
      <c r="CS24" s="267"/>
      <c r="CT24" s="378">
        <f t="shared" ref="CT24:CT26" si="26">CP24+7</f>
        <v>46237</v>
      </c>
      <c r="CU24" s="267"/>
      <c r="CV24" s="378">
        <f t="shared" ref="CV24:CV26" si="27">CT24+7</f>
        <v>46244</v>
      </c>
      <c r="CW24" s="267"/>
      <c r="CX24" s="378">
        <f t="shared" ref="CX24:CX26" si="28">CV24+44</f>
        <v>46288</v>
      </c>
      <c r="CY24" s="267"/>
      <c r="CZ24" s="378">
        <f t="shared" ref="CZ24:CZ26" si="29">CX24+10</f>
        <v>46298</v>
      </c>
      <c r="DA24" s="267"/>
    </row>
    <row r="25" spans="1:105" ht="69" customHeight="1">
      <c r="A25" s="230">
        <v>9</v>
      </c>
      <c r="B25" s="231">
        <v>46266</v>
      </c>
      <c r="C25" s="231">
        <v>46266</v>
      </c>
      <c r="D25" s="230" t="s">
        <v>77</v>
      </c>
      <c r="E25" s="232">
        <v>7502327991908</v>
      </c>
      <c r="F25" s="230" t="s">
        <v>1388</v>
      </c>
      <c r="G25" s="233" t="s">
        <v>1389</v>
      </c>
      <c r="H25" s="215"/>
      <c r="I25" s="234" t="s">
        <v>375</v>
      </c>
      <c r="J25" s="235" t="s">
        <v>1364</v>
      </c>
      <c r="K25" s="235" t="s">
        <v>1053</v>
      </c>
      <c r="L25" s="236">
        <v>1</v>
      </c>
      <c r="M25" s="255">
        <v>0.52</v>
      </c>
      <c r="N25" s="238" t="s">
        <v>64</v>
      </c>
      <c r="O25" s="239">
        <v>10000</v>
      </c>
      <c r="P25" s="238">
        <f t="shared" si="13"/>
        <v>9.620000000000001</v>
      </c>
      <c r="Q25" s="238">
        <f t="shared" si="22"/>
        <v>3.4632000000000001</v>
      </c>
      <c r="R25" s="238">
        <f>(P25+Q25)*2.65%</f>
        <v>0.34670480000000004</v>
      </c>
      <c r="S25" s="238">
        <f t="shared" si="1"/>
        <v>13.429904800000001</v>
      </c>
      <c r="T25" s="240">
        <v>119</v>
      </c>
      <c r="U25" s="238">
        <f t="shared" si="2"/>
        <v>102.58620689655173</v>
      </c>
      <c r="V25" s="241">
        <f t="shared" si="3"/>
        <v>61.551724137931032</v>
      </c>
      <c r="W25" s="242">
        <f t="shared" si="4"/>
        <v>0.21818892952380955</v>
      </c>
      <c r="X25" s="243">
        <f t="shared" si="5"/>
        <v>0.78181107047619047</v>
      </c>
      <c r="Y25" s="244">
        <f t="shared" si="6"/>
        <v>0.4</v>
      </c>
      <c r="Z25" s="245" t="s">
        <v>1370</v>
      </c>
      <c r="AA25" s="246" t="s">
        <v>1371</v>
      </c>
      <c r="AB25" s="234">
        <v>6</v>
      </c>
      <c r="AC25" s="234">
        <v>144</v>
      </c>
      <c r="AD25" s="465">
        <v>46308</v>
      </c>
      <c r="AE25" s="286"/>
      <c r="AG25" s="247">
        <v>79</v>
      </c>
      <c r="AH25" s="248">
        <f t="shared" si="7"/>
        <v>68.103448275862078</v>
      </c>
      <c r="AI25" s="249">
        <f t="shared" si="8"/>
        <v>0.19719860212658227</v>
      </c>
      <c r="AJ25" s="250">
        <f t="shared" si="9"/>
        <v>0.80280139787341775</v>
      </c>
      <c r="AK25" s="251">
        <f t="shared" si="10"/>
        <v>0</v>
      </c>
      <c r="BA25" s="252">
        <v>1</v>
      </c>
      <c r="BB25" s="252">
        <v>1</v>
      </c>
      <c r="BC25" s="252">
        <v>1</v>
      </c>
      <c r="BD25" s="252">
        <v>1</v>
      </c>
      <c r="BE25" s="252">
        <v>1</v>
      </c>
      <c r="BF25" s="254">
        <v>1</v>
      </c>
      <c r="BG25" s="254">
        <v>1</v>
      </c>
      <c r="BH25" s="254"/>
      <c r="BI25" s="254"/>
      <c r="BJ25" s="252">
        <v>9</v>
      </c>
      <c r="BK25" s="252">
        <f t="shared" si="11"/>
        <v>7</v>
      </c>
      <c r="BL25" s="253">
        <f t="shared" si="12"/>
        <v>0.77777777777777779</v>
      </c>
      <c r="BR25" s="353" t="s">
        <v>1387</v>
      </c>
      <c r="BS25" s="334"/>
      <c r="BT25" s="334" t="s">
        <v>86</v>
      </c>
      <c r="CJ25" s="358">
        <v>46156</v>
      </c>
      <c r="CK25" s="358">
        <v>46156</v>
      </c>
      <c r="CL25" s="358">
        <f t="shared" si="23"/>
        <v>46171</v>
      </c>
      <c r="CM25" s="358"/>
      <c r="CN25" s="358">
        <f t="shared" ref="CN25:CN26" si="30">CL25+14</f>
        <v>46185</v>
      </c>
      <c r="CO25" s="278"/>
      <c r="CP25" s="358">
        <f t="shared" si="24"/>
        <v>46230</v>
      </c>
      <c r="CQ25" s="268"/>
      <c r="CR25" s="378">
        <f t="shared" si="25"/>
        <v>46218</v>
      </c>
      <c r="CS25" s="267"/>
      <c r="CT25" s="378">
        <f t="shared" si="26"/>
        <v>46237</v>
      </c>
      <c r="CU25" s="267"/>
      <c r="CV25" s="378">
        <f t="shared" si="27"/>
        <v>46244</v>
      </c>
      <c r="CW25" s="267"/>
      <c r="CX25" s="378">
        <f t="shared" si="28"/>
        <v>46288</v>
      </c>
      <c r="CY25" s="267"/>
      <c r="CZ25" s="378">
        <f t="shared" si="29"/>
        <v>46298</v>
      </c>
      <c r="DA25" s="267"/>
    </row>
    <row r="26" spans="1:105" ht="69" customHeight="1">
      <c r="A26" s="230">
        <v>10</v>
      </c>
      <c r="B26" s="231">
        <v>46266</v>
      </c>
      <c r="C26" s="231">
        <v>46266</v>
      </c>
      <c r="D26" s="230" t="s">
        <v>77</v>
      </c>
      <c r="E26" s="232">
        <v>7502327991922</v>
      </c>
      <c r="F26" s="230" t="s">
        <v>1390</v>
      </c>
      <c r="G26" s="233" t="s">
        <v>1391</v>
      </c>
      <c r="H26" s="215"/>
      <c r="I26" s="234" t="s">
        <v>375</v>
      </c>
      <c r="J26" s="235" t="s">
        <v>1364</v>
      </c>
      <c r="K26" s="235" t="s">
        <v>1053</v>
      </c>
      <c r="L26" s="236">
        <v>1</v>
      </c>
      <c r="M26" s="255">
        <v>0.52</v>
      </c>
      <c r="N26" s="238" t="s">
        <v>64</v>
      </c>
      <c r="O26" s="239">
        <v>10000</v>
      </c>
      <c r="P26" s="238">
        <f t="shared" si="13"/>
        <v>9.620000000000001</v>
      </c>
      <c r="Q26" s="238">
        <f t="shared" si="22"/>
        <v>3.4632000000000001</v>
      </c>
      <c r="R26" s="238">
        <f>(P26+Q26)*2.65%</f>
        <v>0.34670480000000004</v>
      </c>
      <c r="S26" s="238">
        <f t="shared" si="1"/>
        <v>13.429904800000001</v>
      </c>
      <c r="T26" s="240">
        <v>119</v>
      </c>
      <c r="U26" s="238">
        <f t="shared" si="2"/>
        <v>102.58620689655173</v>
      </c>
      <c r="V26" s="241">
        <f t="shared" si="3"/>
        <v>61.551724137931032</v>
      </c>
      <c r="W26" s="242">
        <f t="shared" si="4"/>
        <v>0.21818892952380955</v>
      </c>
      <c r="X26" s="243">
        <f t="shared" si="5"/>
        <v>0.78181107047619047</v>
      </c>
      <c r="Y26" s="244">
        <f t="shared" si="6"/>
        <v>0.4</v>
      </c>
      <c r="Z26" s="245" t="s">
        <v>1370</v>
      </c>
      <c r="AA26" s="246" t="s">
        <v>1371</v>
      </c>
      <c r="AB26" s="234">
        <v>6</v>
      </c>
      <c r="AC26" s="234">
        <v>144</v>
      </c>
      <c r="AD26" s="465">
        <v>46308</v>
      </c>
      <c r="AE26" s="286"/>
      <c r="AG26" s="247">
        <v>79</v>
      </c>
      <c r="AH26" s="248">
        <f t="shared" si="7"/>
        <v>68.103448275862078</v>
      </c>
      <c r="AI26" s="249">
        <f t="shared" si="8"/>
        <v>0.19719860212658227</v>
      </c>
      <c r="AJ26" s="250">
        <f t="shared" si="9"/>
        <v>0.80280139787341775</v>
      </c>
      <c r="AK26" s="251">
        <f t="shared" si="10"/>
        <v>0</v>
      </c>
      <c r="BA26" s="252">
        <v>1</v>
      </c>
      <c r="BB26" s="252">
        <v>1</v>
      </c>
      <c r="BC26" s="252">
        <v>1</v>
      </c>
      <c r="BD26" s="252">
        <v>1</v>
      </c>
      <c r="BE26" s="252">
        <v>1</v>
      </c>
      <c r="BF26" s="254">
        <v>1</v>
      </c>
      <c r="BG26" s="254">
        <v>1</v>
      </c>
      <c r="BH26" s="254"/>
      <c r="BI26" s="254"/>
      <c r="BJ26" s="252">
        <v>9</v>
      </c>
      <c r="BK26" s="252">
        <f t="shared" si="11"/>
        <v>7</v>
      </c>
      <c r="BL26" s="253">
        <f t="shared" si="12"/>
        <v>0.77777777777777779</v>
      </c>
      <c r="BR26" s="353" t="s">
        <v>1387</v>
      </c>
      <c r="BS26" s="334"/>
      <c r="BT26" s="334" t="s">
        <v>86</v>
      </c>
      <c r="CJ26" s="358">
        <v>46156</v>
      </c>
      <c r="CK26" s="358">
        <v>46156</v>
      </c>
      <c r="CL26" s="358">
        <f t="shared" si="23"/>
        <v>46171</v>
      </c>
      <c r="CM26" s="358"/>
      <c r="CN26" s="358">
        <f t="shared" si="30"/>
        <v>46185</v>
      </c>
      <c r="CO26" s="278"/>
      <c r="CP26" s="358">
        <f t="shared" si="24"/>
        <v>46230</v>
      </c>
      <c r="CQ26" s="268"/>
      <c r="CR26" s="378">
        <f t="shared" si="25"/>
        <v>46218</v>
      </c>
      <c r="CS26" s="267"/>
      <c r="CT26" s="378">
        <f t="shared" si="26"/>
        <v>46237</v>
      </c>
      <c r="CU26" s="267"/>
      <c r="CV26" s="378">
        <f t="shared" si="27"/>
        <v>46244</v>
      </c>
      <c r="CW26" s="267"/>
      <c r="CX26" s="378">
        <f t="shared" si="28"/>
        <v>46288</v>
      </c>
      <c r="CY26" s="267"/>
      <c r="CZ26" s="378">
        <f t="shared" si="29"/>
        <v>46298</v>
      </c>
      <c r="DA26" s="267"/>
    </row>
    <row r="27" spans="1:105" ht="69" customHeight="1">
      <c r="A27" s="230">
        <v>11</v>
      </c>
      <c r="B27" s="231">
        <v>46266</v>
      </c>
      <c r="C27" s="231">
        <v>46266</v>
      </c>
      <c r="D27" s="230" t="s">
        <v>77</v>
      </c>
      <c r="E27" s="232">
        <v>7502327991939</v>
      </c>
      <c r="F27" s="230" t="s">
        <v>1392</v>
      </c>
      <c r="G27" s="233" t="s">
        <v>1393</v>
      </c>
      <c r="H27" s="215"/>
      <c r="I27" s="234" t="s">
        <v>375</v>
      </c>
      <c r="J27" s="235" t="s">
        <v>1364</v>
      </c>
      <c r="K27" s="235" t="s">
        <v>1053</v>
      </c>
      <c r="L27" s="236">
        <v>1</v>
      </c>
      <c r="M27" s="255">
        <v>0.45</v>
      </c>
      <c r="N27" s="238" t="s">
        <v>64</v>
      </c>
      <c r="O27" s="239">
        <v>10000</v>
      </c>
      <c r="P27" s="238">
        <f t="shared" si="13"/>
        <v>8.3250000000000011</v>
      </c>
      <c r="Q27" s="238">
        <f t="shared" si="22"/>
        <v>2.9970000000000003</v>
      </c>
      <c r="R27" s="238">
        <f t="shared" ref="R27:R38" si="31">(P27+Q27)*2.89%</f>
        <v>0.32720580000000005</v>
      </c>
      <c r="S27" s="238">
        <f t="shared" si="1"/>
        <v>11.649205800000001</v>
      </c>
      <c r="T27" s="240">
        <v>119</v>
      </c>
      <c r="U27" s="238">
        <f t="shared" si="2"/>
        <v>102.58620689655173</v>
      </c>
      <c r="V27" s="241">
        <f t="shared" si="3"/>
        <v>61.551724137931032</v>
      </c>
      <c r="W27" s="242">
        <f t="shared" si="4"/>
        <v>0.18925880571428574</v>
      </c>
      <c r="X27" s="243">
        <f t="shared" si="5"/>
        <v>0.81074119428571423</v>
      </c>
      <c r="Y27" s="244">
        <f t="shared" si="6"/>
        <v>0.4</v>
      </c>
      <c r="Z27" s="245" t="s">
        <v>1370</v>
      </c>
      <c r="AA27" s="246" t="s">
        <v>1371</v>
      </c>
      <c r="AB27" s="234">
        <v>6</v>
      </c>
      <c r="AC27" s="234">
        <v>144</v>
      </c>
      <c r="AD27" s="234"/>
      <c r="AE27" s="286"/>
      <c r="AG27" s="247">
        <v>79</v>
      </c>
      <c r="AH27" s="248">
        <f t="shared" si="7"/>
        <v>68.103448275862078</v>
      </c>
      <c r="AI27" s="249">
        <f t="shared" si="8"/>
        <v>0.17105162946835442</v>
      </c>
      <c r="AJ27" s="250">
        <f t="shared" si="9"/>
        <v>0.82894837053164561</v>
      </c>
      <c r="AK27" s="251">
        <f t="shared" si="10"/>
        <v>0</v>
      </c>
      <c r="BA27" s="252">
        <v>1</v>
      </c>
      <c r="BB27" s="252">
        <v>1</v>
      </c>
      <c r="BC27" s="252">
        <v>1</v>
      </c>
      <c r="BD27" s="252">
        <v>1</v>
      </c>
      <c r="BE27" s="252">
        <v>1</v>
      </c>
      <c r="BF27" s="254">
        <v>1</v>
      </c>
      <c r="BG27" s="254"/>
      <c r="BH27" s="254"/>
      <c r="BI27" s="254"/>
      <c r="BJ27" s="252">
        <v>9</v>
      </c>
      <c r="BK27" s="252">
        <f t="shared" si="11"/>
        <v>6</v>
      </c>
      <c r="BL27" s="253">
        <f t="shared" si="12"/>
        <v>0.66666666666666663</v>
      </c>
      <c r="BR27" s="353" t="s">
        <v>1372</v>
      </c>
      <c r="BS27" s="334"/>
      <c r="BT27" s="81" t="s">
        <v>627</v>
      </c>
      <c r="CJ27" s="278"/>
      <c r="CK27" s="278"/>
      <c r="CL27" s="278"/>
      <c r="CM27" s="278"/>
      <c r="CN27" s="278"/>
      <c r="CO27" s="278"/>
      <c r="CP27" s="268"/>
      <c r="CQ27" s="268"/>
      <c r="CR27" s="267"/>
      <c r="CS27" s="267"/>
      <c r="CT27" s="267"/>
      <c r="CU27" s="267"/>
      <c r="CV27" s="267"/>
      <c r="CW27" s="267"/>
      <c r="CX27" s="267"/>
      <c r="CY27" s="267"/>
      <c r="CZ27" s="267"/>
      <c r="DA27" s="267"/>
    </row>
    <row r="28" spans="1:105" ht="69" customHeight="1">
      <c r="A28" s="230">
        <v>12</v>
      </c>
      <c r="B28" s="231">
        <v>46266</v>
      </c>
      <c r="C28" s="231">
        <v>46266</v>
      </c>
      <c r="D28" s="230" t="s">
        <v>77</v>
      </c>
      <c r="E28" s="232">
        <v>7502327991946</v>
      </c>
      <c r="F28" s="230" t="s">
        <v>1394</v>
      </c>
      <c r="G28" s="233" t="s">
        <v>1395</v>
      </c>
      <c r="H28" s="215"/>
      <c r="I28" s="234" t="s">
        <v>375</v>
      </c>
      <c r="J28" s="235" t="s">
        <v>1364</v>
      </c>
      <c r="K28" s="235" t="s">
        <v>1053</v>
      </c>
      <c r="L28" s="236">
        <v>1</v>
      </c>
      <c r="M28" s="255">
        <v>0.45</v>
      </c>
      <c r="N28" s="238" t="s">
        <v>64</v>
      </c>
      <c r="O28" s="239">
        <v>10000</v>
      </c>
      <c r="P28" s="238">
        <f t="shared" si="13"/>
        <v>8.3250000000000011</v>
      </c>
      <c r="Q28" s="238">
        <f t="shared" si="22"/>
        <v>2.9970000000000003</v>
      </c>
      <c r="R28" s="238">
        <f t="shared" si="31"/>
        <v>0.32720580000000005</v>
      </c>
      <c r="S28" s="238">
        <f t="shared" si="1"/>
        <v>11.649205800000001</v>
      </c>
      <c r="T28" s="240">
        <v>119</v>
      </c>
      <c r="U28" s="238">
        <f t="shared" si="2"/>
        <v>102.58620689655173</v>
      </c>
      <c r="V28" s="241">
        <f t="shared" si="3"/>
        <v>61.551724137931032</v>
      </c>
      <c r="W28" s="242">
        <f t="shared" si="4"/>
        <v>0.18925880571428574</v>
      </c>
      <c r="X28" s="243">
        <f t="shared" si="5"/>
        <v>0.81074119428571423</v>
      </c>
      <c r="Y28" s="244">
        <f t="shared" si="6"/>
        <v>0.4</v>
      </c>
      <c r="Z28" s="245" t="s">
        <v>1370</v>
      </c>
      <c r="AA28" s="246" t="s">
        <v>1371</v>
      </c>
      <c r="AB28" s="234">
        <v>6</v>
      </c>
      <c r="AC28" s="234">
        <v>144</v>
      </c>
      <c r="AD28" s="234"/>
      <c r="AE28" s="286"/>
      <c r="AG28" s="247">
        <v>79</v>
      </c>
      <c r="AH28" s="248">
        <f t="shared" si="7"/>
        <v>68.103448275862078</v>
      </c>
      <c r="AI28" s="249">
        <f t="shared" si="8"/>
        <v>0.17105162946835442</v>
      </c>
      <c r="AJ28" s="250">
        <f t="shared" si="9"/>
        <v>0.82894837053164561</v>
      </c>
      <c r="AK28" s="251">
        <f t="shared" si="10"/>
        <v>0</v>
      </c>
      <c r="BA28" s="252">
        <v>1</v>
      </c>
      <c r="BB28" s="252">
        <v>1</v>
      </c>
      <c r="BC28" s="252">
        <v>1</v>
      </c>
      <c r="BD28" s="252">
        <v>1</v>
      </c>
      <c r="BE28" s="252">
        <v>1</v>
      </c>
      <c r="BF28" s="254">
        <v>1</v>
      </c>
      <c r="BG28" s="254"/>
      <c r="BH28" s="254"/>
      <c r="BI28" s="254"/>
      <c r="BJ28" s="252">
        <v>9</v>
      </c>
      <c r="BK28" s="252">
        <f t="shared" si="11"/>
        <v>6</v>
      </c>
      <c r="BL28" s="253">
        <f t="shared" si="12"/>
        <v>0.66666666666666663</v>
      </c>
      <c r="BR28" s="353" t="s">
        <v>1372</v>
      </c>
      <c r="BS28" s="334"/>
      <c r="BT28" s="81" t="s">
        <v>627</v>
      </c>
      <c r="CJ28" s="278"/>
      <c r="CK28" s="278"/>
      <c r="CL28" s="278"/>
      <c r="CM28" s="278"/>
      <c r="CN28" s="278"/>
      <c r="CO28" s="278"/>
      <c r="CP28" s="268"/>
      <c r="CQ28" s="268"/>
      <c r="CR28" s="267"/>
      <c r="CS28" s="267"/>
      <c r="CT28" s="267"/>
      <c r="CU28" s="267"/>
      <c r="CV28" s="267"/>
      <c r="CW28" s="267"/>
      <c r="CX28" s="267"/>
      <c r="CY28" s="267"/>
      <c r="CZ28" s="267"/>
      <c r="DA28" s="267"/>
    </row>
    <row r="29" spans="1:105" ht="69" customHeight="1">
      <c r="A29" s="230">
        <v>13</v>
      </c>
      <c r="B29" s="231">
        <v>46266</v>
      </c>
      <c r="C29" s="231">
        <v>46266</v>
      </c>
      <c r="D29" s="230" t="s">
        <v>77</v>
      </c>
      <c r="E29" s="232">
        <v>7502327991953</v>
      </c>
      <c r="F29" s="230" t="s">
        <v>1396</v>
      </c>
      <c r="G29" s="233" t="s">
        <v>1397</v>
      </c>
      <c r="H29" s="215"/>
      <c r="I29" s="234" t="s">
        <v>375</v>
      </c>
      <c r="J29" s="235" t="s">
        <v>1364</v>
      </c>
      <c r="K29" s="235" t="s">
        <v>1053</v>
      </c>
      <c r="L29" s="236">
        <v>1</v>
      </c>
      <c r="M29" s="255">
        <v>0.45</v>
      </c>
      <c r="N29" s="238" t="s">
        <v>64</v>
      </c>
      <c r="O29" s="239">
        <v>10000</v>
      </c>
      <c r="P29" s="238">
        <f t="shared" si="13"/>
        <v>8.3250000000000011</v>
      </c>
      <c r="Q29" s="238">
        <f t="shared" si="22"/>
        <v>2.9970000000000003</v>
      </c>
      <c r="R29" s="238">
        <f t="shared" si="31"/>
        <v>0.32720580000000005</v>
      </c>
      <c r="S29" s="238">
        <f t="shared" si="1"/>
        <v>11.649205800000001</v>
      </c>
      <c r="T29" s="240">
        <v>119</v>
      </c>
      <c r="U29" s="238">
        <f t="shared" si="2"/>
        <v>102.58620689655173</v>
      </c>
      <c r="V29" s="241">
        <f t="shared" si="3"/>
        <v>61.551724137931032</v>
      </c>
      <c r="W29" s="242">
        <f t="shared" si="4"/>
        <v>0.18925880571428574</v>
      </c>
      <c r="X29" s="243">
        <f t="shared" si="5"/>
        <v>0.81074119428571423</v>
      </c>
      <c r="Y29" s="244">
        <f t="shared" si="6"/>
        <v>0.4</v>
      </c>
      <c r="Z29" s="245" t="s">
        <v>1370</v>
      </c>
      <c r="AA29" s="246" t="s">
        <v>1371</v>
      </c>
      <c r="AB29" s="234">
        <v>6</v>
      </c>
      <c r="AC29" s="234">
        <v>144</v>
      </c>
      <c r="AD29" s="234"/>
      <c r="AE29" s="286"/>
      <c r="AG29" s="247">
        <v>79</v>
      </c>
      <c r="AH29" s="248">
        <f t="shared" si="7"/>
        <v>68.103448275862078</v>
      </c>
      <c r="AI29" s="249">
        <f t="shared" si="8"/>
        <v>0.17105162946835442</v>
      </c>
      <c r="AJ29" s="250">
        <f t="shared" si="9"/>
        <v>0.82894837053164561</v>
      </c>
      <c r="AK29" s="251">
        <f t="shared" si="10"/>
        <v>0</v>
      </c>
      <c r="BA29" s="252">
        <v>1</v>
      </c>
      <c r="BB29" s="252">
        <v>1</v>
      </c>
      <c r="BC29" s="252">
        <v>1</v>
      </c>
      <c r="BD29" s="252">
        <v>1</v>
      </c>
      <c r="BE29" s="252">
        <v>1</v>
      </c>
      <c r="BF29" s="254">
        <v>1</v>
      </c>
      <c r="BG29" s="254"/>
      <c r="BH29" s="254"/>
      <c r="BI29" s="254"/>
      <c r="BJ29" s="252">
        <v>9</v>
      </c>
      <c r="BK29" s="252">
        <f t="shared" si="11"/>
        <v>6</v>
      </c>
      <c r="BL29" s="253">
        <f t="shared" si="12"/>
        <v>0.66666666666666663</v>
      </c>
      <c r="BR29" s="353" t="s">
        <v>1372</v>
      </c>
      <c r="BS29" s="334"/>
      <c r="BT29" s="81" t="s">
        <v>627</v>
      </c>
      <c r="CJ29" s="278"/>
      <c r="CK29" s="278"/>
      <c r="CL29" s="278"/>
      <c r="CM29" s="278"/>
      <c r="CN29" s="278"/>
      <c r="CO29" s="278"/>
      <c r="CP29" s="268"/>
      <c r="CQ29" s="268"/>
      <c r="CR29" s="267"/>
      <c r="CS29" s="267"/>
      <c r="CT29" s="267"/>
      <c r="CU29" s="267"/>
      <c r="CV29" s="267"/>
      <c r="CW29" s="267"/>
      <c r="CX29" s="267"/>
      <c r="CY29" s="267"/>
      <c r="CZ29" s="267"/>
      <c r="DA29" s="267"/>
    </row>
    <row r="30" spans="1:105" ht="69" customHeight="1">
      <c r="A30" s="230">
        <v>14</v>
      </c>
      <c r="B30" s="231">
        <v>46266</v>
      </c>
      <c r="C30" s="231">
        <v>46266</v>
      </c>
      <c r="D30" s="230" t="s">
        <v>77</v>
      </c>
      <c r="E30" s="232">
        <v>7502327991960</v>
      </c>
      <c r="F30" s="230" t="s">
        <v>1398</v>
      </c>
      <c r="G30" s="233" t="s">
        <v>1399</v>
      </c>
      <c r="H30" s="215"/>
      <c r="I30" s="234" t="s">
        <v>375</v>
      </c>
      <c r="J30" s="235" t="s">
        <v>1364</v>
      </c>
      <c r="K30" s="235" t="s">
        <v>1053</v>
      </c>
      <c r="L30" s="236">
        <v>1</v>
      </c>
      <c r="M30" s="255">
        <v>0.45</v>
      </c>
      <c r="N30" s="238" t="s">
        <v>64</v>
      </c>
      <c r="O30" s="239">
        <v>10000</v>
      </c>
      <c r="P30" s="238">
        <f t="shared" si="13"/>
        <v>8.3250000000000011</v>
      </c>
      <c r="Q30" s="238">
        <f t="shared" si="22"/>
        <v>2.9970000000000003</v>
      </c>
      <c r="R30" s="238">
        <f t="shared" si="31"/>
        <v>0.32720580000000005</v>
      </c>
      <c r="S30" s="238">
        <f t="shared" si="1"/>
        <v>11.649205800000001</v>
      </c>
      <c r="T30" s="240">
        <v>119</v>
      </c>
      <c r="U30" s="238">
        <f t="shared" si="2"/>
        <v>102.58620689655173</v>
      </c>
      <c r="V30" s="241">
        <f t="shared" si="3"/>
        <v>61.551724137931032</v>
      </c>
      <c r="W30" s="242">
        <f t="shared" si="4"/>
        <v>0.18925880571428574</v>
      </c>
      <c r="X30" s="243">
        <f t="shared" si="5"/>
        <v>0.81074119428571423</v>
      </c>
      <c r="Y30" s="244">
        <f t="shared" si="6"/>
        <v>0.4</v>
      </c>
      <c r="Z30" s="245" t="s">
        <v>1370</v>
      </c>
      <c r="AA30" s="246" t="s">
        <v>1371</v>
      </c>
      <c r="AB30" s="234">
        <v>6</v>
      </c>
      <c r="AC30" s="234">
        <v>144</v>
      </c>
      <c r="AD30" s="234"/>
      <c r="AE30" s="286"/>
      <c r="AG30" s="247">
        <v>79</v>
      </c>
      <c r="AH30" s="248">
        <f t="shared" si="7"/>
        <v>68.103448275862078</v>
      </c>
      <c r="AI30" s="249">
        <f t="shared" si="8"/>
        <v>0.17105162946835442</v>
      </c>
      <c r="AJ30" s="250">
        <f t="shared" si="9"/>
        <v>0.82894837053164561</v>
      </c>
      <c r="AK30" s="251">
        <f t="shared" si="10"/>
        <v>0</v>
      </c>
      <c r="BA30" s="252">
        <v>1</v>
      </c>
      <c r="BB30" s="252">
        <v>1</v>
      </c>
      <c r="BC30" s="252">
        <v>1</v>
      </c>
      <c r="BD30" s="252">
        <v>1</v>
      </c>
      <c r="BE30" s="252">
        <v>1</v>
      </c>
      <c r="BF30" s="254">
        <v>1</v>
      </c>
      <c r="BG30" s="254"/>
      <c r="BH30" s="254"/>
      <c r="BI30" s="254"/>
      <c r="BJ30" s="252">
        <v>9</v>
      </c>
      <c r="BK30" s="252">
        <f t="shared" si="11"/>
        <v>6</v>
      </c>
      <c r="BL30" s="253">
        <f t="shared" si="12"/>
        <v>0.66666666666666663</v>
      </c>
      <c r="BR30" s="353" t="s">
        <v>1372</v>
      </c>
      <c r="BS30" s="334"/>
      <c r="BT30" s="81" t="s">
        <v>627</v>
      </c>
      <c r="CJ30" s="278"/>
      <c r="CK30" s="278"/>
      <c r="CL30" s="278"/>
      <c r="CM30" s="278"/>
      <c r="CN30" s="278"/>
      <c r="CO30" s="278"/>
      <c r="CP30" s="268"/>
      <c r="CQ30" s="268"/>
      <c r="CR30" s="267"/>
      <c r="CS30" s="267"/>
      <c r="CT30" s="267"/>
      <c r="CU30" s="267"/>
      <c r="CV30" s="267"/>
      <c r="CW30" s="267"/>
      <c r="CX30" s="267"/>
      <c r="CY30" s="267"/>
      <c r="CZ30" s="267"/>
      <c r="DA30" s="267"/>
    </row>
    <row r="31" spans="1:105" ht="69" customHeight="1">
      <c r="A31" s="230">
        <v>15</v>
      </c>
      <c r="B31" s="231">
        <v>46266</v>
      </c>
      <c r="C31" s="231">
        <v>46266</v>
      </c>
      <c r="D31" s="230" t="s">
        <v>77</v>
      </c>
      <c r="E31" s="230"/>
      <c r="F31" s="230" t="s">
        <v>1400</v>
      </c>
      <c r="G31" s="233" t="s">
        <v>1401</v>
      </c>
      <c r="H31" s="215"/>
      <c r="I31" s="234" t="s">
        <v>375</v>
      </c>
      <c r="J31" s="235" t="s">
        <v>1364</v>
      </c>
      <c r="K31" s="235" t="s">
        <v>1053</v>
      </c>
      <c r="L31" s="236">
        <v>1</v>
      </c>
      <c r="M31" s="255">
        <v>0.45</v>
      </c>
      <c r="N31" s="238" t="s">
        <v>64</v>
      </c>
      <c r="O31" s="239">
        <v>10000</v>
      </c>
      <c r="P31" s="238">
        <f t="shared" si="13"/>
        <v>8.3250000000000011</v>
      </c>
      <c r="Q31" s="238">
        <f t="shared" si="22"/>
        <v>2.9970000000000003</v>
      </c>
      <c r="R31" s="238">
        <f t="shared" si="31"/>
        <v>0.32720580000000005</v>
      </c>
      <c r="S31" s="238">
        <f t="shared" si="1"/>
        <v>11.649205800000001</v>
      </c>
      <c r="T31" s="240">
        <v>119</v>
      </c>
      <c r="U31" s="238">
        <f t="shared" si="2"/>
        <v>102.58620689655173</v>
      </c>
      <c r="V31" s="241">
        <f t="shared" si="3"/>
        <v>61.551724137931032</v>
      </c>
      <c r="W31" s="242">
        <f t="shared" si="4"/>
        <v>0.18925880571428574</v>
      </c>
      <c r="X31" s="243">
        <f t="shared" si="5"/>
        <v>0.81074119428571423</v>
      </c>
      <c r="Y31" s="244">
        <f t="shared" si="6"/>
        <v>0.4</v>
      </c>
      <c r="Z31" s="245" t="s">
        <v>1370</v>
      </c>
      <c r="AA31" s="246" t="s">
        <v>1371</v>
      </c>
      <c r="AB31" s="234">
        <v>6</v>
      </c>
      <c r="AC31" s="234">
        <v>144</v>
      </c>
      <c r="AD31" s="234"/>
      <c r="AE31" s="286"/>
      <c r="AG31" s="247">
        <v>79</v>
      </c>
      <c r="AH31" s="248">
        <f t="shared" si="7"/>
        <v>68.103448275862078</v>
      </c>
      <c r="AI31" s="249">
        <f t="shared" si="8"/>
        <v>0.17105162946835442</v>
      </c>
      <c r="AJ31" s="250">
        <f t="shared" si="9"/>
        <v>0.82894837053164561</v>
      </c>
      <c r="AK31" s="251">
        <f t="shared" si="10"/>
        <v>0</v>
      </c>
      <c r="BA31" s="252">
        <v>1</v>
      </c>
      <c r="BB31" s="252">
        <v>1</v>
      </c>
      <c r="BC31" s="252">
        <v>1</v>
      </c>
      <c r="BD31" s="252">
        <v>1</v>
      </c>
      <c r="BE31" s="252">
        <v>1</v>
      </c>
      <c r="BF31" s="254">
        <v>1</v>
      </c>
      <c r="BG31" s="254"/>
      <c r="BH31" s="254"/>
      <c r="BI31" s="254"/>
      <c r="BJ31" s="252">
        <v>9</v>
      </c>
      <c r="BK31" s="252">
        <f t="shared" si="11"/>
        <v>6</v>
      </c>
      <c r="BL31" s="253">
        <f t="shared" si="12"/>
        <v>0.66666666666666663</v>
      </c>
      <c r="BR31" s="353" t="s">
        <v>1372</v>
      </c>
      <c r="BS31" s="334"/>
      <c r="BT31" s="81" t="s">
        <v>627</v>
      </c>
      <c r="CJ31" s="278"/>
      <c r="CK31" s="278"/>
      <c r="CL31" s="278"/>
      <c r="CM31" s="278"/>
      <c r="CN31" s="278"/>
      <c r="CO31" s="278"/>
      <c r="CP31" s="268"/>
      <c r="CQ31" s="268"/>
      <c r="CR31" s="267"/>
      <c r="CS31" s="267"/>
      <c r="CT31" s="267"/>
      <c r="CU31" s="267"/>
      <c r="CV31" s="267"/>
      <c r="CW31" s="267"/>
      <c r="CX31" s="267"/>
      <c r="CY31" s="267"/>
      <c r="CZ31" s="267"/>
      <c r="DA31" s="267"/>
    </row>
    <row r="32" spans="1:105" ht="69" customHeight="1">
      <c r="A32" s="230">
        <v>16</v>
      </c>
      <c r="B32" s="231">
        <v>46266</v>
      </c>
      <c r="C32" s="231">
        <v>46266</v>
      </c>
      <c r="D32" s="230" t="s">
        <v>77</v>
      </c>
      <c r="E32" s="230"/>
      <c r="F32" s="230" t="s">
        <v>1402</v>
      </c>
      <c r="G32" s="233" t="s">
        <v>1403</v>
      </c>
      <c r="H32" s="215"/>
      <c r="I32" s="234" t="s">
        <v>375</v>
      </c>
      <c r="J32" s="235" t="s">
        <v>1364</v>
      </c>
      <c r="K32" s="235" t="s">
        <v>1053</v>
      </c>
      <c r="L32" s="236">
        <v>1</v>
      </c>
      <c r="M32" s="255">
        <v>0.45</v>
      </c>
      <c r="N32" s="238" t="s">
        <v>64</v>
      </c>
      <c r="O32" s="239">
        <v>10000</v>
      </c>
      <c r="P32" s="238">
        <f t="shared" si="13"/>
        <v>8.3250000000000011</v>
      </c>
      <c r="Q32" s="238">
        <f t="shared" si="22"/>
        <v>2.9970000000000003</v>
      </c>
      <c r="R32" s="238">
        <f t="shared" si="31"/>
        <v>0.32720580000000005</v>
      </c>
      <c r="S32" s="238">
        <f t="shared" si="1"/>
        <v>11.649205800000001</v>
      </c>
      <c r="T32" s="240">
        <v>119</v>
      </c>
      <c r="U32" s="238">
        <f t="shared" si="2"/>
        <v>102.58620689655173</v>
      </c>
      <c r="V32" s="241">
        <f t="shared" si="3"/>
        <v>61.551724137931032</v>
      </c>
      <c r="W32" s="242">
        <f t="shared" si="4"/>
        <v>0.18925880571428574</v>
      </c>
      <c r="X32" s="243">
        <f t="shared" si="5"/>
        <v>0.81074119428571423</v>
      </c>
      <c r="Y32" s="244">
        <f t="shared" si="6"/>
        <v>0.4</v>
      </c>
      <c r="Z32" s="245" t="s">
        <v>1370</v>
      </c>
      <c r="AA32" s="246" t="s">
        <v>1371</v>
      </c>
      <c r="AB32" s="234">
        <v>6</v>
      </c>
      <c r="AC32" s="234">
        <v>144</v>
      </c>
      <c r="AD32" s="234"/>
      <c r="AE32" s="286"/>
      <c r="AG32" s="247">
        <v>79</v>
      </c>
      <c r="AH32" s="248">
        <f t="shared" si="7"/>
        <v>68.103448275862078</v>
      </c>
      <c r="AI32" s="249">
        <f t="shared" si="8"/>
        <v>0.17105162946835442</v>
      </c>
      <c r="AJ32" s="250">
        <f t="shared" si="9"/>
        <v>0.82894837053164561</v>
      </c>
      <c r="AK32" s="251">
        <f t="shared" si="10"/>
        <v>0</v>
      </c>
      <c r="BA32" s="252">
        <v>1</v>
      </c>
      <c r="BB32" s="252">
        <v>1</v>
      </c>
      <c r="BC32" s="252">
        <v>1</v>
      </c>
      <c r="BD32" s="252">
        <v>1</v>
      </c>
      <c r="BE32" s="252">
        <v>1</v>
      </c>
      <c r="BF32" s="254">
        <v>1</v>
      </c>
      <c r="BG32" s="254"/>
      <c r="BH32" s="254"/>
      <c r="BI32" s="254"/>
      <c r="BJ32" s="252">
        <v>9</v>
      </c>
      <c r="BK32" s="252">
        <f t="shared" si="11"/>
        <v>6</v>
      </c>
      <c r="BL32" s="253">
        <f t="shared" si="12"/>
        <v>0.66666666666666663</v>
      </c>
      <c r="BR32" s="353" t="s">
        <v>1372</v>
      </c>
      <c r="BS32" s="334"/>
      <c r="BT32" s="81" t="s">
        <v>627</v>
      </c>
      <c r="CJ32" s="278"/>
      <c r="CK32" s="278"/>
      <c r="CL32" s="278"/>
      <c r="CM32" s="278"/>
      <c r="CN32" s="278"/>
      <c r="CO32" s="278"/>
      <c r="CP32" s="268"/>
      <c r="CQ32" s="268"/>
      <c r="CR32" s="267"/>
      <c r="CS32" s="267"/>
      <c r="CT32" s="267"/>
      <c r="CU32" s="267"/>
      <c r="CV32" s="267"/>
      <c r="CW32" s="267"/>
      <c r="CX32" s="267"/>
      <c r="CY32" s="267"/>
      <c r="CZ32" s="267"/>
      <c r="DA32" s="267"/>
    </row>
    <row r="33" spans="1:105" ht="69" customHeight="1">
      <c r="A33" s="230">
        <v>17</v>
      </c>
      <c r="B33" s="231">
        <v>46266</v>
      </c>
      <c r="C33" s="231">
        <v>46266</v>
      </c>
      <c r="D33" s="230" t="s">
        <v>77</v>
      </c>
      <c r="E33" s="230"/>
      <c r="F33" s="230" t="s">
        <v>1404</v>
      </c>
      <c r="G33" s="233" t="s">
        <v>1405</v>
      </c>
      <c r="H33" s="215"/>
      <c r="I33" s="234" t="s">
        <v>375</v>
      </c>
      <c r="J33" s="235" t="s">
        <v>1364</v>
      </c>
      <c r="K33" s="235" t="s">
        <v>1053</v>
      </c>
      <c r="L33" s="236">
        <v>1</v>
      </c>
      <c r="M33" s="255">
        <v>0.45</v>
      </c>
      <c r="N33" s="238" t="s">
        <v>64</v>
      </c>
      <c r="O33" s="239">
        <v>10000</v>
      </c>
      <c r="P33" s="238">
        <f t="shared" si="13"/>
        <v>8.3250000000000011</v>
      </c>
      <c r="Q33" s="238">
        <f t="shared" si="22"/>
        <v>2.9970000000000003</v>
      </c>
      <c r="R33" s="238">
        <f t="shared" si="31"/>
        <v>0.32720580000000005</v>
      </c>
      <c r="S33" s="238">
        <f t="shared" si="1"/>
        <v>11.649205800000001</v>
      </c>
      <c r="T33" s="240">
        <v>119</v>
      </c>
      <c r="U33" s="238">
        <f t="shared" si="2"/>
        <v>102.58620689655173</v>
      </c>
      <c r="V33" s="241">
        <f t="shared" si="3"/>
        <v>61.551724137931032</v>
      </c>
      <c r="W33" s="242">
        <f t="shared" si="4"/>
        <v>0.18925880571428574</v>
      </c>
      <c r="X33" s="243">
        <f t="shared" si="5"/>
        <v>0.81074119428571423</v>
      </c>
      <c r="Y33" s="244">
        <f t="shared" si="6"/>
        <v>0.4</v>
      </c>
      <c r="Z33" s="245" t="s">
        <v>1370</v>
      </c>
      <c r="AA33" s="246" t="s">
        <v>1371</v>
      </c>
      <c r="AB33" s="234">
        <v>6</v>
      </c>
      <c r="AC33" s="234">
        <v>144</v>
      </c>
      <c r="AD33" s="234"/>
      <c r="AE33" s="286"/>
      <c r="AG33" s="247">
        <v>79</v>
      </c>
      <c r="AH33" s="248">
        <f t="shared" si="7"/>
        <v>68.103448275862078</v>
      </c>
      <c r="AI33" s="249">
        <f t="shared" si="8"/>
        <v>0.17105162946835442</v>
      </c>
      <c r="AJ33" s="250">
        <f t="shared" si="9"/>
        <v>0.82894837053164561</v>
      </c>
      <c r="AK33" s="251">
        <f t="shared" si="10"/>
        <v>0</v>
      </c>
      <c r="BA33" s="252">
        <v>1</v>
      </c>
      <c r="BB33" s="252">
        <v>1</v>
      </c>
      <c r="BC33" s="252">
        <v>1</v>
      </c>
      <c r="BD33" s="252">
        <v>1</v>
      </c>
      <c r="BE33" s="252">
        <v>1</v>
      </c>
      <c r="BF33" s="254">
        <v>1</v>
      </c>
      <c r="BG33" s="254"/>
      <c r="BH33" s="254"/>
      <c r="BI33" s="254"/>
      <c r="BJ33" s="252">
        <v>9</v>
      </c>
      <c r="BK33" s="252">
        <f t="shared" si="11"/>
        <v>6</v>
      </c>
      <c r="BL33" s="253">
        <f t="shared" si="12"/>
        <v>0.66666666666666663</v>
      </c>
      <c r="BR33" s="353" t="s">
        <v>1372</v>
      </c>
      <c r="BS33" s="334"/>
      <c r="BT33" s="81" t="s">
        <v>627</v>
      </c>
      <c r="CJ33" s="278"/>
      <c r="CK33" s="278"/>
      <c r="CL33" s="278"/>
      <c r="CM33" s="278"/>
      <c r="CN33" s="278"/>
      <c r="CO33" s="278"/>
      <c r="CP33" s="268"/>
      <c r="CQ33" s="268"/>
      <c r="CR33" s="267"/>
      <c r="CS33" s="267"/>
      <c r="CT33" s="267"/>
      <c r="CU33" s="267"/>
      <c r="CV33" s="267"/>
      <c r="CW33" s="267"/>
      <c r="CX33" s="267"/>
      <c r="CY33" s="267"/>
      <c r="CZ33" s="267"/>
      <c r="DA33" s="267"/>
    </row>
    <row r="34" spans="1:105" ht="69" customHeight="1">
      <c r="A34" s="230">
        <v>18</v>
      </c>
      <c r="B34" s="231">
        <v>46266</v>
      </c>
      <c r="C34" s="231">
        <v>46266</v>
      </c>
      <c r="D34" s="230" t="s">
        <v>77</v>
      </c>
      <c r="E34" s="230"/>
      <c r="F34" s="230" t="s">
        <v>1406</v>
      </c>
      <c r="G34" s="233" t="s">
        <v>1407</v>
      </c>
      <c r="H34" s="215"/>
      <c r="I34" s="234" t="s">
        <v>375</v>
      </c>
      <c r="J34" s="235" t="s">
        <v>1364</v>
      </c>
      <c r="K34" s="235" t="s">
        <v>1053</v>
      </c>
      <c r="L34" s="236">
        <v>1</v>
      </c>
      <c r="M34" s="255">
        <v>0.45</v>
      </c>
      <c r="N34" s="238" t="s">
        <v>64</v>
      </c>
      <c r="O34" s="239">
        <v>10000</v>
      </c>
      <c r="P34" s="238">
        <f t="shared" si="13"/>
        <v>8.3250000000000011</v>
      </c>
      <c r="Q34" s="238">
        <f t="shared" si="22"/>
        <v>2.9970000000000003</v>
      </c>
      <c r="R34" s="238">
        <f t="shared" si="31"/>
        <v>0.32720580000000005</v>
      </c>
      <c r="S34" s="238">
        <f t="shared" si="1"/>
        <v>11.649205800000001</v>
      </c>
      <c r="T34" s="240">
        <v>119</v>
      </c>
      <c r="U34" s="238">
        <f t="shared" si="2"/>
        <v>102.58620689655173</v>
      </c>
      <c r="V34" s="241">
        <f t="shared" si="3"/>
        <v>61.551724137931032</v>
      </c>
      <c r="W34" s="242">
        <f t="shared" si="4"/>
        <v>0.18925880571428574</v>
      </c>
      <c r="X34" s="243">
        <f t="shared" si="5"/>
        <v>0.81074119428571423</v>
      </c>
      <c r="Y34" s="244">
        <f t="shared" si="6"/>
        <v>0.4</v>
      </c>
      <c r="Z34" s="245" t="s">
        <v>1370</v>
      </c>
      <c r="AA34" s="246" t="s">
        <v>1371</v>
      </c>
      <c r="AB34" s="234">
        <v>6</v>
      </c>
      <c r="AC34" s="234">
        <v>144</v>
      </c>
      <c r="AD34" s="234"/>
      <c r="AE34" s="286"/>
      <c r="AG34" s="247">
        <v>79</v>
      </c>
      <c r="AH34" s="248">
        <f t="shared" si="7"/>
        <v>68.103448275862078</v>
      </c>
      <c r="AI34" s="249">
        <f t="shared" si="8"/>
        <v>0.17105162946835442</v>
      </c>
      <c r="AJ34" s="250">
        <f t="shared" si="9"/>
        <v>0.82894837053164561</v>
      </c>
      <c r="AK34" s="251">
        <f t="shared" si="10"/>
        <v>0</v>
      </c>
      <c r="BA34" s="252">
        <v>1</v>
      </c>
      <c r="BB34" s="252">
        <v>1</v>
      </c>
      <c r="BC34" s="252">
        <v>1</v>
      </c>
      <c r="BD34" s="252">
        <v>1</v>
      </c>
      <c r="BE34" s="252">
        <v>1</v>
      </c>
      <c r="BF34" s="254">
        <v>1</v>
      </c>
      <c r="BG34" s="254"/>
      <c r="BH34" s="254"/>
      <c r="BI34" s="254"/>
      <c r="BJ34" s="252">
        <v>9</v>
      </c>
      <c r="BK34" s="252">
        <f t="shared" si="11"/>
        <v>6</v>
      </c>
      <c r="BL34" s="253">
        <f t="shared" si="12"/>
        <v>0.66666666666666663</v>
      </c>
      <c r="BR34" s="353" t="s">
        <v>1372</v>
      </c>
      <c r="BS34" s="334"/>
      <c r="BT34" s="81" t="s">
        <v>627</v>
      </c>
      <c r="CJ34" s="278"/>
      <c r="CK34" s="278"/>
      <c r="CL34" s="278"/>
      <c r="CM34" s="278"/>
      <c r="CN34" s="278"/>
      <c r="CO34" s="278"/>
      <c r="CP34" s="268"/>
      <c r="CQ34" s="268"/>
      <c r="CR34" s="267"/>
      <c r="CS34" s="267"/>
      <c r="CT34" s="267"/>
      <c r="CU34" s="267"/>
      <c r="CV34" s="267"/>
      <c r="CW34" s="267"/>
      <c r="CX34" s="267"/>
      <c r="CY34" s="267"/>
      <c r="CZ34" s="267"/>
      <c r="DA34" s="267"/>
    </row>
    <row r="35" spans="1:105" ht="69" customHeight="1">
      <c r="A35" s="230">
        <v>19</v>
      </c>
      <c r="B35" s="231">
        <v>46266</v>
      </c>
      <c r="C35" s="231">
        <v>46266</v>
      </c>
      <c r="D35" s="230" t="s">
        <v>77</v>
      </c>
      <c r="E35" s="230"/>
      <c r="F35" s="230" t="s">
        <v>1408</v>
      </c>
      <c r="G35" s="233" t="s">
        <v>1409</v>
      </c>
      <c r="H35" s="215"/>
      <c r="I35" s="234" t="s">
        <v>375</v>
      </c>
      <c r="J35" s="235" t="s">
        <v>1364</v>
      </c>
      <c r="K35" s="235" t="s">
        <v>1053</v>
      </c>
      <c r="L35" s="236">
        <v>1</v>
      </c>
      <c r="M35" s="255">
        <v>0.45</v>
      </c>
      <c r="N35" s="238" t="s">
        <v>64</v>
      </c>
      <c r="O35" s="239">
        <v>10000</v>
      </c>
      <c r="P35" s="238">
        <f t="shared" si="13"/>
        <v>8.3250000000000011</v>
      </c>
      <c r="Q35" s="238">
        <f t="shared" si="22"/>
        <v>2.9970000000000003</v>
      </c>
      <c r="R35" s="238">
        <f t="shared" si="31"/>
        <v>0.32720580000000005</v>
      </c>
      <c r="S35" s="238">
        <f t="shared" si="1"/>
        <v>11.649205800000001</v>
      </c>
      <c r="T35" s="240">
        <v>119</v>
      </c>
      <c r="U35" s="238">
        <f t="shared" si="2"/>
        <v>102.58620689655173</v>
      </c>
      <c r="V35" s="241">
        <f t="shared" si="3"/>
        <v>61.551724137931032</v>
      </c>
      <c r="W35" s="242">
        <f t="shared" si="4"/>
        <v>0.18925880571428574</v>
      </c>
      <c r="X35" s="243">
        <f t="shared" si="5"/>
        <v>0.81074119428571423</v>
      </c>
      <c r="Y35" s="244">
        <f t="shared" si="6"/>
        <v>0.4</v>
      </c>
      <c r="Z35" s="245" t="s">
        <v>1370</v>
      </c>
      <c r="AA35" s="246" t="s">
        <v>1371</v>
      </c>
      <c r="AB35" s="234">
        <v>6</v>
      </c>
      <c r="AC35" s="234">
        <v>144</v>
      </c>
      <c r="AD35" s="234"/>
      <c r="AE35" s="286"/>
      <c r="AG35" s="247">
        <v>79</v>
      </c>
      <c r="AH35" s="248">
        <f t="shared" si="7"/>
        <v>68.103448275862078</v>
      </c>
      <c r="AI35" s="249">
        <f t="shared" si="8"/>
        <v>0.17105162946835442</v>
      </c>
      <c r="AJ35" s="250">
        <f t="shared" si="9"/>
        <v>0.82894837053164561</v>
      </c>
      <c r="AK35" s="251">
        <f t="shared" si="10"/>
        <v>0</v>
      </c>
      <c r="BA35" s="252">
        <v>1</v>
      </c>
      <c r="BB35" s="252">
        <v>1</v>
      </c>
      <c r="BC35" s="252">
        <v>1</v>
      </c>
      <c r="BD35" s="252">
        <v>1</v>
      </c>
      <c r="BE35" s="252">
        <v>1</v>
      </c>
      <c r="BF35" s="254">
        <v>1</v>
      </c>
      <c r="BG35" s="254"/>
      <c r="BH35" s="254"/>
      <c r="BI35" s="254"/>
      <c r="BJ35" s="252">
        <v>9</v>
      </c>
      <c r="BK35" s="252">
        <f t="shared" si="11"/>
        <v>6</v>
      </c>
      <c r="BL35" s="253">
        <f t="shared" si="12"/>
        <v>0.66666666666666663</v>
      </c>
      <c r="BR35" s="353" t="s">
        <v>1372</v>
      </c>
      <c r="BS35" s="334"/>
      <c r="BT35" s="81" t="s">
        <v>627</v>
      </c>
      <c r="CJ35" s="278"/>
      <c r="CK35" s="278"/>
      <c r="CL35" s="278"/>
      <c r="CM35" s="278"/>
      <c r="CN35" s="278"/>
      <c r="CO35" s="278"/>
      <c r="CP35" s="268"/>
      <c r="CQ35" s="268"/>
      <c r="CR35" s="267"/>
      <c r="CS35" s="267"/>
      <c r="CT35" s="267"/>
      <c r="CU35" s="267"/>
      <c r="CV35" s="267"/>
      <c r="CW35" s="267"/>
      <c r="CX35" s="267"/>
      <c r="CY35" s="267"/>
      <c r="CZ35" s="267"/>
      <c r="DA35" s="267"/>
    </row>
    <row r="36" spans="1:105" ht="69" customHeight="1">
      <c r="A36" s="230">
        <v>20</v>
      </c>
      <c r="B36" s="231">
        <v>46266</v>
      </c>
      <c r="C36" s="231">
        <v>46266</v>
      </c>
      <c r="D36" s="230" t="s">
        <v>77</v>
      </c>
      <c r="E36" s="230"/>
      <c r="F36" s="230" t="s">
        <v>1410</v>
      </c>
      <c r="G36" s="233" t="s">
        <v>1411</v>
      </c>
      <c r="H36" s="215"/>
      <c r="I36" s="234" t="s">
        <v>375</v>
      </c>
      <c r="J36" s="235" t="s">
        <v>1364</v>
      </c>
      <c r="K36" s="235" t="s">
        <v>1053</v>
      </c>
      <c r="L36" s="236">
        <v>1</v>
      </c>
      <c r="M36" s="255">
        <v>0.45</v>
      </c>
      <c r="N36" s="238" t="s">
        <v>64</v>
      </c>
      <c r="O36" s="239">
        <v>10000</v>
      </c>
      <c r="P36" s="238">
        <f t="shared" si="13"/>
        <v>8.3250000000000011</v>
      </c>
      <c r="Q36" s="238">
        <f t="shared" si="22"/>
        <v>2.9970000000000003</v>
      </c>
      <c r="R36" s="238">
        <f t="shared" si="31"/>
        <v>0.32720580000000005</v>
      </c>
      <c r="S36" s="238">
        <f t="shared" si="1"/>
        <v>11.649205800000001</v>
      </c>
      <c r="T36" s="240">
        <v>119</v>
      </c>
      <c r="U36" s="238">
        <f t="shared" si="2"/>
        <v>102.58620689655173</v>
      </c>
      <c r="V36" s="241">
        <f t="shared" si="3"/>
        <v>61.551724137931032</v>
      </c>
      <c r="W36" s="242">
        <f t="shared" si="4"/>
        <v>0.18925880571428574</v>
      </c>
      <c r="X36" s="243">
        <f t="shared" si="5"/>
        <v>0.81074119428571423</v>
      </c>
      <c r="Y36" s="244">
        <f t="shared" si="6"/>
        <v>0.4</v>
      </c>
      <c r="Z36" s="245" t="s">
        <v>1370</v>
      </c>
      <c r="AA36" s="246" t="s">
        <v>1371</v>
      </c>
      <c r="AB36" s="234">
        <v>6</v>
      </c>
      <c r="AC36" s="234">
        <v>144</v>
      </c>
      <c r="AD36" s="234"/>
      <c r="AE36" s="286"/>
      <c r="AG36" s="247">
        <v>79</v>
      </c>
      <c r="AH36" s="248">
        <f t="shared" si="7"/>
        <v>68.103448275862078</v>
      </c>
      <c r="AI36" s="249">
        <f t="shared" si="8"/>
        <v>0.17105162946835442</v>
      </c>
      <c r="AJ36" s="250">
        <f t="shared" si="9"/>
        <v>0.82894837053164561</v>
      </c>
      <c r="AK36" s="251">
        <f t="shared" si="10"/>
        <v>0</v>
      </c>
      <c r="BA36" s="252">
        <v>1</v>
      </c>
      <c r="BB36" s="252">
        <v>1</v>
      </c>
      <c r="BC36" s="252">
        <v>1</v>
      </c>
      <c r="BD36" s="252">
        <v>1</v>
      </c>
      <c r="BE36" s="252">
        <v>1</v>
      </c>
      <c r="BF36" s="254">
        <v>1</v>
      </c>
      <c r="BG36" s="254"/>
      <c r="BH36" s="254"/>
      <c r="BI36" s="254"/>
      <c r="BJ36" s="252">
        <v>9</v>
      </c>
      <c r="BK36" s="252">
        <f t="shared" si="11"/>
        <v>6</v>
      </c>
      <c r="BL36" s="253">
        <f t="shared" si="12"/>
        <v>0.66666666666666663</v>
      </c>
      <c r="BR36" s="353" t="s">
        <v>1372</v>
      </c>
      <c r="BS36" s="334"/>
      <c r="BT36" s="81" t="s">
        <v>627</v>
      </c>
      <c r="CJ36" s="278"/>
      <c r="CK36" s="278"/>
      <c r="CL36" s="278"/>
      <c r="CM36" s="278"/>
      <c r="CN36" s="278"/>
      <c r="CO36" s="278"/>
      <c r="CP36" s="268"/>
      <c r="CQ36" s="268"/>
      <c r="CR36" s="267"/>
      <c r="CS36" s="267"/>
      <c r="CT36" s="267"/>
      <c r="CU36" s="267"/>
      <c r="CV36" s="267"/>
      <c r="CW36" s="267"/>
      <c r="CX36" s="267"/>
      <c r="CY36" s="267"/>
      <c r="CZ36" s="267"/>
      <c r="DA36" s="267"/>
    </row>
    <row r="37" spans="1:105" ht="69" customHeight="1">
      <c r="A37" s="230">
        <v>21</v>
      </c>
      <c r="B37" s="231">
        <v>46266</v>
      </c>
      <c r="C37" s="231">
        <v>46266</v>
      </c>
      <c r="D37" s="230" t="s">
        <v>77</v>
      </c>
      <c r="E37" s="230"/>
      <c r="F37" s="230" t="s">
        <v>1412</v>
      </c>
      <c r="G37" s="233" t="s">
        <v>1413</v>
      </c>
      <c r="H37" s="215"/>
      <c r="I37" s="234" t="s">
        <v>375</v>
      </c>
      <c r="J37" s="235" t="s">
        <v>1364</v>
      </c>
      <c r="K37" s="235" t="s">
        <v>1053</v>
      </c>
      <c r="L37" s="236">
        <v>1</v>
      </c>
      <c r="M37" s="255">
        <v>0.45</v>
      </c>
      <c r="N37" s="238" t="s">
        <v>64</v>
      </c>
      <c r="O37" s="239">
        <v>10000</v>
      </c>
      <c r="P37" s="238">
        <f t="shared" si="13"/>
        <v>8.3250000000000011</v>
      </c>
      <c r="Q37" s="238">
        <f t="shared" si="22"/>
        <v>2.9970000000000003</v>
      </c>
      <c r="R37" s="238">
        <f t="shared" si="31"/>
        <v>0.32720580000000005</v>
      </c>
      <c r="S37" s="238">
        <f t="shared" si="1"/>
        <v>11.649205800000001</v>
      </c>
      <c r="T37" s="240">
        <v>119</v>
      </c>
      <c r="U37" s="238">
        <f t="shared" si="2"/>
        <v>102.58620689655173</v>
      </c>
      <c r="V37" s="241">
        <f t="shared" si="3"/>
        <v>61.551724137931032</v>
      </c>
      <c r="W37" s="242">
        <f t="shared" si="4"/>
        <v>0.18925880571428574</v>
      </c>
      <c r="X37" s="243">
        <f t="shared" si="5"/>
        <v>0.81074119428571423</v>
      </c>
      <c r="Y37" s="244">
        <f t="shared" si="6"/>
        <v>0.4</v>
      </c>
      <c r="Z37" s="245" t="s">
        <v>1370</v>
      </c>
      <c r="AA37" s="246" t="s">
        <v>1371</v>
      </c>
      <c r="AB37" s="234">
        <v>6</v>
      </c>
      <c r="AC37" s="234">
        <v>144</v>
      </c>
      <c r="AD37" s="234"/>
      <c r="AE37" s="286"/>
      <c r="AG37" s="247">
        <v>79</v>
      </c>
      <c r="AH37" s="248">
        <f t="shared" si="7"/>
        <v>68.103448275862078</v>
      </c>
      <c r="AI37" s="249">
        <f t="shared" si="8"/>
        <v>0.17105162946835442</v>
      </c>
      <c r="AJ37" s="250">
        <f t="shared" si="9"/>
        <v>0.82894837053164561</v>
      </c>
      <c r="AK37" s="251">
        <f t="shared" si="10"/>
        <v>0</v>
      </c>
      <c r="BA37" s="252">
        <v>1</v>
      </c>
      <c r="BB37" s="252">
        <v>1</v>
      </c>
      <c r="BC37" s="252">
        <v>1</v>
      </c>
      <c r="BD37" s="252">
        <v>1</v>
      </c>
      <c r="BE37" s="252">
        <v>1</v>
      </c>
      <c r="BF37" s="254">
        <v>1</v>
      </c>
      <c r="BG37" s="254"/>
      <c r="BH37" s="254"/>
      <c r="BI37" s="254"/>
      <c r="BJ37" s="252">
        <v>9</v>
      </c>
      <c r="BK37" s="252">
        <f t="shared" si="11"/>
        <v>6</v>
      </c>
      <c r="BL37" s="253">
        <f t="shared" si="12"/>
        <v>0.66666666666666663</v>
      </c>
      <c r="BR37" s="353" t="s">
        <v>1372</v>
      </c>
      <c r="BS37" s="334"/>
      <c r="BT37" s="81" t="s">
        <v>627</v>
      </c>
      <c r="CJ37" s="278"/>
      <c r="CK37" s="278"/>
      <c r="CL37" s="278"/>
      <c r="CM37" s="278"/>
      <c r="CN37" s="278"/>
      <c r="CO37" s="278"/>
      <c r="CP37" s="268"/>
      <c r="CQ37" s="268"/>
      <c r="CR37" s="267"/>
      <c r="CS37" s="267"/>
      <c r="CT37" s="267"/>
      <c r="CU37" s="267"/>
      <c r="CV37" s="267"/>
      <c r="CW37" s="267"/>
      <c r="CX37" s="267"/>
      <c r="CY37" s="267"/>
      <c r="CZ37" s="267"/>
      <c r="DA37" s="267"/>
    </row>
    <row r="38" spans="1:105" ht="69" customHeight="1">
      <c r="A38" s="230">
        <v>22</v>
      </c>
      <c r="B38" s="231">
        <v>46266</v>
      </c>
      <c r="C38" s="231">
        <v>46266</v>
      </c>
      <c r="D38" s="230" t="s">
        <v>77</v>
      </c>
      <c r="E38" s="230"/>
      <c r="F38" s="230" t="s">
        <v>1414</v>
      </c>
      <c r="G38" s="233" t="s">
        <v>1415</v>
      </c>
      <c r="H38" s="215"/>
      <c r="I38" s="234" t="s">
        <v>375</v>
      </c>
      <c r="J38" s="235" t="s">
        <v>1364</v>
      </c>
      <c r="K38" s="235" t="s">
        <v>1053</v>
      </c>
      <c r="L38" s="236">
        <v>1</v>
      </c>
      <c r="M38" s="255">
        <v>0.45</v>
      </c>
      <c r="N38" s="238" t="s">
        <v>64</v>
      </c>
      <c r="O38" s="239">
        <v>10000</v>
      </c>
      <c r="P38" s="238">
        <f t="shared" si="13"/>
        <v>8.3250000000000011</v>
      </c>
      <c r="Q38" s="238">
        <f t="shared" si="22"/>
        <v>2.9970000000000003</v>
      </c>
      <c r="R38" s="238">
        <f t="shared" si="31"/>
        <v>0.32720580000000005</v>
      </c>
      <c r="S38" s="238">
        <f t="shared" si="1"/>
        <v>11.649205800000001</v>
      </c>
      <c r="T38" s="240">
        <v>119</v>
      </c>
      <c r="U38" s="238">
        <f t="shared" si="2"/>
        <v>102.58620689655173</v>
      </c>
      <c r="V38" s="241">
        <f t="shared" si="3"/>
        <v>61.551724137931032</v>
      </c>
      <c r="W38" s="242">
        <f t="shared" si="4"/>
        <v>0.18925880571428574</v>
      </c>
      <c r="X38" s="243">
        <f t="shared" si="5"/>
        <v>0.81074119428571423</v>
      </c>
      <c r="Y38" s="244">
        <f t="shared" si="6"/>
        <v>0.4</v>
      </c>
      <c r="Z38" s="245" t="s">
        <v>1370</v>
      </c>
      <c r="AA38" s="246" t="s">
        <v>1371</v>
      </c>
      <c r="AB38" s="234">
        <v>6</v>
      </c>
      <c r="AC38" s="234">
        <v>144</v>
      </c>
      <c r="AD38" s="234"/>
      <c r="AE38" s="286"/>
      <c r="AG38" s="247">
        <v>79</v>
      </c>
      <c r="AH38" s="248">
        <f t="shared" si="7"/>
        <v>68.103448275862078</v>
      </c>
      <c r="AI38" s="249">
        <f t="shared" si="8"/>
        <v>0.17105162946835442</v>
      </c>
      <c r="AJ38" s="250">
        <f t="shared" si="9"/>
        <v>0.82894837053164561</v>
      </c>
      <c r="AK38" s="251">
        <f t="shared" si="10"/>
        <v>0</v>
      </c>
      <c r="BA38" s="252">
        <v>1</v>
      </c>
      <c r="BB38" s="252">
        <v>1</v>
      </c>
      <c r="BC38" s="252">
        <v>1</v>
      </c>
      <c r="BD38" s="252">
        <v>1</v>
      </c>
      <c r="BE38" s="252">
        <v>1</v>
      </c>
      <c r="BF38" s="254">
        <v>1</v>
      </c>
      <c r="BG38" s="254"/>
      <c r="BH38" s="254"/>
      <c r="BI38" s="254"/>
      <c r="BJ38" s="252">
        <v>9</v>
      </c>
      <c r="BK38" s="252">
        <f t="shared" si="11"/>
        <v>6</v>
      </c>
      <c r="BL38" s="253">
        <f t="shared" si="12"/>
        <v>0.66666666666666663</v>
      </c>
      <c r="BR38" s="353" t="s">
        <v>1372</v>
      </c>
      <c r="BS38" s="334"/>
      <c r="BT38" s="81" t="s">
        <v>627</v>
      </c>
      <c r="CJ38" s="278"/>
      <c r="CK38" s="278"/>
      <c r="CL38" s="278"/>
      <c r="CM38" s="278"/>
      <c r="CN38" s="278"/>
      <c r="CO38" s="278"/>
      <c r="CP38" s="268"/>
      <c r="CQ38" s="268"/>
      <c r="CR38" s="267"/>
      <c r="CS38" s="267"/>
      <c r="CT38" s="267"/>
      <c r="CU38" s="267"/>
      <c r="CV38" s="267"/>
      <c r="CW38" s="267"/>
      <c r="CX38" s="267"/>
      <c r="CY38" s="267"/>
      <c r="CZ38" s="267"/>
      <c r="DA38" s="267"/>
    </row>
    <row r="39" spans="1:105" ht="69" customHeight="1">
      <c r="A39" s="230">
        <v>23</v>
      </c>
      <c r="B39" s="231">
        <v>46266</v>
      </c>
      <c r="C39" s="231">
        <v>46266</v>
      </c>
      <c r="D39" s="230" t="s">
        <v>77</v>
      </c>
      <c r="E39" s="232">
        <v>7502327991977</v>
      </c>
      <c r="F39" s="230" t="s">
        <v>1416</v>
      </c>
      <c r="G39" s="233" t="s">
        <v>1417</v>
      </c>
      <c r="H39" s="215"/>
      <c r="I39" s="234"/>
      <c r="J39" s="235"/>
      <c r="K39" s="235"/>
      <c r="L39" s="236"/>
      <c r="M39" s="255"/>
      <c r="N39" s="238"/>
      <c r="O39" s="239"/>
      <c r="P39" s="238"/>
      <c r="Q39" s="238"/>
      <c r="R39" s="238"/>
      <c r="S39" s="238"/>
      <c r="T39" s="240"/>
      <c r="U39" s="238"/>
      <c r="V39" s="241"/>
      <c r="W39" s="242"/>
      <c r="X39" s="243"/>
      <c r="Y39" s="244"/>
      <c r="Z39" s="245"/>
      <c r="AA39" s="246"/>
      <c r="AB39" s="234"/>
      <c r="AC39" s="234"/>
      <c r="AD39" s="465">
        <v>46334</v>
      </c>
      <c r="AE39" s="286"/>
      <c r="AG39" s="247"/>
      <c r="AH39" s="248"/>
      <c r="AI39" s="249"/>
      <c r="AJ39" s="250"/>
      <c r="AK39" s="251"/>
      <c r="BA39" s="252">
        <v>1</v>
      </c>
      <c r="BB39" s="252">
        <v>1</v>
      </c>
      <c r="BC39" s="252">
        <v>1</v>
      </c>
      <c r="BD39" s="252">
        <v>1</v>
      </c>
      <c r="BE39" s="252">
        <v>1</v>
      </c>
      <c r="BF39" s="254">
        <v>1</v>
      </c>
      <c r="BG39" s="254"/>
      <c r="BH39" s="254"/>
      <c r="BI39" s="254"/>
      <c r="BJ39" s="252"/>
      <c r="BK39" s="252"/>
      <c r="BL39" s="253"/>
      <c r="BR39" s="353" t="s">
        <v>1418</v>
      </c>
      <c r="BS39" s="334"/>
      <c r="BT39" s="81" t="s">
        <v>129</v>
      </c>
      <c r="CJ39" s="278"/>
      <c r="CK39" s="278"/>
      <c r="CL39" s="278"/>
      <c r="CM39" s="278"/>
      <c r="CN39" s="278"/>
      <c r="CO39" s="278"/>
      <c r="CP39" s="268"/>
      <c r="CQ39" s="268"/>
      <c r="CR39" s="267"/>
      <c r="CS39" s="267"/>
      <c r="CT39" s="267"/>
      <c r="CU39" s="267"/>
      <c r="CV39" s="267"/>
      <c r="CW39" s="267"/>
      <c r="CX39" s="267"/>
      <c r="CY39" s="267"/>
      <c r="CZ39" s="267"/>
      <c r="DA39" s="267"/>
    </row>
    <row r="40" spans="1:105" ht="69" customHeight="1">
      <c r="A40" s="230">
        <v>24</v>
      </c>
      <c r="B40" s="231">
        <v>46266</v>
      </c>
      <c r="C40" s="231">
        <v>46266</v>
      </c>
      <c r="D40" s="230" t="s">
        <v>77</v>
      </c>
      <c r="E40" s="232">
        <v>7502327991984</v>
      </c>
      <c r="F40" s="230" t="s">
        <v>1419</v>
      </c>
      <c r="G40" s="233" t="s">
        <v>1420</v>
      </c>
      <c r="H40" s="234"/>
      <c r="I40" s="234" t="s">
        <v>375</v>
      </c>
      <c r="J40" s="234" t="s">
        <v>1364</v>
      </c>
      <c r="K40" s="235" t="s">
        <v>1053</v>
      </c>
      <c r="L40" s="236">
        <v>1</v>
      </c>
      <c r="M40" s="255">
        <v>0.5</v>
      </c>
      <c r="N40" s="238" t="s">
        <v>64</v>
      </c>
      <c r="O40" s="239">
        <v>10000</v>
      </c>
      <c r="P40" s="238">
        <f t="shared" si="13"/>
        <v>9.25</v>
      </c>
      <c r="Q40" s="238">
        <f t="shared" si="22"/>
        <v>3.33</v>
      </c>
      <c r="R40" s="238">
        <f>(P40+Q40)*4.97%</f>
        <v>0.62522599999999995</v>
      </c>
      <c r="S40" s="238">
        <f t="shared" si="1"/>
        <v>13.205226</v>
      </c>
      <c r="T40" s="240">
        <v>119</v>
      </c>
      <c r="U40" s="238">
        <f t="shared" si="2"/>
        <v>102.58620689655173</v>
      </c>
      <c r="V40" s="241">
        <f t="shared" si="3"/>
        <v>61.551724137931032</v>
      </c>
      <c r="W40" s="242">
        <f t="shared" si="4"/>
        <v>0.21453868571428572</v>
      </c>
      <c r="X40" s="243">
        <f t="shared" si="5"/>
        <v>0.78546131428571431</v>
      </c>
      <c r="Y40" s="244">
        <f t="shared" si="6"/>
        <v>0.4</v>
      </c>
      <c r="Z40" s="245" t="s">
        <v>1370</v>
      </c>
      <c r="AA40" s="246" t="s">
        <v>1371</v>
      </c>
      <c r="AB40" s="234">
        <v>6</v>
      </c>
      <c r="AC40" s="234">
        <v>144</v>
      </c>
      <c r="AD40" s="465">
        <v>46334</v>
      </c>
      <c r="AE40" s="286"/>
      <c r="AG40" s="247">
        <v>79</v>
      </c>
      <c r="AH40" s="248">
        <f t="shared" si="7"/>
        <v>68.103448275862078</v>
      </c>
      <c r="AI40" s="249">
        <f t="shared" si="8"/>
        <v>0.1938995210126582</v>
      </c>
      <c r="AJ40" s="250">
        <f t="shared" si="9"/>
        <v>0.80610047898734183</v>
      </c>
      <c r="AK40" s="251">
        <f t="shared" si="10"/>
        <v>0</v>
      </c>
      <c r="BA40" s="252">
        <v>1</v>
      </c>
      <c r="BB40" s="252">
        <v>1</v>
      </c>
      <c r="BC40" s="252">
        <v>1</v>
      </c>
      <c r="BD40" s="252">
        <v>1</v>
      </c>
      <c r="BE40" s="252">
        <v>1</v>
      </c>
      <c r="BF40" s="254">
        <v>1</v>
      </c>
      <c r="BG40" s="254"/>
      <c r="BH40" s="254"/>
      <c r="BI40" s="254"/>
      <c r="BJ40" s="252">
        <v>8</v>
      </c>
      <c r="BK40" s="252">
        <f t="shared" si="11"/>
        <v>6</v>
      </c>
      <c r="BL40" s="253">
        <f t="shared" si="12"/>
        <v>0.75</v>
      </c>
      <c r="BR40" s="353" t="s">
        <v>1421</v>
      </c>
      <c r="BS40" s="334"/>
      <c r="BT40" s="81" t="s">
        <v>129</v>
      </c>
      <c r="CJ40" s="278"/>
      <c r="CK40" s="278"/>
      <c r="CL40" s="278"/>
      <c r="CM40" s="278"/>
      <c r="CN40" s="278"/>
      <c r="CO40" s="278"/>
      <c r="CP40" s="268"/>
      <c r="CQ40" s="268"/>
      <c r="CR40" s="267"/>
      <c r="CS40" s="267"/>
      <c r="CT40" s="267"/>
      <c r="CU40" s="267"/>
      <c r="CV40" s="267"/>
      <c r="CW40" s="267"/>
      <c r="CX40" s="267"/>
      <c r="CY40" s="267"/>
      <c r="CZ40" s="267"/>
      <c r="DA40" s="267"/>
    </row>
    <row r="41" spans="1:105" ht="69" customHeight="1">
      <c r="A41" s="230">
        <v>25</v>
      </c>
      <c r="B41" s="231">
        <v>46266</v>
      </c>
      <c r="C41" s="231">
        <v>46266</v>
      </c>
      <c r="D41" s="230" t="s">
        <v>77</v>
      </c>
      <c r="E41" s="232">
        <v>7502327991991</v>
      </c>
      <c r="F41" s="230" t="s">
        <v>1422</v>
      </c>
      <c r="G41" s="233" t="s">
        <v>1423</v>
      </c>
      <c r="H41" s="256"/>
      <c r="I41" s="234" t="s">
        <v>375</v>
      </c>
      <c r="J41" s="256" t="s">
        <v>1364</v>
      </c>
      <c r="K41" s="235" t="s">
        <v>1053</v>
      </c>
      <c r="L41" s="236">
        <v>1</v>
      </c>
      <c r="M41" s="255">
        <v>0.5</v>
      </c>
      <c r="N41" s="238" t="s">
        <v>64</v>
      </c>
      <c r="O41" s="239">
        <v>10000</v>
      </c>
      <c r="P41" s="238">
        <f t="shared" si="13"/>
        <v>9.25</v>
      </c>
      <c r="Q41" s="238">
        <f t="shared" si="22"/>
        <v>3.33</v>
      </c>
      <c r="R41" s="238">
        <f>(P41+Q41)*4.97%</f>
        <v>0.62522599999999995</v>
      </c>
      <c r="S41" s="238">
        <f t="shared" si="1"/>
        <v>13.205226</v>
      </c>
      <c r="T41" s="240">
        <v>119</v>
      </c>
      <c r="U41" s="238">
        <f t="shared" si="2"/>
        <v>102.58620689655173</v>
      </c>
      <c r="V41" s="241">
        <f t="shared" si="3"/>
        <v>61.551724137931032</v>
      </c>
      <c r="W41" s="242">
        <f t="shared" si="4"/>
        <v>0.21453868571428572</v>
      </c>
      <c r="X41" s="243">
        <f t="shared" si="5"/>
        <v>0.78546131428571431</v>
      </c>
      <c r="Y41" s="244">
        <f t="shared" si="6"/>
        <v>0.4</v>
      </c>
      <c r="Z41" s="245" t="s">
        <v>1370</v>
      </c>
      <c r="AA41" s="246" t="s">
        <v>1371</v>
      </c>
      <c r="AB41" s="234">
        <v>6</v>
      </c>
      <c r="AC41" s="234">
        <v>144</v>
      </c>
      <c r="AD41" s="465">
        <v>46334</v>
      </c>
      <c r="AE41" s="286"/>
      <c r="AG41" s="247">
        <v>79</v>
      </c>
      <c r="AH41" s="248">
        <f t="shared" si="7"/>
        <v>68.103448275862078</v>
      </c>
      <c r="AI41" s="249">
        <f t="shared" si="8"/>
        <v>0.1938995210126582</v>
      </c>
      <c r="AJ41" s="250">
        <f t="shared" si="9"/>
        <v>0.80610047898734183</v>
      </c>
      <c r="AK41" s="251">
        <f t="shared" si="10"/>
        <v>0</v>
      </c>
      <c r="BA41" s="252">
        <v>1</v>
      </c>
      <c r="BB41" s="252">
        <v>1</v>
      </c>
      <c r="BC41" s="252">
        <v>1</v>
      </c>
      <c r="BD41" s="252">
        <v>1</v>
      </c>
      <c r="BE41" s="252">
        <v>1</v>
      </c>
      <c r="BF41" s="254">
        <v>1</v>
      </c>
      <c r="BG41" s="254"/>
      <c r="BH41" s="254"/>
      <c r="BI41" s="254"/>
      <c r="BJ41" s="252">
        <v>8</v>
      </c>
      <c r="BK41" s="252">
        <f t="shared" si="11"/>
        <v>6</v>
      </c>
      <c r="BL41" s="253">
        <f t="shared" si="12"/>
        <v>0.75</v>
      </c>
      <c r="BR41" s="353" t="s">
        <v>1421</v>
      </c>
      <c r="BS41" s="334"/>
      <c r="BT41" s="81" t="s">
        <v>129</v>
      </c>
      <c r="CJ41" s="278"/>
      <c r="CK41" s="278"/>
      <c r="CL41" s="278"/>
      <c r="CM41" s="278"/>
      <c r="CN41" s="278"/>
      <c r="CO41" s="278"/>
      <c r="CP41" s="268"/>
      <c r="CQ41" s="268"/>
      <c r="CR41" s="267"/>
      <c r="CS41" s="267"/>
      <c r="CT41" s="267"/>
      <c r="CU41" s="267"/>
      <c r="CV41" s="267"/>
      <c r="CW41" s="267"/>
      <c r="CX41" s="267"/>
      <c r="CY41" s="267"/>
      <c r="CZ41" s="267"/>
      <c r="DA41" s="267"/>
    </row>
    <row r="42" spans="1:105" ht="69" customHeight="1">
      <c r="A42" s="230">
        <v>26</v>
      </c>
      <c r="B42" s="231">
        <v>46266</v>
      </c>
      <c r="C42" s="231">
        <v>46266</v>
      </c>
      <c r="D42" s="230" t="s">
        <v>77</v>
      </c>
      <c r="E42" s="232">
        <v>7502327992004</v>
      </c>
      <c r="F42" s="230" t="s">
        <v>1424</v>
      </c>
      <c r="G42" s="233" t="s">
        <v>1425</v>
      </c>
      <c r="H42" s="215"/>
      <c r="I42" s="234" t="s">
        <v>1426</v>
      </c>
      <c r="J42" s="235" t="s">
        <v>1364</v>
      </c>
      <c r="K42" s="235" t="s">
        <v>1053</v>
      </c>
      <c r="L42" s="236">
        <v>1</v>
      </c>
      <c r="M42" s="255">
        <v>0.37</v>
      </c>
      <c r="N42" s="238" t="s">
        <v>64</v>
      </c>
      <c r="O42" s="239">
        <v>10000</v>
      </c>
      <c r="P42" s="238">
        <f t="shared" si="13"/>
        <v>6.8449999999999998</v>
      </c>
      <c r="Q42" s="238">
        <f>P42*0.25</f>
        <v>1.7112499999999999</v>
      </c>
      <c r="R42" s="238">
        <f>(P42+Q42)*5.21%</f>
        <v>0.44578062500000004</v>
      </c>
      <c r="S42" s="238">
        <f t="shared" si="1"/>
        <v>9.0020306249999997</v>
      </c>
      <c r="T42" s="240">
        <v>49</v>
      </c>
      <c r="U42" s="238">
        <f t="shared" si="2"/>
        <v>42.241379310344833</v>
      </c>
      <c r="V42" s="241">
        <f t="shared" si="3"/>
        <v>25.3448275862069</v>
      </c>
      <c r="W42" s="242">
        <f t="shared" si="4"/>
        <v>0.35518216071428566</v>
      </c>
      <c r="X42" s="243">
        <f t="shared" si="5"/>
        <v>0.64481783928571434</v>
      </c>
      <c r="Y42" s="244">
        <f t="shared" si="6"/>
        <v>0.4</v>
      </c>
      <c r="Z42" s="245" t="s">
        <v>1370</v>
      </c>
      <c r="AA42" s="246" t="s">
        <v>1371</v>
      </c>
      <c r="AB42" s="234">
        <v>6</v>
      </c>
      <c r="AC42" s="234">
        <v>144</v>
      </c>
      <c r="AD42" s="465">
        <v>46308</v>
      </c>
      <c r="AE42" s="286"/>
      <c r="AG42" s="247">
        <v>39</v>
      </c>
      <c r="AH42" s="248">
        <f t="shared" si="7"/>
        <v>33.620689655172413</v>
      </c>
      <c r="AI42" s="249">
        <f t="shared" si="8"/>
        <v>0.26775270576923077</v>
      </c>
      <c r="AJ42" s="250">
        <f t="shared" si="9"/>
        <v>0.73224729423076917</v>
      </c>
      <c r="AK42" s="251">
        <f t="shared" si="10"/>
        <v>0</v>
      </c>
      <c r="BA42" s="252">
        <v>1</v>
      </c>
      <c r="BB42" s="252">
        <v>1</v>
      </c>
      <c r="BC42" s="252">
        <v>1</v>
      </c>
      <c r="BD42" s="252">
        <v>1</v>
      </c>
      <c r="BE42" s="252">
        <v>1</v>
      </c>
      <c r="BF42" s="254">
        <v>1</v>
      </c>
      <c r="BG42" s="254">
        <v>1</v>
      </c>
      <c r="BH42" s="254"/>
      <c r="BI42" s="254"/>
      <c r="BJ42" s="252">
        <v>8</v>
      </c>
      <c r="BK42" s="252">
        <f t="shared" si="11"/>
        <v>7</v>
      </c>
      <c r="BL42" s="253">
        <f t="shared" si="12"/>
        <v>0.875</v>
      </c>
      <c r="BR42" s="353" t="s">
        <v>1427</v>
      </c>
      <c r="BS42" s="334"/>
      <c r="BT42" s="81" t="s">
        <v>86</v>
      </c>
      <c r="CJ42" s="358">
        <v>46156</v>
      </c>
      <c r="CK42" s="358">
        <v>46156</v>
      </c>
      <c r="CL42" s="358">
        <f t="shared" ref="CL42:CL49" si="32">CK42+15</f>
        <v>46171</v>
      </c>
      <c r="CM42" s="358"/>
      <c r="CN42" s="358">
        <f>CL42+14</f>
        <v>46185</v>
      </c>
      <c r="CO42" s="278"/>
      <c r="CP42" s="358">
        <f t="shared" ref="CP42:CP49" si="33">CN42+45</f>
        <v>46230</v>
      </c>
      <c r="CQ42" s="268"/>
      <c r="CR42" s="378">
        <f t="shared" ref="CR42:CR49" si="34">CP42-12</f>
        <v>46218</v>
      </c>
      <c r="CS42" s="267"/>
      <c r="CT42" s="378">
        <f t="shared" ref="CT42:CT49" si="35">CP42+7</f>
        <v>46237</v>
      </c>
      <c r="CU42" s="267"/>
      <c r="CV42" s="378">
        <f t="shared" ref="CV42:CV49" si="36">CT42+7</f>
        <v>46244</v>
      </c>
      <c r="CW42" s="267"/>
      <c r="CX42" s="378">
        <f t="shared" ref="CX42:CX49" si="37">CV42+44</f>
        <v>46288</v>
      </c>
      <c r="CY42" s="267"/>
      <c r="CZ42" s="378">
        <f t="shared" ref="CZ42:CZ49" si="38">CX42+10</f>
        <v>46298</v>
      </c>
      <c r="DA42" s="267"/>
    </row>
    <row r="43" spans="1:105" ht="69" customHeight="1">
      <c r="A43" s="230">
        <v>27</v>
      </c>
      <c r="B43" s="231">
        <v>46266</v>
      </c>
      <c r="C43" s="231">
        <v>46266</v>
      </c>
      <c r="D43" s="230" t="s">
        <v>77</v>
      </c>
      <c r="E43" s="232">
        <v>7502327992011</v>
      </c>
      <c r="F43" s="230" t="s">
        <v>1428</v>
      </c>
      <c r="G43" s="233" t="s">
        <v>1429</v>
      </c>
      <c r="H43" s="215"/>
      <c r="I43" s="234" t="s">
        <v>1426</v>
      </c>
      <c r="J43" s="235" t="s">
        <v>1364</v>
      </c>
      <c r="K43" s="235" t="s">
        <v>1053</v>
      </c>
      <c r="L43" s="236">
        <v>1</v>
      </c>
      <c r="M43" s="255">
        <v>0.37</v>
      </c>
      <c r="N43" s="238" t="s">
        <v>64</v>
      </c>
      <c r="O43" s="239">
        <v>10000</v>
      </c>
      <c r="P43" s="238">
        <f t="shared" si="13"/>
        <v>6.8449999999999998</v>
      </c>
      <c r="Q43" s="238">
        <f>P43*0.25</f>
        <v>1.7112499999999999</v>
      </c>
      <c r="R43" s="238">
        <f>(P43+Q43)*5.21%</f>
        <v>0.44578062500000004</v>
      </c>
      <c r="S43" s="238">
        <f t="shared" si="1"/>
        <v>9.0020306249999997</v>
      </c>
      <c r="T43" s="240">
        <v>49</v>
      </c>
      <c r="U43" s="238">
        <f t="shared" si="2"/>
        <v>42.241379310344833</v>
      </c>
      <c r="V43" s="241">
        <f t="shared" si="3"/>
        <v>25.3448275862069</v>
      </c>
      <c r="W43" s="242">
        <f t="shared" si="4"/>
        <v>0.35518216071428566</v>
      </c>
      <c r="X43" s="243">
        <f t="shared" si="5"/>
        <v>0.64481783928571434</v>
      </c>
      <c r="Y43" s="244">
        <f t="shared" si="6"/>
        <v>0.4</v>
      </c>
      <c r="Z43" s="245" t="s">
        <v>1370</v>
      </c>
      <c r="AA43" s="246" t="s">
        <v>1371</v>
      </c>
      <c r="AB43" s="234">
        <v>6</v>
      </c>
      <c r="AC43" s="234">
        <v>144</v>
      </c>
      <c r="AD43" s="465">
        <v>46308</v>
      </c>
      <c r="AE43" s="286"/>
      <c r="AG43" s="247">
        <v>39</v>
      </c>
      <c r="AH43" s="248">
        <f t="shared" si="7"/>
        <v>33.620689655172413</v>
      </c>
      <c r="AI43" s="249">
        <f t="shared" si="8"/>
        <v>0.26775270576923077</v>
      </c>
      <c r="AJ43" s="250">
        <f t="shared" si="9"/>
        <v>0.73224729423076917</v>
      </c>
      <c r="AK43" s="251">
        <f t="shared" si="10"/>
        <v>0</v>
      </c>
      <c r="BA43" s="252">
        <v>1</v>
      </c>
      <c r="BB43" s="252">
        <v>1</v>
      </c>
      <c r="BC43" s="252">
        <v>1</v>
      </c>
      <c r="BD43" s="252">
        <v>1</v>
      </c>
      <c r="BE43" s="252">
        <v>1</v>
      </c>
      <c r="BF43" s="254">
        <v>1</v>
      </c>
      <c r="BG43" s="254">
        <v>1</v>
      </c>
      <c r="BH43" s="254"/>
      <c r="BI43" s="254"/>
      <c r="BJ43" s="252">
        <v>8</v>
      </c>
      <c r="BK43" s="252">
        <f t="shared" si="11"/>
        <v>7</v>
      </c>
      <c r="BL43" s="253">
        <f t="shared" si="12"/>
        <v>0.875</v>
      </c>
      <c r="BR43" s="353" t="s">
        <v>1427</v>
      </c>
      <c r="BS43" s="334"/>
      <c r="BT43" s="81" t="s">
        <v>86</v>
      </c>
      <c r="CJ43" s="358">
        <v>46156</v>
      </c>
      <c r="CK43" s="358">
        <v>46156</v>
      </c>
      <c r="CL43" s="358">
        <f t="shared" si="32"/>
        <v>46171</v>
      </c>
      <c r="CM43" s="358"/>
      <c r="CN43" s="358">
        <f t="shared" ref="CN43:CN71" si="39">CL43+14</f>
        <v>46185</v>
      </c>
      <c r="CO43" s="278"/>
      <c r="CP43" s="358">
        <f t="shared" si="33"/>
        <v>46230</v>
      </c>
      <c r="CQ43" s="268"/>
      <c r="CR43" s="378">
        <f t="shared" si="34"/>
        <v>46218</v>
      </c>
      <c r="CS43" s="267"/>
      <c r="CT43" s="378">
        <f t="shared" si="35"/>
        <v>46237</v>
      </c>
      <c r="CU43" s="267"/>
      <c r="CV43" s="378">
        <f t="shared" si="36"/>
        <v>46244</v>
      </c>
      <c r="CW43" s="267"/>
      <c r="CX43" s="378">
        <f t="shared" si="37"/>
        <v>46288</v>
      </c>
      <c r="CY43" s="267"/>
      <c r="CZ43" s="378">
        <f t="shared" si="38"/>
        <v>46298</v>
      </c>
      <c r="DA43" s="267"/>
    </row>
    <row r="44" spans="1:105" ht="69" customHeight="1">
      <c r="A44" s="230">
        <v>28</v>
      </c>
      <c r="B44" s="231">
        <v>46266</v>
      </c>
      <c r="C44" s="231">
        <v>46266</v>
      </c>
      <c r="D44" s="230" t="s">
        <v>77</v>
      </c>
      <c r="E44" s="232">
        <v>7502327992028</v>
      </c>
      <c r="F44" s="230" t="s">
        <v>1430</v>
      </c>
      <c r="G44" s="233" t="s">
        <v>1431</v>
      </c>
      <c r="H44" s="215"/>
      <c r="I44" s="234" t="s">
        <v>1426</v>
      </c>
      <c r="J44" s="235" t="s">
        <v>1364</v>
      </c>
      <c r="K44" s="235" t="s">
        <v>1053</v>
      </c>
      <c r="L44" s="236">
        <v>1</v>
      </c>
      <c r="M44" s="255">
        <v>0.37</v>
      </c>
      <c r="N44" s="238" t="s">
        <v>64</v>
      </c>
      <c r="O44" s="239">
        <v>10000</v>
      </c>
      <c r="P44" s="238">
        <f t="shared" si="13"/>
        <v>6.8449999999999998</v>
      </c>
      <c r="Q44" s="238">
        <f>P44*0.25</f>
        <v>1.7112499999999999</v>
      </c>
      <c r="R44" s="238">
        <f>(P44+Q44)*5.21%</f>
        <v>0.44578062500000004</v>
      </c>
      <c r="S44" s="238">
        <f t="shared" si="1"/>
        <v>9.0020306249999997</v>
      </c>
      <c r="T44" s="240">
        <v>49</v>
      </c>
      <c r="U44" s="238">
        <f t="shared" si="2"/>
        <v>42.241379310344833</v>
      </c>
      <c r="V44" s="241">
        <f t="shared" si="3"/>
        <v>25.3448275862069</v>
      </c>
      <c r="W44" s="242">
        <f t="shared" si="4"/>
        <v>0.35518216071428566</v>
      </c>
      <c r="X44" s="243">
        <f t="shared" si="5"/>
        <v>0.64481783928571434</v>
      </c>
      <c r="Y44" s="244">
        <f t="shared" si="6"/>
        <v>0.4</v>
      </c>
      <c r="Z44" s="245" t="s">
        <v>1370</v>
      </c>
      <c r="AA44" s="246" t="s">
        <v>1371</v>
      </c>
      <c r="AB44" s="234">
        <v>6</v>
      </c>
      <c r="AC44" s="234">
        <v>144</v>
      </c>
      <c r="AD44" s="465">
        <v>46308</v>
      </c>
      <c r="AE44" s="286"/>
      <c r="AG44" s="247">
        <v>39</v>
      </c>
      <c r="AH44" s="248">
        <f t="shared" si="7"/>
        <v>33.620689655172413</v>
      </c>
      <c r="AI44" s="249">
        <f t="shared" si="8"/>
        <v>0.26775270576923077</v>
      </c>
      <c r="AJ44" s="250">
        <f t="shared" si="9"/>
        <v>0.73224729423076917</v>
      </c>
      <c r="AK44" s="251">
        <f t="shared" si="10"/>
        <v>0</v>
      </c>
      <c r="BA44" s="252">
        <v>1</v>
      </c>
      <c r="BB44" s="252">
        <v>1</v>
      </c>
      <c r="BC44" s="252">
        <v>1</v>
      </c>
      <c r="BD44" s="252">
        <v>1</v>
      </c>
      <c r="BE44" s="252">
        <v>1</v>
      </c>
      <c r="BF44" s="254">
        <v>1</v>
      </c>
      <c r="BG44" s="254">
        <v>1</v>
      </c>
      <c r="BH44" s="254"/>
      <c r="BI44" s="254"/>
      <c r="BJ44" s="252">
        <v>8</v>
      </c>
      <c r="BK44" s="252">
        <f t="shared" si="11"/>
        <v>7</v>
      </c>
      <c r="BL44" s="253">
        <f t="shared" si="12"/>
        <v>0.875</v>
      </c>
      <c r="BR44" s="353" t="s">
        <v>1427</v>
      </c>
      <c r="BS44" s="334"/>
      <c r="BT44" s="81" t="s">
        <v>86</v>
      </c>
      <c r="CJ44" s="358">
        <v>46156</v>
      </c>
      <c r="CK44" s="358">
        <v>46156</v>
      </c>
      <c r="CL44" s="358">
        <f t="shared" si="32"/>
        <v>46171</v>
      </c>
      <c r="CM44" s="358"/>
      <c r="CN44" s="358">
        <f t="shared" si="39"/>
        <v>46185</v>
      </c>
      <c r="CO44" s="278"/>
      <c r="CP44" s="358">
        <f t="shared" si="33"/>
        <v>46230</v>
      </c>
      <c r="CQ44" s="268"/>
      <c r="CR44" s="378">
        <f t="shared" si="34"/>
        <v>46218</v>
      </c>
      <c r="CS44" s="267"/>
      <c r="CT44" s="378">
        <f t="shared" si="35"/>
        <v>46237</v>
      </c>
      <c r="CU44" s="267"/>
      <c r="CV44" s="378">
        <f t="shared" si="36"/>
        <v>46244</v>
      </c>
      <c r="CW44" s="267"/>
      <c r="CX44" s="378">
        <f t="shared" si="37"/>
        <v>46288</v>
      </c>
      <c r="CY44" s="267"/>
      <c r="CZ44" s="378">
        <f t="shared" si="38"/>
        <v>46298</v>
      </c>
      <c r="DA44" s="341"/>
    </row>
    <row r="45" spans="1:105" ht="69" customHeight="1">
      <c r="A45" s="230">
        <v>29</v>
      </c>
      <c r="B45" s="231">
        <v>46266</v>
      </c>
      <c r="C45" s="231">
        <v>46266</v>
      </c>
      <c r="D45" s="230" t="s">
        <v>77</v>
      </c>
      <c r="E45" s="232">
        <v>7502327992035</v>
      </c>
      <c r="F45" s="230" t="s">
        <v>1432</v>
      </c>
      <c r="G45" s="233" t="s">
        <v>1433</v>
      </c>
      <c r="H45" s="215"/>
      <c r="I45" s="234" t="s">
        <v>1426</v>
      </c>
      <c r="J45" s="235" t="s">
        <v>1364</v>
      </c>
      <c r="K45" s="235" t="s">
        <v>1053</v>
      </c>
      <c r="L45" s="236">
        <v>1</v>
      </c>
      <c r="M45" s="255">
        <v>0.37</v>
      </c>
      <c r="N45" s="238" t="s">
        <v>64</v>
      </c>
      <c r="O45" s="239">
        <v>10000</v>
      </c>
      <c r="P45" s="238">
        <f t="shared" si="13"/>
        <v>6.8449999999999998</v>
      </c>
      <c r="Q45" s="238">
        <f>P45*0.25</f>
        <v>1.7112499999999999</v>
      </c>
      <c r="R45" s="238">
        <f>(P45+Q45)*5.21%</f>
        <v>0.44578062500000004</v>
      </c>
      <c r="S45" s="238">
        <f t="shared" si="1"/>
        <v>9.0020306249999997</v>
      </c>
      <c r="T45" s="240">
        <v>49</v>
      </c>
      <c r="U45" s="238">
        <f t="shared" si="2"/>
        <v>42.241379310344833</v>
      </c>
      <c r="V45" s="241">
        <f t="shared" si="3"/>
        <v>25.3448275862069</v>
      </c>
      <c r="W45" s="242">
        <f t="shared" si="4"/>
        <v>0.35518216071428566</v>
      </c>
      <c r="X45" s="243">
        <f t="shared" si="5"/>
        <v>0.64481783928571434</v>
      </c>
      <c r="Y45" s="244">
        <f t="shared" si="6"/>
        <v>0.4</v>
      </c>
      <c r="Z45" s="245" t="s">
        <v>1370</v>
      </c>
      <c r="AA45" s="246" t="s">
        <v>1371</v>
      </c>
      <c r="AB45" s="234">
        <v>6</v>
      </c>
      <c r="AC45" s="234">
        <v>144</v>
      </c>
      <c r="AD45" s="465">
        <v>46308</v>
      </c>
      <c r="AE45" s="286"/>
      <c r="AG45" s="247">
        <v>39</v>
      </c>
      <c r="AH45" s="248">
        <f t="shared" si="7"/>
        <v>33.620689655172413</v>
      </c>
      <c r="AI45" s="249">
        <f t="shared" si="8"/>
        <v>0.26775270576923077</v>
      </c>
      <c r="AJ45" s="250">
        <f t="shared" si="9"/>
        <v>0.73224729423076917</v>
      </c>
      <c r="AK45" s="251">
        <f t="shared" si="10"/>
        <v>0</v>
      </c>
      <c r="BA45" s="252">
        <v>1</v>
      </c>
      <c r="BB45" s="252">
        <v>1</v>
      </c>
      <c r="BC45" s="252">
        <v>1</v>
      </c>
      <c r="BD45" s="252">
        <v>1</v>
      </c>
      <c r="BE45" s="252">
        <v>1</v>
      </c>
      <c r="BF45" s="254">
        <v>1</v>
      </c>
      <c r="BG45" s="254">
        <v>1</v>
      </c>
      <c r="BH45" s="254"/>
      <c r="BI45" s="254"/>
      <c r="BJ45" s="252">
        <v>8</v>
      </c>
      <c r="BK45" s="252">
        <f t="shared" si="11"/>
        <v>7</v>
      </c>
      <c r="BL45" s="253">
        <f t="shared" si="12"/>
        <v>0.875</v>
      </c>
      <c r="BR45" s="353" t="s">
        <v>1427</v>
      </c>
      <c r="BS45" s="334"/>
      <c r="BT45" s="81" t="s">
        <v>86</v>
      </c>
      <c r="CJ45" s="358">
        <v>46156</v>
      </c>
      <c r="CK45" s="358">
        <v>46156</v>
      </c>
      <c r="CL45" s="358">
        <f t="shared" si="32"/>
        <v>46171</v>
      </c>
      <c r="CM45" s="358"/>
      <c r="CN45" s="358">
        <f t="shared" si="39"/>
        <v>46185</v>
      </c>
      <c r="CO45" s="278"/>
      <c r="CP45" s="358">
        <f t="shared" si="33"/>
        <v>46230</v>
      </c>
      <c r="CQ45" s="268"/>
      <c r="CR45" s="378">
        <f t="shared" si="34"/>
        <v>46218</v>
      </c>
      <c r="CS45" s="267"/>
      <c r="CT45" s="378">
        <f t="shared" si="35"/>
        <v>46237</v>
      </c>
      <c r="CU45" s="267"/>
      <c r="CV45" s="378">
        <f t="shared" si="36"/>
        <v>46244</v>
      </c>
      <c r="CW45" s="267"/>
      <c r="CX45" s="378">
        <f t="shared" si="37"/>
        <v>46288</v>
      </c>
      <c r="CY45" s="267"/>
      <c r="CZ45" s="378">
        <f t="shared" si="38"/>
        <v>46298</v>
      </c>
      <c r="DA45" s="267"/>
    </row>
    <row r="46" spans="1:105" ht="69" customHeight="1">
      <c r="A46" s="230">
        <v>30</v>
      </c>
      <c r="B46" s="231">
        <v>46266</v>
      </c>
      <c r="C46" s="231">
        <v>46266</v>
      </c>
      <c r="D46" s="230" t="s">
        <v>77</v>
      </c>
      <c r="E46" s="232">
        <v>7502327992042</v>
      </c>
      <c r="F46" s="230" t="s">
        <v>1434</v>
      </c>
      <c r="G46" s="233" t="s">
        <v>1435</v>
      </c>
      <c r="H46" s="215"/>
      <c r="I46" s="234" t="s">
        <v>1426</v>
      </c>
      <c r="J46" s="235" t="s">
        <v>1364</v>
      </c>
      <c r="K46" s="235" t="s">
        <v>1053</v>
      </c>
      <c r="L46" s="236">
        <v>1</v>
      </c>
      <c r="M46" s="255">
        <v>0.37</v>
      </c>
      <c r="N46" s="238" t="s">
        <v>64</v>
      </c>
      <c r="O46" s="239">
        <v>10000</v>
      </c>
      <c r="P46" s="238">
        <f t="shared" si="13"/>
        <v>6.8449999999999998</v>
      </c>
      <c r="Q46" s="238">
        <f>P46*0.25</f>
        <v>1.7112499999999999</v>
      </c>
      <c r="R46" s="238">
        <f>(P46+Q46)*5.21%</f>
        <v>0.44578062500000004</v>
      </c>
      <c r="S46" s="238">
        <f t="shared" si="1"/>
        <v>9.0020306249999997</v>
      </c>
      <c r="T46" s="240">
        <v>49</v>
      </c>
      <c r="U46" s="238">
        <f t="shared" si="2"/>
        <v>42.241379310344833</v>
      </c>
      <c r="V46" s="241">
        <f t="shared" si="3"/>
        <v>25.3448275862069</v>
      </c>
      <c r="W46" s="242">
        <f t="shared" si="4"/>
        <v>0.35518216071428566</v>
      </c>
      <c r="X46" s="243">
        <f t="shared" si="5"/>
        <v>0.64481783928571434</v>
      </c>
      <c r="Y46" s="244">
        <f t="shared" si="6"/>
        <v>0.4</v>
      </c>
      <c r="Z46" s="245" t="s">
        <v>1370</v>
      </c>
      <c r="AA46" s="246" t="s">
        <v>1371</v>
      </c>
      <c r="AB46" s="234">
        <v>6</v>
      </c>
      <c r="AC46" s="234">
        <v>144</v>
      </c>
      <c r="AD46" s="465">
        <v>46308</v>
      </c>
      <c r="AE46" s="286"/>
      <c r="AG46" s="247">
        <v>39</v>
      </c>
      <c r="AH46" s="248">
        <f t="shared" si="7"/>
        <v>33.620689655172413</v>
      </c>
      <c r="AI46" s="249">
        <f t="shared" si="8"/>
        <v>0.26775270576923077</v>
      </c>
      <c r="AJ46" s="250">
        <f t="shared" si="9"/>
        <v>0.73224729423076917</v>
      </c>
      <c r="AK46" s="251">
        <f t="shared" si="10"/>
        <v>0</v>
      </c>
      <c r="BA46" s="252">
        <v>1</v>
      </c>
      <c r="BB46" s="252">
        <v>1</v>
      </c>
      <c r="BC46" s="252">
        <v>1</v>
      </c>
      <c r="BD46" s="252">
        <v>1</v>
      </c>
      <c r="BE46" s="252">
        <v>1</v>
      </c>
      <c r="BF46" s="254">
        <v>1</v>
      </c>
      <c r="BG46" s="254">
        <v>1</v>
      </c>
      <c r="BH46" s="254"/>
      <c r="BI46" s="254"/>
      <c r="BJ46" s="252">
        <v>8</v>
      </c>
      <c r="BK46" s="252">
        <f t="shared" si="11"/>
        <v>7</v>
      </c>
      <c r="BL46" s="253">
        <f t="shared" si="12"/>
        <v>0.875</v>
      </c>
      <c r="BR46" s="353" t="s">
        <v>1427</v>
      </c>
      <c r="BS46" s="334"/>
      <c r="BT46" s="81" t="s">
        <v>86</v>
      </c>
      <c r="CJ46" s="358">
        <v>46156</v>
      </c>
      <c r="CK46" s="358">
        <v>46156</v>
      </c>
      <c r="CL46" s="358">
        <f t="shared" si="32"/>
        <v>46171</v>
      </c>
      <c r="CM46" s="358"/>
      <c r="CN46" s="358">
        <f t="shared" si="39"/>
        <v>46185</v>
      </c>
      <c r="CO46" s="278"/>
      <c r="CP46" s="358">
        <f t="shared" si="33"/>
        <v>46230</v>
      </c>
      <c r="CQ46" s="268"/>
      <c r="CR46" s="378">
        <f t="shared" si="34"/>
        <v>46218</v>
      </c>
      <c r="CS46" s="267"/>
      <c r="CT46" s="378">
        <f t="shared" si="35"/>
        <v>46237</v>
      </c>
      <c r="CU46" s="267"/>
      <c r="CV46" s="378">
        <f t="shared" si="36"/>
        <v>46244</v>
      </c>
      <c r="CW46" s="267"/>
      <c r="CX46" s="378">
        <f t="shared" si="37"/>
        <v>46288</v>
      </c>
      <c r="CY46" s="267"/>
      <c r="CZ46" s="378">
        <f t="shared" si="38"/>
        <v>46298</v>
      </c>
      <c r="DA46" s="267"/>
    </row>
    <row r="47" spans="1:105" ht="69" customHeight="1">
      <c r="A47" s="230">
        <v>31</v>
      </c>
      <c r="B47" s="231">
        <v>46266</v>
      </c>
      <c r="C47" s="231">
        <v>46266</v>
      </c>
      <c r="D47" s="230" t="s">
        <v>77</v>
      </c>
      <c r="E47" s="232">
        <v>7502327992059</v>
      </c>
      <c r="F47" s="230" t="s">
        <v>1436</v>
      </c>
      <c r="G47" s="233" t="s">
        <v>1437</v>
      </c>
      <c r="H47" s="234"/>
      <c r="I47" s="234" t="s">
        <v>1438</v>
      </c>
      <c r="J47" s="234" t="s">
        <v>1364</v>
      </c>
      <c r="K47" s="235" t="s">
        <v>1053</v>
      </c>
      <c r="L47" s="236">
        <v>1</v>
      </c>
      <c r="M47" s="255">
        <v>0.47</v>
      </c>
      <c r="N47" s="238" t="s">
        <v>64</v>
      </c>
      <c r="O47" s="239">
        <v>10000</v>
      </c>
      <c r="P47" s="238">
        <f t="shared" si="13"/>
        <v>8.6950000000000003</v>
      </c>
      <c r="Q47" s="238">
        <f>P47*0.36</f>
        <v>3.1301999999999999</v>
      </c>
      <c r="R47" s="238">
        <f>(P47+Q47)*6.54%</f>
        <v>0.77336808000000001</v>
      </c>
      <c r="S47" s="238">
        <f t="shared" si="1"/>
        <v>12.59856808</v>
      </c>
      <c r="T47" s="240">
        <v>69</v>
      </c>
      <c r="U47" s="238">
        <f t="shared" si="2"/>
        <v>59.482758620689658</v>
      </c>
      <c r="V47" s="241">
        <f t="shared" si="3"/>
        <v>35.689655172413794</v>
      </c>
      <c r="W47" s="242">
        <f t="shared" si="4"/>
        <v>0.35300335683091788</v>
      </c>
      <c r="X47" s="243">
        <f t="shared" si="5"/>
        <v>0.64699664316908212</v>
      </c>
      <c r="Y47" s="244">
        <f t="shared" si="6"/>
        <v>0.4</v>
      </c>
      <c r="Z47" s="245" t="s">
        <v>1370</v>
      </c>
      <c r="AA47" s="246" t="s">
        <v>1371</v>
      </c>
      <c r="AB47" s="234">
        <v>6</v>
      </c>
      <c r="AC47" s="234">
        <v>144</v>
      </c>
      <c r="AD47" s="465">
        <v>46308</v>
      </c>
      <c r="AE47" s="286"/>
      <c r="AG47" s="247">
        <v>49</v>
      </c>
      <c r="AH47" s="248">
        <f t="shared" si="7"/>
        <v>42.241379310344833</v>
      </c>
      <c r="AI47" s="249">
        <f t="shared" si="8"/>
        <v>0.29825181577142851</v>
      </c>
      <c r="AJ47" s="250">
        <f t="shared" si="9"/>
        <v>0.70174818422857155</v>
      </c>
      <c r="AK47" s="251">
        <f t="shared" si="10"/>
        <v>0</v>
      </c>
      <c r="BA47" s="252">
        <v>1</v>
      </c>
      <c r="BB47" s="252">
        <v>1</v>
      </c>
      <c r="BC47" s="252">
        <v>1</v>
      </c>
      <c r="BD47" s="252">
        <v>1</v>
      </c>
      <c r="BE47" s="252">
        <v>1</v>
      </c>
      <c r="BF47" s="254">
        <v>1</v>
      </c>
      <c r="BG47" s="254"/>
      <c r="BH47" s="254"/>
      <c r="BI47" s="254"/>
      <c r="BJ47" s="252">
        <v>8</v>
      </c>
      <c r="BK47" s="252">
        <f t="shared" si="11"/>
        <v>6</v>
      </c>
      <c r="BL47" s="253">
        <f t="shared" si="12"/>
        <v>0.75</v>
      </c>
      <c r="BR47" s="353" t="s">
        <v>1439</v>
      </c>
      <c r="BS47" s="334"/>
      <c r="BT47" s="81" t="s">
        <v>1440</v>
      </c>
      <c r="CJ47" s="358">
        <v>46156</v>
      </c>
      <c r="CK47" s="358">
        <v>46156</v>
      </c>
      <c r="CL47" s="358">
        <f t="shared" si="32"/>
        <v>46171</v>
      </c>
      <c r="CM47" s="358"/>
      <c r="CN47" s="358">
        <f t="shared" si="39"/>
        <v>46185</v>
      </c>
      <c r="CO47" s="278"/>
      <c r="CP47" s="358">
        <f t="shared" si="33"/>
        <v>46230</v>
      </c>
      <c r="CQ47" s="268"/>
      <c r="CR47" s="378">
        <f t="shared" si="34"/>
        <v>46218</v>
      </c>
      <c r="CS47" s="267"/>
      <c r="CT47" s="378">
        <f t="shared" si="35"/>
        <v>46237</v>
      </c>
      <c r="CU47" s="267"/>
      <c r="CV47" s="378">
        <f t="shared" si="36"/>
        <v>46244</v>
      </c>
      <c r="CW47" s="267"/>
      <c r="CX47" s="378">
        <f t="shared" si="37"/>
        <v>46288</v>
      </c>
      <c r="CY47" s="267"/>
      <c r="CZ47" s="378">
        <f t="shared" si="38"/>
        <v>46298</v>
      </c>
      <c r="DA47" s="267"/>
    </row>
    <row r="48" spans="1:105" ht="69" customHeight="1">
      <c r="A48" s="230">
        <v>32</v>
      </c>
      <c r="B48" s="231">
        <v>46266</v>
      </c>
      <c r="C48" s="231">
        <v>46266</v>
      </c>
      <c r="D48" s="230" t="s">
        <v>77</v>
      </c>
      <c r="E48" s="232">
        <v>7502327992066</v>
      </c>
      <c r="F48" s="230" t="s">
        <v>1441</v>
      </c>
      <c r="G48" s="233" t="s">
        <v>1442</v>
      </c>
      <c r="H48" s="234"/>
      <c r="I48" s="234" t="s">
        <v>1438</v>
      </c>
      <c r="J48" s="234" t="s">
        <v>1364</v>
      </c>
      <c r="K48" s="235" t="s">
        <v>1053</v>
      </c>
      <c r="L48" s="236">
        <v>1</v>
      </c>
      <c r="M48" s="255">
        <v>0.47</v>
      </c>
      <c r="N48" s="238" t="s">
        <v>64</v>
      </c>
      <c r="O48" s="239">
        <v>10000</v>
      </c>
      <c r="P48" s="238">
        <f t="shared" si="13"/>
        <v>8.6950000000000003</v>
      </c>
      <c r="Q48" s="238">
        <f>P48*0.36</f>
        <v>3.1301999999999999</v>
      </c>
      <c r="R48" s="238">
        <f>(P48+Q48)*6.54%</f>
        <v>0.77336808000000001</v>
      </c>
      <c r="S48" s="238">
        <f t="shared" si="1"/>
        <v>12.59856808</v>
      </c>
      <c r="T48" s="240">
        <v>69</v>
      </c>
      <c r="U48" s="238">
        <f t="shared" si="2"/>
        <v>59.482758620689658</v>
      </c>
      <c r="V48" s="241">
        <f t="shared" si="3"/>
        <v>35.689655172413794</v>
      </c>
      <c r="W48" s="242">
        <f t="shared" si="4"/>
        <v>0.35300335683091788</v>
      </c>
      <c r="X48" s="243">
        <f t="shared" si="5"/>
        <v>0.64699664316908212</v>
      </c>
      <c r="Y48" s="244">
        <f t="shared" si="6"/>
        <v>0.4</v>
      </c>
      <c r="Z48" s="245" t="s">
        <v>1370</v>
      </c>
      <c r="AA48" s="246" t="s">
        <v>1371</v>
      </c>
      <c r="AB48" s="234">
        <v>6</v>
      </c>
      <c r="AC48" s="234">
        <v>144</v>
      </c>
      <c r="AD48" s="465">
        <v>46308</v>
      </c>
      <c r="AE48" s="286"/>
      <c r="AG48" s="247">
        <v>49</v>
      </c>
      <c r="AH48" s="248">
        <f t="shared" si="7"/>
        <v>42.241379310344833</v>
      </c>
      <c r="AI48" s="249">
        <f t="shared" si="8"/>
        <v>0.29825181577142851</v>
      </c>
      <c r="AJ48" s="250">
        <f t="shared" si="9"/>
        <v>0.70174818422857155</v>
      </c>
      <c r="AK48" s="251">
        <f t="shared" si="10"/>
        <v>0</v>
      </c>
      <c r="BA48" s="252">
        <v>1</v>
      </c>
      <c r="BB48" s="252">
        <v>1</v>
      </c>
      <c r="BC48" s="252">
        <v>1</v>
      </c>
      <c r="BD48" s="252">
        <v>1</v>
      </c>
      <c r="BE48" s="252">
        <v>1</v>
      </c>
      <c r="BF48" s="254">
        <v>1</v>
      </c>
      <c r="BG48" s="254"/>
      <c r="BH48" s="254"/>
      <c r="BI48" s="254"/>
      <c r="BJ48" s="252">
        <v>8</v>
      </c>
      <c r="BK48" s="252">
        <f t="shared" si="11"/>
        <v>6</v>
      </c>
      <c r="BL48" s="253">
        <f t="shared" si="12"/>
        <v>0.75</v>
      </c>
      <c r="BR48" s="353" t="s">
        <v>1439</v>
      </c>
      <c r="BS48" s="334"/>
      <c r="BT48" s="81" t="s">
        <v>1440</v>
      </c>
      <c r="CJ48" s="358">
        <v>46156</v>
      </c>
      <c r="CK48" s="358">
        <v>46156</v>
      </c>
      <c r="CL48" s="358">
        <f t="shared" si="32"/>
        <v>46171</v>
      </c>
      <c r="CM48" s="358"/>
      <c r="CN48" s="358">
        <f t="shared" si="39"/>
        <v>46185</v>
      </c>
      <c r="CO48" s="278"/>
      <c r="CP48" s="358">
        <f t="shared" si="33"/>
        <v>46230</v>
      </c>
      <c r="CQ48" s="268"/>
      <c r="CR48" s="378">
        <f t="shared" si="34"/>
        <v>46218</v>
      </c>
      <c r="CS48" s="267"/>
      <c r="CT48" s="378">
        <f t="shared" si="35"/>
        <v>46237</v>
      </c>
      <c r="CU48" s="267"/>
      <c r="CV48" s="378">
        <f t="shared" si="36"/>
        <v>46244</v>
      </c>
      <c r="CW48" s="267"/>
      <c r="CX48" s="378">
        <f t="shared" si="37"/>
        <v>46288</v>
      </c>
      <c r="CY48" s="267"/>
      <c r="CZ48" s="378">
        <f t="shared" si="38"/>
        <v>46298</v>
      </c>
      <c r="DA48" s="267"/>
    </row>
    <row r="49" spans="1:105" ht="69" customHeight="1">
      <c r="A49" s="230">
        <v>33</v>
      </c>
      <c r="B49" s="231">
        <v>46266</v>
      </c>
      <c r="C49" s="231">
        <v>46266</v>
      </c>
      <c r="D49" s="230" t="s">
        <v>77</v>
      </c>
      <c r="E49" s="232">
        <v>7502327992073</v>
      </c>
      <c r="F49" s="230" t="s">
        <v>1443</v>
      </c>
      <c r="G49" s="233" t="s">
        <v>1444</v>
      </c>
      <c r="H49" s="215"/>
      <c r="I49" s="234" t="s">
        <v>1438</v>
      </c>
      <c r="J49" s="235" t="s">
        <v>1364</v>
      </c>
      <c r="K49" s="235" t="s">
        <v>1053</v>
      </c>
      <c r="L49" s="236">
        <v>1</v>
      </c>
      <c r="M49" s="255">
        <v>0.47</v>
      </c>
      <c r="N49" s="238" t="s">
        <v>64</v>
      </c>
      <c r="O49" s="239">
        <v>10000</v>
      </c>
      <c r="P49" s="238">
        <f t="shared" si="13"/>
        <v>8.6950000000000003</v>
      </c>
      <c r="Q49" s="238">
        <f>P49*0.36</f>
        <v>3.1301999999999999</v>
      </c>
      <c r="R49" s="238">
        <f>(P49+Q49)*6.54%</f>
        <v>0.77336808000000001</v>
      </c>
      <c r="S49" s="238">
        <f t="shared" si="1"/>
        <v>12.59856808</v>
      </c>
      <c r="T49" s="240">
        <v>69</v>
      </c>
      <c r="U49" s="238">
        <f t="shared" si="2"/>
        <v>59.482758620689658</v>
      </c>
      <c r="V49" s="241">
        <f t="shared" si="3"/>
        <v>35.689655172413794</v>
      </c>
      <c r="W49" s="242">
        <f t="shared" si="4"/>
        <v>0.35300335683091788</v>
      </c>
      <c r="X49" s="243">
        <f t="shared" si="5"/>
        <v>0.64699664316908212</v>
      </c>
      <c r="Y49" s="244">
        <f t="shared" si="6"/>
        <v>0.4</v>
      </c>
      <c r="Z49" s="245" t="s">
        <v>1370</v>
      </c>
      <c r="AA49" s="246" t="s">
        <v>1371</v>
      </c>
      <c r="AB49" s="234">
        <v>6</v>
      </c>
      <c r="AC49" s="234">
        <v>144</v>
      </c>
      <c r="AD49" s="465">
        <v>46308</v>
      </c>
      <c r="AE49" s="286"/>
      <c r="AG49" s="247">
        <v>49</v>
      </c>
      <c r="AH49" s="248">
        <f t="shared" si="7"/>
        <v>42.241379310344833</v>
      </c>
      <c r="AI49" s="249">
        <f t="shared" si="8"/>
        <v>0.29825181577142851</v>
      </c>
      <c r="AJ49" s="250">
        <f t="shared" si="9"/>
        <v>0.70174818422857155</v>
      </c>
      <c r="AK49" s="251">
        <f t="shared" si="10"/>
        <v>0</v>
      </c>
      <c r="BA49" s="252">
        <v>1</v>
      </c>
      <c r="BB49" s="252">
        <v>1</v>
      </c>
      <c r="BC49" s="252">
        <v>1</v>
      </c>
      <c r="BD49" s="252">
        <v>1</v>
      </c>
      <c r="BE49" s="252">
        <v>1</v>
      </c>
      <c r="BF49" s="254">
        <v>1</v>
      </c>
      <c r="BG49" s="254"/>
      <c r="BH49" s="254"/>
      <c r="BI49" s="254"/>
      <c r="BJ49" s="252">
        <v>8</v>
      </c>
      <c r="BK49" s="252">
        <f t="shared" si="11"/>
        <v>6</v>
      </c>
      <c r="BL49" s="253">
        <f t="shared" si="12"/>
        <v>0.75</v>
      </c>
      <c r="BR49" s="353" t="s">
        <v>1439</v>
      </c>
      <c r="BS49" s="334"/>
      <c r="BT49" s="81" t="s">
        <v>1440</v>
      </c>
      <c r="CJ49" s="358">
        <v>46156</v>
      </c>
      <c r="CK49" s="358">
        <v>46156</v>
      </c>
      <c r="CL49" s="358">
        <f t="shared" si="32"/>
        <v>46171</v>
      </c>
      <c r="CM49" s="358"/>
      <c r="CN49" s="358">
        <f t="shared" si="39"/>
        <v>46185</v>
      </c>
      <c r="CO49" s="278"/>
      <c r="CP49" s="358">
        <f t="shared" si="33"/>
        <v>46230</v>
      </c>
      <c r="CQ49" s="268"/>
      <c r="CR49" s="378">
        <f t="shared" si="34"/>
        <v>46218</v>
      </c>
      <c r="CS49" s="267"/>
      <c r="CT49" s="378">
        <f t="shared" si="35"/>
        <v>46237</v>
      </c>
      <c r="CU49" s="267"/>
      <c r="CV49" s="378">
        <f t="shared" si="36"/>
        <v>46244</v>
      </c>
      <c r="CW49" s="267"/>
      <c r="CX49" s="378">
        <f t="shared" si="37"/>
        <v>46288</v>
      </c>
      <c r="CY49" s="267"/>
      <c r="CZ49" s="378">
        <f t="shared" si="38"/>
        <v>46298</v>
      </c>
      <c r="DA49" s="267"/>
    </row>
    <row r="50" spans="1:105" ht="69" customHeight="1">
      <c r="A50" s="230">
        <v>34</v>
      </c>
      <c r="B50" s="231">
        <v>46266</v>
      </c>
      <c r="C50" s="231">
        <v>46266</v>
      </c>
      <c r="D50" s="230" t="s">
        <v>77</v>
      </c>
      <c r="E50" s="232">
        <v>7502327992080</v>
      </c>
      <c r="F50" s="230" t="s">
        <v>1445</v>
      </c>
      <c r="G50" s="233" t="s">
        <v>1446</v>
      </c>
      <c r="H50" s="215"/>
      <c r="I50" s="234" t="s">
        <v>1447</v>
      </c>
      <c r="J50" s="235" t="s">
        <v>1364</v>
      </c>
      <c r="K50" s="235" t="s">
        <v>1053</v>
      </c>
      <c r="L50" s="236">
        <v>1</v>
      </c>
      <c r="M50" s="255">
        <v>1.82</v>
      </c>
      <c r="N50" s="238" t="s">
        <v>64</v>
      </c>
      <c r="O50" s="239">
        <v>10000</v>
      </c>
      <c r="P50" s="238">
        <f t="shared" si="13"/>
        <v>33.67</v>
      </c>
      <c r="Q50" s="238">
        <f>P50*0.25</f>
        <v>8.4175000000000004</v>
      </c>
      <c r="R50" s="238">
        <f>(P50+Q50)*4.57%</f>
        <v>1.9233987500000005</v>
      </c>
      <c r="S50" s="238">
        <f t="shared" si="1"/>
        <v>44.010898750000003</v>
      </c>
      <c r="T50" s="240">
        <v>249</v>
      </c>
      <c r="U50" s="238">
        <f t="shared" ref="U50:U80" si="40">+T50/1.16</f>
        <v>214.65517241379311</v>
      </c>
      <c r="V50" s="241">
        <f t="shared" ref="V50:V80" si="41">+U50*0.6</f>
        <v>128.79310344827587</v>
      </c>
      <c r="W50" s="242">
        <f t="shared" ref="W50:W80" si="42">+S50/V50</f>
        <v>0.34171782161981257</v>
      </c>
      <c r="X50" s="243">
        <f t="shared" ref="X50:X85" si="43">1-(S50/V50)</f>
        <v>0.65828217838018743</v>
      </c>
      <c r="Y50" s="244">
        <f t="shared" ref="Y50:Y85" si="44">1-(V50/(T50/1.16))</f>
        <v>0.4</v>
      </c>
      <c r="Z50" s="245" t="s">
        <v>1370</v>
      </c>
      <c r="AA50" s="246" t="s">
        <v>1371</v>
      </c>
      <c r="AB50" s="234">
        <v>6</v>
      </c>
      <c r="AC50" s="234">
        <v>72</v>
      </c>
      <c r="AD50" s="465">
        <v>46334</v>
      </c>
      <c r="AE50" s="286"/>
      <c r="AG50" s="247">
        <v>169</v>
      </c>
      <c r="AH50" s="248">
        <f t="shared" ref="AH50:AH80" si="45">AG50/1.16</f>
        <v>145.68965517241381</v>
      </c>
      <c r="AI50" s="249">
        <f t="shared" ref="AI50:AI80" si="46">+S50/AH50</f>
        <v>0.30208664230769228</v>
      </c>
      <c r="AJ50" s="250">
        <f t="shared" ref="AJ50:AJ85" si="47">1-(S50/AH50)</f>
        <v>0.69791335769230778</v>
      </c>
      <c r="AK50" s="251">
        <f t="shared" ref="AK50:AK85" si="48">1-(AH50/(AG50/1.16))</f>
        <v>0</v>
      </c>
      <c r="BA50" s="252">
        <v>1</v>
      </c>
      <c r="BB50" s="252">
        <v>1</v>
      </c>
      <c r="BC50" s="252">
        <v>1</v>
      </c>
      <c r="BD50" s="252">
        <v>1</v>
      </c>
      <c r="BE50" s="252">
        <v>1</v>
      </c>
      <c r="BF50" s="254">
        <v>1</v>
      </c>
      <c r="BG50" s="254"/>
      <c r="BH50" s="254"/>
      <c r="BI50" s="254"/>
      <c r="BJ50" s="252">
        <v>8</v>
      </c>
      <c r="BK50" s="252">
        <f t="shared" ref="BK50:BK85" si="49">SUM(BA50:BI50)</f>
        <v>6</v>
      </c>
      <c r="BL50" s="253">
        <f t="shared" ref="BL50:BL80" si="50">+BK50/BJ50</f>
        <v>0.75</v>
      </c>
      <c r="BR50" s="353" t="s">
        <v>1421</v>
      </c>
      <c r="BS50" s="334"/>
      <c r="BT50" s="81" t="s">
        <v>129</v>
      </c>
      <c r="CJ50" s="278"/>
      <c r="CK50" s="278"/>
      <c r="CL50" s="278"/>
      <c r="CM50" s="278"/>
      <c r="CN50" s="358"/>
      <c r="CO50" s="278"/>
      <c r="CP50" s="268"/>
      <c r="CQ50" s="268"/>
      <c r="CR50" s="267"/>
      <c r="CS50" s="267"/>
      <c r="CT50" s="267"/>
      <c r="CU50" s="267"/>
      <c r="CV50" s="267"/>
      <c r="CW50" s="267"/>
      <c r="CX50" s="267"/>
      <c r="CY50" s="267"/>
      <c r="CZ50" s="267"/>
      <c r="DA50" s="267"/>
    </row>
    <row r="51" spans="1:105" ht="69" customHeight="1">
      <c r="A51" s="230">
        <v>35</v>
      </c>
      <c r="B51" s="231">
        <v>46266</v>
      </c>
      <c r="C51" s="231">
        <v>46266</v>
      </c>
      <c r="D51" s="230" t="s">
        <v>77</v>
      </c>
      <c r="E51" s="232">
        <v>7502327992097</v>
      </c>
      <c r="F51" s="230" t="s">
        <v>1448</v>
      </c>
      <c r="G51" s="233" t="s">
        <v>1449</v>
      </c>
      <c r="H51" s="234"/>
      <c r="I51" s="234" t="s">
        <v>1447</v>
      </c>
      <c r="J51" s="234" t="s">
        <v>1364</v>
      </c>
      <c r="K51" s="235" t="s">
        <v>1053</v>
      </c>
      <c r="L51" s="236">
        <v>1</v>
      </c>
      <c r="M51" s="255">
        <v>1.82</v>
      </c>
      <c r="N51" s="238" t="s">
        <v>64</v>
      </c>
      <c r="O51" s="239">
        <v>10000</v>
      </c>
      <c r="P51" s="238">
        <f t="shared" si="13"/>
        <v>33.67</v>
      </c>
      <c r="Q51" s="238">
        <f>P51*0.25</f>
        <v>8.4175000000000004</v>
      </c>
      <c r="R51" s="238">
        <f>(P51+Q51)*4.57%</f>
        <v>1.9233987500000005</v>
      </c>
      <c r="S51" s="238">
        <f t="shared" si="1"/>
        <v>44.010898750000003</v>
      </c>
      <c r="T51" s="240">
        <v>249</v>
      </c>
      <c r="U51" s="238">
        <f t="shared" si="40"/>
        <v>214.65517241379311</v>
      </c>
      <c r="V51" s="241">
        <f t="shared" si="41"/>
        <v>128.79310344827587</v>
      </c>
      <c r="W51" s="242">
        <f t="shared" si="42"/>
        <v>0.34171782161981257</v>
      </c>
      <c r="X51" s="243">
        <f t="shared" si="43"/>
        <v>0.65828217838018743</v>
      </c>
      <c r="Y51" s="244">
        <f t="shared" si="44"/>
        <v>0.4</v>
      </c>
      <c r="Z51" s="245" t="s">
        <v>1370</v>
      </c>
      <c r="AA51" s="246" t="s">
        <v>1371</v>
      </c>
      <c r="AB51" s="234">
        <v>6</v>
      </c>
      <c r="AC51" s="234">
        <v>72</v>
      </c>
      <c r="AD51" s="465">
        <v>46334</v>
      </c>
      <c r="AE51" s="286"/>
      <c r="AG51" s="247">
        <v>169</v>
      </c>
      <c r="AH51" s="248">
        <f t="shared" si="45"/>
        <v>145.68965517241381</v>
      </c>
      <c r="AI51" s="249">
        <f t="shared" si="46"/>
        <v>0.30208664230769228</v>
      </c>
      <c r="AJ51" s="250">
        <f t="shared" si="47"/>
        <v>0.69791335769230778</v>
      </c>
      <c r="AK51" s="251">
        <f t="shared" si="48"/>
        <v>0</v>
      </c>
      <c r="BA51" s="252">
        <v>1</v>
      </c>
      <c r="BB51" s="252">
        <v>1</v>
      </c>
      <c r="BC51" s="252">
        <v>1</v>
      </c>
      <c r="BD51" s="252">
        <v>1</v>
      </c>
      <c r="BE51" s="252">
        <v>1</v>
      </c>
      <c r="BF51" s="254">
        <v>1</v>
      </c>
      <c r="BG51" s="254"/>
      <c r="BH51" s="254"/>
      <c r="BI51" s="254"/>
      <c r="BJ51" s="252">
        <v>8</v>
      </c>
      <c r="BK51" s="252">
        <f t="shared" si="49"/>
        <v>6</v>
      </c>
      <c r="BL51" s="253">
        <f t="shared" si="50"/>
        <v>0.75</v>
      </c>
      <c r="BR51" s="353" t="s">
        <v>1421</v>
      </c>
      <c r="BS51" s="334"/>
      <c r="BT51" s="81" t="s">
        <v>129</v>
      </c>
      <c r="CJ51" s="278"/>
      <c r="CK51" s="278"/>
      <c r="CL51" s="278"/>
      <c r="CM51" s="278"/>
      <c r="CN51" s="358"/>
      <c r="CO51" s="278"/>
      <c r="CP51" s="268"/>
      <c r="CQ51" s="268"/>
      <c r="CR51" s="267"/>
      <c r="CS51" s="267"/>
      <c r="CT51" s="267"/>
      <c r="CU51" s="267"/>
      <c r="CV51" s="267"/>
      <c r="CW51" s="267"/>
      <c r="CX51" s="267"/>
      <c r="CY51" s="267"/>
      <c r="CZ51" s="267"/>
      <c r="DA51" s="267"/>
    </row>
    <row r="52" spans="1:105" ht="69" customHeight="1">
      <c r="A52" s="230">
        <v>36</v>
      </c>
      <c r="B52" s="231">
        <v>46266</v>
      </c>
      <c r="C52" s="231">
        <v>46266</v>
      </c>
      <c r="D52" s="230" t="s">
        <v>77</v>
      </c>
      <c r="E52" s="232">
        <v>7502327992103</v>
      </c>
      <c r="F52" s="230" t="s">
        <v>1450</v>
      </c>
      <c r="G52" s="233" t="s">
        <v>1451</v>
      </c>
      <c r="H52" s="215"/>
      <c r="I52" s="234" t="s">
        <v>459</v>
      </c>
      <c r="J52" s="235" t="s">
        <v>1364</v>
      </c>
      <c r="K52" s="235" t="s">
        <v>1053</v>
      </c>
      <c r="L52" s="236">
        <v>1</v>
      </c>
      <c r="M52" s="255">
        <v>0.52</v>
      </c>
      <c r="N52" s="238" t="s">
        <v>64</v>
      </c>
      <c r="O52" s="239">
        <v>10000</v>
      </c>
      <c r="P52" s="238">
        <f t="shared" si="13"/>
        <v>9.620000000000001</v>
      </c>
      <c r="Q52" s="238">
        <f>P52*0.25</f>
        <v>2.4050000000000002</v>
      </c>
      <c r="R52" s="238">
        <f>(P52+Q52)*2.54%</f>
        <v>0.30543500000000007</v>
      </c>
      <c r="S52" s="238">
        <f t="shared" si="1"/>
        <v>12.330435000000001</v>
      </c>
      <c r="T52" s="240">
        <v>119</v>
      </c>
      <c r="U52" s="238">
        <f t="shared" si="40"/>
        <v>102.58620689655173</v>
      </c>
      <c r="V52" s="241">
        <f t="shared" si="41"/>
        <v>61.551724137931032</v>
      </c>
      <c r="W52" s="242">
        <f t="shared" si="42"/>
        <v>0.20032639495798321</v>
      </c>
      <c r="X52" s="243">
        <f t="shared" si="43"/>
        <v>0.79967360504201679</v>
      </c>
      <c r="Y52" s="244">
        <f t="shared" si="44"/>
        <v>0.4</v>
      </c>
      <c r="Z52" s="245" t="s">
        <v>1370</v>
      </c>
      <c r="AA52" s="246" t="s">
        <v>1371</v>
      </c>
      <c r="AB52" s="234">
        <v>6</v>
      </c>
      <c r="AC52" s="234">
        <v>144</v>
      </c>
      <c r="AD52" s="465">
        <v>46308</v>
      </c>
      <c r="AE52" s="286"/>
      <c r="AG52" s="247">
        <v>79</v>
      </c>
      <c r="AH52" s="248">
        <f t="shared" si="45"/>
        <v>68.103448275862078</v>
      </c>
      <c r="AI52" s="249">
        <f t="shared" si="46"/>
        <v>0.18105448860759493</v>
      </c>
      <c r="AJ52" s="250">
        <f t="shared" si="47"/>
        <v>0.81894551139240512</v>
      </c>
      <c r="AK52" s="251">
        <f t="shared" si="48"/>
        <v>0</v>
      </c>
      <c r="BA52" s="252">
        <v>1</v>
      </c>
      <c r="BB52" s="252">
        <v>1</v>
      </c>
      <c r="BC52" s="252">
        <v>1</v>
      </c>
      <c r="BD52" s="252">
        <v>1</v>
      </c>
      <c r="BE52" s="252">
        <v>1</v>
      </c>
      <c r="BF52" s="254">
        <v>1</v>
      </c>
      <c r="BG52" s="254">
        <v>1</v>
      </c>
      <c r="BH52" s="254"/>
      <c r="BI52" s="254"/>
      <c r="BJ52" s="252">
        <v>8</v>
      </c>
      <c r="BK52" s="252">
        <f t="shared" si="49"/>
        <v>7</v>
      </c>
      <c r="BL52" s="253">
        <f t="shared" si="50"/>
        <v>0.875</v>
      </c>
      <c r="BR52" s="353" t="s">
        <v>1387</v>
      </c>
      <c r="BS52" s="334"/>
      <c r="BT52" s="81" t="s">
        <v>86</v>
      </c>
      <c r="CJ52" s="358">
        <v>46156</v>
      </c>
      <c r="CK52" s="358">
        <v>46156</v>
      </c>
      <c r="CL52" s="358">
        <f t="shared" ref="CL52" si="51">CK52+15</f>
        <v>46171</v>
      </c>
      <c r="CM52" s="358"/>
      <c r="CN52" s="358">
        <f t="shared" si="39"/>
        <v>46185</v>
      </c>
      <c r="CO52" s="278"/>
      <c r="CP52" s="358">
        <f t="shared" ref="CP52" si="52">CN52+45</f>
        <v>46230</v>
      </c>
      <c r="CQ52" s="268"/>
      <c r="CR52" s="378">
        <f t="shared" ref="CR52" si="53">CP52-12</f>
        <v>46218</v>
      </c>
      <c r="CS52" s="267"/>
      <c r="CT52" s="378">
        <f t="shared" ref="CT52" si="54">CP52+7</f>
        <v>46237</v>
      </c>
      <c r="CU52" s="267"/>
      <c r="CV52" s="378">
        <f t="shared" ref="CV52" si="55">CT52+7</f>
        <v>46244</v>
      </c>
      <c r="CW52" s="267"/>
      <c r="CX52" s="378">
        <f t="shared" ref="CX52" si="56">CV52+44</f>
        <v>46288</v>
      </c>
      <c r="CY52" s="267"/>
      <c r="CZ52" s="378">
        <f t="shared" ref="CZ52" si="57">CX52+10</f>
        <v>46298</v>
      </c>
      <c r="DA52" s="267"/>
    </row>
    <row r="53" spans="1:105" ht="69" customHeight="1">
      <c r="A53" s="230">
        <v>37</v>
      </c>
      <c r="B53" s="231">
        <v>46266</v>
      </c>
      <c r="C53" s="231">
        <v>46266</v>
      </c>
      <c r="D53" s="230" t="s">
        <v>77</v>
      </c>
      <c r="E53" s="232">
        <v>7502327992110</v>
      </c>
      <c r="F53" s="230" t="s">
        <v>1452</v>
      </c>
      <c r="G53" s="233" t="s">
        <v>1453</v>
      </c>
      <c r="H53" s="215"/>
      <c r="I53" s="234" t="s">
        <v>343</v>
      </c>
      <c r="J53" s="235" t="s">
        <v>1364</v>
      </c>
      <c r="K53" s="235" t="s">
        <v>1053</v>
      </c>
      <c r="L53" s="236">
        <v>1</v>
      </c>
      <c r="M53" s="257"/>
      <c r="N53" s="238" t="s">
        <v>64</v>
      </c>
      <c r="O53" s="239">
        <v>5000</v>
      </c>
      <c r="P53" s="238"/>
      <c r="Q53" s="238"/>
      <c r="R53" s="238"/>
      <c r="S53" s="255">
        <v>19.100000000000001</v>
      </c>
      <c r="T53" s="240">
        <v>159</v>
      </c>
      <c r="U53" s="238">
        <f t="shared" si="40"/>
        <v>137.06896551724139</v>
      </c>
      <c r="V53" s="241">
        <f t="shared" si="41"/>
        <v>82.24137931034484</v>
      </c>
      <c r="W53" s="242">
        <f t="shared" si="42"/>
        <v>0.23224318658280921</v>
      </c>
      <c r="X53" s="243">
        <f t="shared" si="43"/>
        <v>0.76775681341719082</v>
      </c>
      <c r="Y53" s="244">
        <f t="shared" si="44"/>
        <v>0.4</v>
      </c>
      <c r="Z53" s="245" t="s">
        <v>1370</v>
      </c>
      <c r="AA53" s="246" t="s">
        <v>1371</v>
      </c>
      <c r="AB53" s="234">
        <v>6</v>
      </c>
      <c r="AC53" s="234">
        <v>144</v>
      </c>
      <c r="AD53" s="234"/>
      <c r="AE53" s="286"/>
      <c r="AG53" s="247">
        <v>109</v>
      </c>
      <c r="AH53" s="248">
        <f t="shared" si="45"/>
        <v>93.965517241379317</v>
      </c>
      <c r="AI53" s="249">
        <f t="shared" si="46"/>
        <v>0.20326605504587156</v>
      </c>
      <c r="AJ53" s="250">
        <f t="shared" si="47"/>
        <v>0.79673394495412841</v>
      </c>
      <c r="AK53" s="251">
        <f t="shared" si="48"/>
        <v>0</v>
      </c>
      <c r="BA53" s="252">
        <v>1</v>
      </c>
      <c r="BB53" s="252">
        <v>1</v>
      </c>
      <c r="BC53" s="252">
        <v>1</v>
      </c>
      <c r="BD53" s="252">
        <v>1</v>
      </c>
      <c r="BE53" s="252">
        <v>1</v>
      </c>
      <c r="BF53" s="254">
        <v>1</v>
      </c>
      <c r="BG53" s="254"/>
      <c r="BH53" s="254"/>
      <c r="BI53" s="254"/>
      <c r="BJ53" s="252">
        <v>8</v>
      </c>
      <c r="BK53" s="252">
        <f t="shared" si="49"/>
        <v>6</v>
      </c>
      <c r="BL53" s="253">
        <f t="shared" si="50"/>
        <v>0.75</v>
      </c>
      <c r="BR53" s="353" t="s">
        <v>1418</v>
      </c>
      <c r="BS53" s="334"/>
      <c r="BT53" s="81" t="s">
        <v>129</v>
      </c>
      <c r="CJ53" s="278"/>
      <c r="CK53" s="278"/>
      <c r="CL53" s="278"/>
      <c r="CM53" s="278"/>
      <c r="CN53" s="358"/>
      <c r="CO53" s="278"/>
      <c r="CP53" s="268"/>
      <c r="CQ53" s="268"/>
      <c r="CR53" s="267"/>
      <c r="CS53" s="267"/>
      <c r="CT53" s="267"/>
      <c r="CU53" s="267"/>
      <c r="CV53" s="267"/>
      <c r="CW53" s="267"/>
      <c r="CX53" s="267"/>
      <c r="CY53" s="267"/>
      <c r="CZ53" s="267"/>
      <c r="DA53" s="267"/>
    </row>
    <row r="54" spans="1:105" ht="69" customHeight="1">
      <c r="A54" s="230">
        <v>38</v>
      </c>
      <c r="B54" s="231">
        <v>46266</v>
      </c>
      <c r="C54" s="231">
        <v>46266</v>
      </c>
      <c r="D54" s="230" t="s">
        <v>77</v>
      </c>
      <c r="E54" s="232">
        <v>7502327992127</v>
      </c>
      <c r="F54" s="230" t="s">
        <v>1454</v>
      </c>
      <c r="G54" s="233" t="s">
        <v>1455</v>
      </c>
      <c r="H54" s="215"/>
      <c r="I54" s="234" t="s">
        <v>459</v>
      </c>
      <c r="J54" s="235" t="s">
        <v>1364</v>
      </c>
      <c r="K54" s="235" t="s">
        <v>1053</v>
      </c>
      <c r="L54" s="236">
        <v>1</v>
      </c>
      <c r="M54" s="255">
        <v>0.35</v>
      </c>
      <c r="N54" s="238" t="s">
        <v>64</v>
      </c>
      <c r="O54" s="239">
        <v>10000</v>
      </c>
      <c r="P54" s="238">
        <f t="shared" ref="P54:P85" si="58">+M54*$P$18</f>
        <v>4.0145</v>
      </c>
      <c r="Q54" s="238">
        <f t="shared" ref="Q54:Q75" si="59">P54*0.25</f>
        <v>1.003625</v>
      </c>
      <c r="R54" s="238">
        <f>(P54+Q54)*19.02%</f>
        <v>0.95444737499999999</v>
      </c>
      <c r="S54" s="238">
        <f t="shared" ref="S54:S85" si="60">+R54+Q54+P54</f>
        <v>5.9725723750000004</v>
      </c>
      <c r="T54" s="240">
        <v>99</v>
      </c>
      <c r="U54" s="238">
        <f t="shared" si="40"/>
        <v>85.344827586206904</v>
      </c>
      <c r="V54" s="241">
        <f t="shared" si="41"/>
        <v>51.206896551724142</v>
      </c>
      <c r="W54" s="242">
        <f t="shared" si="42"/>
        <v>0.11663609351851852</v>
      </c>
      <c r="X54" s="243">
        <f t="shared" si="43"/>
        <v>0.88336390648148144</v>
      </c>
      <c r="Y54" s="244">
        <f t="shared" si="44"/>
        <v>0.4</v>
      </c>
      <c r="Z54" s="245" t="s">
        <v>1370</v>
      </c>
      <c r="AA54" s="246" t="s">
        <v>1371</v>
      </c>
      <c r="AB54" s="234">
        <v>6</v>
      </c>
      <c r="AC54" s="234">
        <v>144</v>
      </c>
      <c r="AD54" s="234"/>
      <c r="AE54" s="286"/>
      <c r="AG54" s="247">
        <v>69</v>
      </c>
      <c r="AH54" s="248">
        <f t="shared" si="45"/>
        <v>59.482758620689658</v>
      </c>
      <c r="AI54" s="249">
        <f t="shared" si="46"/>
        <v>0.10040846311594202</v>
      </c>
      <c r="AJ54" s="250">
        <f t="shared" si="47"/>
        <v>0.89959153688405802</v>
      </c>
      <c r="AK54" s="251">
        <f t="shared" si="48"/>
        <v>0</v>
      </c>
      <c r="BA54" s="252">
        <v>1</v>
      </c>
      <c r="BB54" s="252">
        <v>1</v>
      </c>
      <c r="BC54" s="252">
        <v>1</v>
      </c>
      <c r="BD54" s="252">
        <v>1</v>
      </c>
      <c r="BE54" s="252">
        <v>1</v>
      </c>
      <c r="BF54" s="254"/>
      <c r="BG54" s="254"/>
      <c r="BH54" s="254"/>
      <c r="BI54" s="254"/>
      <c r="BJ54" s="252">
        <v>8</v>
      </c>
      <c r="BK54" s="252">
        <f t="shared" si="49"/>
        <v>5</v>
      </c>
      <c r="BL54" s="253">
        <f t="shared" si="50"/>
        <v>0.625</v>
      </c>
      <c r="BR54" s="353" t="s">
        <v>1418</v>
      </c>
      <c r="BS54" s="334"/>
      <c r="BT54" s="81" t="s">
        <v>129</v>
      </c>
      <c r="CJ54" s="278"/>
      <c r="CK54" s="278"/>
      <c r="CL54" s="278"/>
      <c r="CM54" s="278"/>
      <c r="CN54" s="358"/>
      <c r="CO54" s="278"/>
      <c r="CP54" s="268"/>
      <c r="CQ54" s="268"/>
      <c r="CR54" s="267"/>
      <c r="CS54" s="267"/>
      <c r="CT54" s="267"/>
      <c r="CU54" s="267"/>
      <c r="CV54" s="267"/>
      <c r="CW54" s="267"/>
      <c r="CX54" s="267"/>
      <c r="CY54" s="267"/>
      <c r="CZ54" s="267"/>
      <c r="DA54" s="267"/>
    </row>
    <row r="55" spans="1:105" ht="69" customHeight="1">
      <c r="A55" s="230">
        <v>39</v>
      </c>
      <c r="B55" s="231">
        <v>46266</v>
      </c>
      <c r="C55" s="231">
        <v>46266</v>
      </c>
      <c r="D55" s="230" t="s">
        <v>77</v>
      </c>
      <c r="E55" s="232"/>
      <c r="F55" s="230" t="s">
        <v>1456</v>
      </c>
      <c r="G55" s="233" t="s">
        <v>1457</v>
      </c>
      <c r="H55" s="215"/>
      <c r="I55" s="234" t="s">
        <v>459</v>
      </c>
      <c r="J55" s="235" t="s">
        <v>1364</v>
      </c>
      <c r="K55" s="235" t="s">
        <v>1053</v>
      </c>
      <c r="L55" s="236">
        <v>1</v>
      </c>
      <c r="M55" s="255">
        <v>0.35</v>
      </c>
      <c r="N55" s="238" t="s">
        <v>64</v>
      </c>
      <c r="O55" s="239">
        <v>10000</v>
      </c>
      <c r="P55" s="238">
        <f t="shared" si="58"/>
        <v>4.0145</v>
      </c>
      <c r="Q55" s="238">
        <f t="shared" si="59"/>
        <v>1.003625</v>
      </c>
      <c r="R55" s="238">
        <f>(P55+Q55)*19.02%</f>
        <v>0.95444737499999999</v>
      </c>
      <c r="S55" s="238">
        <f t="shared" si="60"/>
        <v>5.9725723750000004</v>
      </c>
      <c r="T55" s="240">
        <v>99</v>
      </c>
      <c r="U55" s="238">
        <f t="shared" si="40"/>
        <v>85.344827586206904</v>
      </c>
      <c r="V55" s="241">
        <f t="shared" si="41"/>
        <v>51.206896551724142</v>
      </c>
      <c r="W55" s="242">
        <f t="shared" si="42"/>
        <v>0.11663609351851852</v>
      </c>
      <c r="X55" s="243">
        <f t="shared" si="43"/>
        <v>0.88336390648148144</v>
      </c>
      <c r="Y55" s="244">
        <f t="shared" si="44"/>
        <v>0.4</v>
      </c>
      <c r="Z55" s="245" t="s">
        <v>1370</v>
      </c>
      <c r="AA55" s="246" t="s">
        <v>1371</v>
      </c>
      <c r="AB55" s="234">
        <v>6</v>
      </c>
      <c r="AC55" s="234">
        <v>144</v>
      </c>
      <c r="AD55" s="234"/>
      <c r="AE55" s="286"/>
      <c r="AG55" s="247">
        <v>69</v>
      </c>
      <c r="AH55" s="248">
        <f t="shared" si="45"/>
        <v>59.482758620689658</v>
      </c>
      <c r="AI55" s="249">
        <f t="shared" si="46"/>
        <v>0.10040846311594202</v>
      </c>
      <c r="AJ55" s="250">
        <f t="shared" si="47"/>
        <v>0.89959153688405802</v>
      </c>
      <c r="AK55" s="251">
        <f t="shared" si="48"/>
        <v>0</v>
      </c>
      <c r="BA55" s="252">
        <v>1</v>
      </c>
      <c r="BB55" s="252">
        <v>1</v>
      </c>
      <c r="BC55" s="252">
        <v>1</v>
      </c>
      <c r="BD55" s="252">
        <v>1</v>
      </c>
      <c r="BE55" s="252">
        <v>1</v>
      </c>
      <c r="BF55" s="254"/>
      <c r="BG55" s="254"/>
      <c r="BH55" s="254"/>
      <c r="BI55" s="254"/>
      <c r="BJ55" s="252">
        <v>8</v>
      </c>
      <c r="BK55" s="252">
        <f t="shared" si="49"/>
        <v>5</v>
      </c>
      <c r="BL55" s="253">
        <f t="shared" si="50"/>
        <v>0.625</v>
      </c>
      <c r="BR55" s="353" t="s">
        <v>1418</v>
      </c>
      <c r="BS55" s="334"/>
      <c r="BT55" s="81" t="s">
        <v>129</v>
      </c>
      <c r="CJ55" s="278"/>
      <c r="CK55" s="278"/>
      <c r="CL55" s="278"/>
      <c r="CM55" s="278"/>
      <c r="CN55" s="358"/>
      <c r="CO55" s="278"/>
      <c r="CP55" s="268"/>
      <c r="CQ55" s="268"/>
      <c r="CR55" s="267"/>
      <c r="CS55" s="267"/>
      <c r="CT55" s="267"/>
      <c r="CU55" s="267"/>
      <c r="CV55" s="267"/>
      <c r="CW55" s="267"/>
      <c r="CX55" s="267"/>
      <c r="CY55" s="267"/>
      <c r="CZ55" s="267"/>
      <c r="DA55" s="267"/>
    </row>
    <row r="56" spans="1:105" ht="69" customHeight="1">
      <c r="A56" s="230">
        <v>40</v>
      </c>
      <c r="B56" s="231">
        <v>46266</v>
      </c>
      <c r="C56" s="231">
        <v>46266</v>
      </c>
      <c r="D56" s="230" t="s">
        <v>77</v>
      </c>
      <c r="E56" s="232">
        <v>7502327992134</v>
      </c>
      <c r="F56" s="230" t="s">
        <v>1458</v>
      </c>
      <c r="G56" s="233" t="s">
        <v>1459</v>
      </c>
      <c r="H56" s="215"/>
      <c r="I56" s="234" t="s">
        <v>1460</v>
      </c>
      <c r="J56" s="235" t="s">
        <v>1364</v>
      </c>
      <c r="K56" s="235" t="s">
        <v>1053</v>
      </c>
      <c r="L56" s="236">
        <v>1</v>
      </c>
      <c r="M56" s="255">
        <v>0.67</v>
      </c>
      <c r="N56" s="238" t="s">
        <v>64</v>
      </c>
      <c r="O56" s="239">
        <v>10000</v>
      </c>
      <c r="P56" s="238">
        <f t="shared" si="58"/>
        <v>7.6849000000000007</v>
      </c>
      <c r="Q56" s="238">
        <f t="shared" si="59"/>
        <v>1.9212250000000002</v>
      </c>
      <c r="R56" s="238">
        <f>(P56+Q56)*9.63%</f>
        <v>0.92506983750000016</v>
      </c>
      <c r="S56" s="238">
        <f t="shared" si="60"/>
        <v>10.531194837500001</v>
      </c>
      <c r="T56" s="240">
        <v>149</v>
      </c>
      <c r="U56" s="238">
        <f t="shared" si="40"/>
        <v>128.44827586206898</v>
      </c>
      <c r="V56" s="241">
        <f t="shared" si="41"/>
        <v>77.068965517241381</v>
      </c>
      <c r="W56" s="242">
        <f t="shared" si="42"/>
        <v>0.13664637596756155</v>
      </c>
      <c r="X56" s="243">
        <f t="shared" si="43"/>
        <v>0.86335362403243843</v>
      </c>
      <c r="Y56" s="244">
        <f t="shared" si="44"/>
        <v>0.4</v>
      </c>
      <c r="Z56" s="245" t="s">
        <v>1370</v>
      </c>
      <c r="AA56" s="246" t="s">
        <v>1371</v>
      </c>
      <c r="AB56" s="234">
        <v>6</v>
      </c>
      <c r="AC56" s="234">
        <v>72</v>
      </c>
      <c r="AD56" s="465"/>
      <c r="AE56" s="286"/>
      <c r="AG56" s="247">
        <v>99</v>
      </c>
      <c r="AH56" s="248">
        <f t="shared" si="45"/>
        <v>85.344827586206904</v>
      </c>
      <c r="AI56" s="249">
        <f t="shared" si="46"/>
        <v>0.1233958182979798</v>
      </c>
      <c r="AJ56" s="250">
        <f t="shared" si="47"/>
        <v>0.87660418170202026</v>
      </c>
      <c r="AK56" s="251">
        <f t="shared" si="48"/>
        <v>0</v>
      </c>
      <c r="BA56" s="252">
        <v>1</v>
      </c>
      <c r="BB56" s="252">
        <v>1</v>
      </c>
      <c r="BC56" s="252">
        <v>1</v>
      </c>
      <c r="BD56" s="252">
        <v>1</v>
      </c>
      <c r="BE56" s="252">
        <v>1</v>
      </c>
      <c r="BF56" s="254">
        <v>1</v>
      </c>
      <c r="BG56" s="254"/>
      <c r="BH56" s="254"/>
      <c r="BI56" s="254"/>
      <c r="BJ56" s="252">
        <v>8</v>
      </c>
      <c r="BK56" s="252">
        <f t="shared" si="49"/>
        <v>6</v>
      </c>
      <c r="BL56" s="253">
        <f t="shared" si="50"/>
        <v>0.75</v>
      </c>
      <c r="BR56" s="353" t="s">
        <v>1387</v>
      </c>
      <c r="BS56" s="334"/>
      <c r="BT56" s="81" t="s">
        <v>86</v>
      </c>
      <c r="CJ56" s="278"/>
      <c r="CK56" s="278"/>
      <c r="CL56" s="278"/>
      <c r="CM56" s="278"/>
      <c r="CN56" s="358"/>
      <c r="CO56" s="278"/>
      <c r="CP56" s="268"/>
      <c r="CQ56" s="268"/>
      <c r="CR56" s="267"/>
      <c r="CS56" s="267"/>
      <c r="CT56" s="267"/>
      <c r="CU56" s="267"/>
      <c r="CV56" s="267"/>
      <c r="CW56" s="267"/>
      <c r="CX56" s="267"/>
      <c r="CY56" s="267"/>
      <c r="CZ56" s="267"/>
      <c r="DA56" s="267"/>
    </row>
    <row r="57" spans="1:105" ht="69" customHeight="1">
      <c r="A57" s="230">
        <v>41</v>
      </c>
      <c r="B57" s="231">
        <v>46266</v>
      </c>
      <c r="C57" s="231">
        <v>46266</v>
      </c>
      <c r="D57" s="230" t="s">
        <v>77</v>
      </c>
      <c r="E57" s="232">
        <v>7502327992141</v>
      </c>
      <c r="F57" s="230" t="s">
        <v>1461</v>
      </c>
      <c r="G57" s="233" t="s">
        <v>1462</v>
      </c>
      <c r="H57" s="258"/>
      <c r="I57" s="234" t="s">
        <v>492</v>
      </c>
      <c r="J57" s="234" t="s">
        <v>1364</v>
      </c>
      <c r="K57" s="235" t="s">
        <v>1053</v>
      </c>
      <c r="L57" s="236">
        <v>1</v>
      </c>
      <c r="M57" s="255">
        <v>0.97</v>
      </c>
      <c r="N57" s="238" t="s">
        <v>64</v>
      </c>
      <c r="O57" s="239">
        <v>10000</v>
      </c>
      <c r="P57" s="238">
        <f t="shared" si="58"/>
        <v>11.1259</v>
      </c>
      <c r="Q57" s="238">
        <f t="shared" si="59"/>
        <v>2.7814749999999999</v>
      </c>
      <c r="R57" s="238">
        <f t="shared" ref="R57:R62" si="61">(P57+Q57)*4.19%</f>
        <v>0.58271901250000013</v>
      </c>
      <c r="S57" s="238">
        <f t="shared" si="60"/>
        <v>14.4900940125</v>
      </c>
      <c r="T57" s="240">
        <v>179</v>
      </c>
      <c r="U57" s="238">
        <f t="shared" si="40"/>
        <v>154.31034482758622</v>
      </c>
      <c r="V57" s="241">
        <f t="shared" si="41"/>
        <v>92.58620689655173</v>
      </c>
      <c r="W57" s="242">
        <f t="shared" si="42"/>
        <v>0.1565038087011173</v>
      </c>
      <c r="X57" s="243">
        <f t="shared" si="43"/>
        <v>0.84349619129888276</v>
      </c>
      <c r="Y57" s="244">
        <f t="shared" si="44"/>
        <v>0.4</v>
      </c>
      <c r="Z57" s="245" t="s">
        <v>1370</v>
      </c>
      <c r="AA57" s="246" t="s">
        <v>1371</v>
      </c>
      <c r="AB57" s="234">
        <v>6</v>
      </c>
      <c r="AC57" s="234">
        <v>48</v>
      </c>
      <c r="AD57" s="465">
        <v>46308</v>
      </c>
      <c r="AE57" s="286"/>
      <c r="AG57" s="247">
        <v>119</v>
      </c>
      <c r="AH57" s="248">
        <f t="shared" si="45"/>
        <v>102.58620689655173</v>
      </c>
      <c r="AI57" s="249">
        <f t="shared" si="46"/>
        <v>0.14124797524789914</v>
      </c>
      <c r="AJ57" s="250">
        <f t="shared" si="47"/>
        <v>0.85875202475210088</v>
      </c>
      <c r="AK57" s="251">
        <f t="shared" si="48"/>
        <v>0</v>
      </c>
      <c r="BA57" s="252">
        <v>1</v>
      </c>
      <c r="BB57" s="252">
        <v>1</v>
      </c>
      <c r="BC57" s="252">
        <v>1</v>
      </c>
      <c r="BD57" s="252">
        <v>1</v>
      </c>
      <c r="BE57" s="252">
        <v>1</v>
      </c>
      <c r="BF57" s="254">
        <v>1</v>
      </c>
      <c r="BG57" s="254">
        <v>1</v>
      </c>
      <c r="BH57" s="254"/>
      <c r="BI57" s="254"/>
      <c r="BJ57" s="252">
        <v>8</v>
      </c>
      <c r="BK57" s="252">
        <f t="shared" si="49"/>
        <v>7</v>
      </c>
      <c r="BL57" s="253">
        <f t="shared" si="50"/>
        <v>0.875</v>
      </c>
      <c r="BR57" s="353" t="s">
        <v>1387</v>
      </c>
      <c r="BS57" s="334"/>
      <c r="BT57" s="81" t="s">
        <v>86</v>
      </c>
      <c r="CJ57" s="358">
        <v>46156</v>
      </c>
      <c r="CK57" s="358">
        <v>46156</v>
      </c>
      <c r="CL57" s="358">
        <f t="shared" ref="CL57:CL62" si="62">CK57+15</f>
        <v>46171</v>
      </c>
      <c r="CM57" s="358"/>
      <c r="CN57" s="358">
        <f t="shared" si="39"/>
        <v>46185</v>
      </c>
      <c r="CO57" s="278"/>
      <c r="CP57" s="358">
        <f t="shared" ref="CP57:CP63" si="63">CN57+45</f>
        <v>46230</v>
      </c>
      <c r="CQ57" s="268"/>
      <c r="CR57" s="378">
        <f t="shared" ref="CR57:CR63" si="64">CP57-12</f>
        <v>46218</v>
      </c>
      <c r="CS57" s="267"/>
      <c r="CT57" s="378">
        <f t="shared" ref="CT57:CT63" si="65">CP57+7</f>
        <v>46237</v>
      </c>
      <c r="CU57" s="267"/>
      <c r="CV57" s="378">
        <f t="shared" ref="CV57:CV63" si="66">CT57+7</f>
        <v>46244</v>
      </c>
      <c r="CW57" s="267"/>
      <c r="CX57" s="378">
        <f t="shared" ref="CX57:CX63" si="67">CV57+44</f>
        <v>46288</v>
      </c>
      <c r="CY57" s="267"/>
      <c r="CZ57" s="378">
        <f t="shared" ref="CZ57:CZ63" si="68">CX57+10</f>
        <v>46298</v>
      </c>
      <c r="DA57" s="267"/>
    </row>
    <row r="58" spans="1:105" ht="69" customHeight="1">
      <c r="A58" s="230">
        <v>42</v>
      </c>
      <c r="B58" s="231">
        <v>46266</v>
      </c>
      <c r="C58" s="231">
        <v>46266</v>
      </c>
      <c r="D58" s="230" t="s">
        <v>77</v>
      </c>
      <c r="E58" s="232">
        <v>7502327992158</v>
      </c>
      <c r="F58" s="230" t="s">
        <v>1463</v>
      </c>
      <c r="G58" s="233" t="s">
        <v>1464</v>
      </c>
      <c r="H58" s="234"/>
      <c r="I58" s="234" t="s">
        <v>492</v>
      </c>
      <c r="J58" s="234" t="s">
        <v>1364</v>
      </c>
      <c r="K58" s="235" t="s">
        <v>1053</v>
      </c>
      <c r="L58" s="236">
        <v>1</v>
      </c>
      <c r="M58" s="255">
        <v>0.97</v>
      </c>
      <c r="N58" s="238" t="s">
        <v>64</v>
      </c>
      <c r="O58" s="239">
        <v>10000</v>
      </c>
      <c r="P58" s="238">
        <f t="shared" si="58"/>
        <v>11.1259</v>
      </c>
      <c r="Q58" s="238">
        <f t="shared" si="59"/>
        <v>2.7814749999999999</v>
      </c>
      <c r="R58" s="238">
        <f t="shared" si="61"/>
        <v>0.58271901250000013</v>
      </c>
      <c r="S58" s="238">
        <f t="shared" si="60"/>
        <v>14.4900940125</v>
      </c>
      <c r="T58" s="240">
        <v>179</v>
      </c>
      <c r="U58" s="238">
        <f t="shared" si="40"/>
        <v>154.31034482758622</v>
      </c>
      <c r="V58" s="241">
        <f t="shared" si="41"/>
        <v>92.58620689655173</v>
      </c>
      <c r="W58" s="242">
        <f t="shared" si="42"/>
        <v>0.1565038087011173</v>
      </c>
      <c r="X58" s="243">
        <f t="shared" si="43"/>
        <v>0.84349619129888276</v>
      </c>
      <c r="Y58" s="244">
        <f t="shared" si="44"/>
        <v>0.4</v>
      </c>
      <c r="Z58" s="245" t="s">
        <v>1370</v>
      </c>
      <c r="AA58" s="246" t="s">
        <v>1371</v>
      </c>
      <c r="AB58" s="234">
        <v>6</v>
      </c>
      <c r="AC58" s="234">
        <v>48</v>
      </c>
      <c r="AD58" s="465">
        <v>46308</v>
      </c>
      <c r="AE58" s="286"/>
      <c r="AG58" s="247">
        <v>119</v>
      </c>
      <c r="AH58" s="248">
        <f t="shared" si="45"/>
        <v>102.58620689655173</v>
      </c>
      <c r="AI58" s="249">
        <f t="shared" si="46"/>
        <v>0.14124797524789914</v>
      </c>
      <c r="AJ58" s="250">
        <f t="shared" si="47"/>
        <v>0.85875202475210088</v>
      </c>
      <c r="AK58" s="251">
        <f t="shared" si="48"/>
        <v>0</v>
      </c>
      <c r="BA58" s="252">
        <v>1</v>
      </c>
      <c r="BB58" s="252">
        <v>1</v>
      </c>
      <c r="BC58" s="252">
        <v>1</v>
      </c>
      <c r="BD58" s="252">
        <v>1</v>
      </c>
      <c r="BE58" s="252">
        <v>1</v>
      </c>
      <c r="BF58" s="254">
        <v>1</v>
      </c>
      <c r="BG58" s="254">
        <v>1</v>
      </c>
      <c r="BH58" s="254"/>
      <c r="BI58" s="254"/>
      <c r="BJ58" s="252">
        <v>8</v>
      </c>
      <c r="BK58" s="252">
        <f t="shared" si="49"/>
        <v>7</v>
      </c>
      <c r="BL58" s="253">
        <f t="shared" si="50"/>
        <v>0.875</v>
      </c>
      <c r="BR58" s="353" t="s">
        <v>1387</v>
      </c>
      <c r="BS58" s="334"/>
      <c r="BT58" s="81" t="s">
        <v>86</v>
      </c>
      <c r="CJ58" s="358">
        <v>46156</v>
      </c>
      <c r="CK58" s="358">
        <v>46156</v>
      </c>
      <c r="CL58" s="358">
        <f t="shared" si="62"/>
        <v>46171</v>
      </c>
      <c r="CM58" s="358"/>
      <c r="CN58" s="358">
        <f t="shared" si="39"/>
        <v>46185</v>
      </c>
      <c r="CO58" s="278"/>
      <c r="CP58" s="358">
        <f t="shared" si="63"/>
        <v>46230</v>
      </c>
      <c r="CQ58" s="268"/>
      <c r="CR58" s="378">
        <f t="shared" si="64"/>
        <v>46218</v>
      </c>
      <c r="CS58" s="267"/>
      <c r="CT58" s="378">
        <f t="shared" si="65"/>
        <v>46237</v>
      </c>
      <c r="CU58" s="267"/>
      <c r="CV58" s="378">
        <f t="shared" si="66"/>
        <v>46244</v>
      </c>
      <c r="CW58" s="267"/>
      <c r="CX58" s="378">
        <f t="shared" si="67"/>
        <v>46288</v>
      </c>
      <c r="CY58" s="267"/>
      <c r="CZ58" s="378">
        <f t="shared" si="68"/>
        <v>46298</v>
      </c>
      <c r="DA58" s="267"/>
    </row>
    <row r="59" spans="1:105" ht="69" customHeight="1">
      <c r="A59" s="230">
        <v>43</v>
      </c>
      <c r="B59" s="231">
        <v>46266</v>
      </c>
      <c r="C59" s="231">
        <v>46266</v>
      </c>
      <c r="D59" s="230" t="s">
        <v>77</v>
      </c>
      <c r="E59" s="232">
        <v>7502327992165</v>
      </c>
      <c r="F59" s="230" t="s">
        <v>1465</v>
      </c>
      <c r="G59" s="233" t="s">
        <v>1466</v>
      </c>
      <c r="H59" s="234"/>
      <c r="I59" s="234" t="s">
        <v>492</v>
      </c>
      <c r="J59" s="234" t="s">
        <v>1364</v>
      </c>
      <c r="K59" s="235" t="s">
        <v>1053</v>
      </c>
      <c r="L59" s="236">
        <v>1</v>
      </c>
      <c r="M59" s="255">
        <v>0.97</v>
      </c>
      <c r="N59" s="238" t="s">
        <v>64</v>
      </c>
      <c r="O59" s="239">
        <v>10000</v>
      </c>
      <c r="P59" s="238">
        <f t="shared" si="58"/>
        <v>11.1259</v>
      </c>
      <c r="Q59" s="238">
        <f t="shared" si="59"/>
        <v>2.7814749999999999</v>
      </c>
      <c r="R59" s="238">
        <f t="shared" si="61"/>
        <v>0.58271901250000013</v>
      </c>
      <c r="S59" s="238">
        <f t="shared" si="60"/>
        <v>14.4900940125</v>
      </c>
      <c r="T59" s="240">
        <v>179</v>
      </c>
      <c r="U59" s="238">
        <f t="shared" si="40"/>
        <v>154.31034482758622</v>
      </c>
      <c r="V59" s="241">
        <f t="shared" si="41"/>
        <v>92.58620689655173</v>
      </c>
      <c r="W59" s="242">
        <f t="shared" si="42"/>
        <v>0.1565038087011173</v>
      </c>
      <c r="X59" s="243">
        <f t="shared" si="43"/>
        <v>0.84349619129888276</v>
      </c>
      <c r="Y59" s="244">
        <f t="shared" si="44"/>
        <v>0.4</v>
      </c>
      <c r="Z59" s="245" t="s">
        <v>1370</v>
      </c>
      <c r="AA59" s="246" t="s">
        <v>1371</v>
      </c>
      <c r="AB59" s="234">
        <v>6</v>
      </c>
      <c r="AC59" s="234">
        <v>48</v>
      </c>
      <c r="AD59" s="465">
        <v>46308</v>
      </c>
      <c r="AE59" s="286"/>
      <c r="AG59" s="247">
        <v>119</v>
      </c>
      <c r="AH59" s="248">
        <f t="shared" si="45"/>
        <v>102.58620689655173</v>
      </c>
      <c r="AI59" s="249">
        <f t="shared" si="46"/>
        <v>0.14124797524789914</v>
      </c>
      <c r="AJ59" s="250">
        <f t="shared" si="47"/>
        <v>0.85875202475210088</v>
      </c>
      <c r="AK59" s="251">
        <f t="shared" si="48"/>
        <v>0</v>
      </c>
      <c r="BA59" s="252">
        <v>1</v>
      </c>
      <c r="BB59" s="252">
        <v>1</v>
      </c>
      <c r="BC59" s="252">
        <v>1</v>
      </c>
      <c r="BD59" s="252">
        <v>1</v>
      </c>
      <c r="BE59" s="252">
        <v>1</v>
      </c>
      <c r="BF59" s="254">
        <v>1</v>
      </c>
      <c r="BG59" s="254">
        <v>1</v>
      </c>
      <c r="BH59" s="254"/>
      <c r="BI59" s="254"/>
      <c r="BJ59" s="252">
        <v>8</v>
      </c>
      <c r="BK59" s="252">
        <f t="shared" si="49"/>
        <v>7</v>
      </c>
      <c r="BL59" s="253">
        <f t="shared" si="50"/>
        <v>0.875</v>
      </c>
      <c r="BR59" s="353" t="s">
        <v>1387</v>
      </c>
      <c r="BS59" s="334"/>
      <c r="BT59" s="81" t="s">
        <v>86</v>
      </c>
      <c r="CJ59" s="358">
        <v>46156</v>
      </c>
      <c r="CK59" s="358">
        <v>46156</v>
      </c>
      <c r="CL59" s="358">
        <f t="shared" si="62"/>
        <v>46171</v>
      </c>
      <c r="CM59" s="358"/>
      <c r="CN59" s="358">
        <f t="shared" si="39"/>
        <v>46185</v>
      </c>
      <c r="CO59" s="278"/>
      <c r="CP59" s="358">
        <f t="shared" si="63"/>
        <v>46230</v>
      </c>
      <c r="CQ59" s="268"/>
      <c r="CR59" s="378">
        <f t="shared" si="64"/>
        <v>46218</v>
      </c>
      <c r="CS59" s="267"/>
      <c r="CT59" s="378">
        <f t="shared" si="65"/>
        <v>46237</v>
      </c>
      <c r="CU59" s="267"/>
      <c r="CV59" s="378">
        <f t="shared" si="66"/>
        <v>46244</v>
      </c>
      <c r="CW59" s="267"/>
      <c r="CX59" s="378">
        <f t="shared" si="67"/>
        <v>46288</v>
      </c>
      <c r="CY59" s="267"/>
      <c r="CZ59" s="378">
        <f t="shared" si="68"/>
        <v>46298</v>
      </c>
      <c r="DA59" s="267"/>
    </row>
    <row r="60" spans="1:105" ht="69" customHeight="1">
      <c r="A60" s="230">
        <v>44</v>
      </c>
      <c r="B60" s="231">
        <v>46266</v>
      </c>
      <c r="C60" s="231">
        <v>46266</v>
      </c>
      <c r="D60" s="230" t="s">
        <v>77</v>
      </c>
      <c r="E60" s="232">
        <v>7502327992172</v>
      </c>
      <c r="F60" s="230" t="s">
        <v>1467</v>
      </c>
      <c r="G60" s="233" t="s">
        <v>1468</v>
      </c>
      <c r="H60" s="234"/>
      <c r="I60" s="234" t="s">
        <v>492</v>
      </c>
      <c r="J60" s="234" t="s">
        <v>1364</v>
      </c>
      <c r="K60" s="235" t="s">
        <v>1053</v>
      </c>
      <c r="L60" s="236">
        <v>1</v>
      </c>
      <c r="M60" s="255">
        <v>0.97</v>
      </c>
      <c r="N60" s="238" t="s">
        <v>64</v>
      </c>
      <c r="O60" s="239">
        <v>10000</v>
      </c>
      <c r="P60" s="238">
        <f t="shared" si="58"/>
        <v>11.1259</v>
      </c>
      <c r="Q60" s="238">
        <f t="shared" si="59"/>
        <v>2.7814749999999999</v>
      </c>
      <c r="R60" s="238">
        <f t="shared" si="61"/>
        <v>0.58271901250000013</v>
      </c>
      <c r="S60" s="238">
        <f t="shared" si="60"/>
        <v>14.4900940125</v>
      </c>
      <c r="T60" s="240">
        <v>179</v>
      </c>
      <c r="U60" s="238">
        <f t="shared" si="40"/>
        <v>154.31034482758622</v>
      </c>
      <c r="V60" s="241">
        <f t="shared" si="41"/>
        <v>92.58620689655173</v>
      </c>
      <c r="W60" s="242">
        <f t="shared" si="42"/>
        <v>0.1565038087011173</v>
      </c>
      <c r="X60" s="243">
        <f t="shared" si="43"/>
        <v>0.84349619129888276</v>
      </c>
      <c r="Y60" s="244">
        <f t="shared" si="44"/>
        <v>0.4</v>
      </c>
      <c r="Z60" s="245" t="s">
        <v>1370</v>
      </c>
      <c r="AA60" s="246" t="s">
        <v>1371</v>
      </c>
      <c r="AB60" s="234">
        <v>6</v>
      </c>
      <c r="AC60" s="234">
        <v>48</v>
      </c>
      <c r="AD60" s="465">
        <v>46308</v>
      </c>
      <c r="AE60" s="286"/>
      <c r="AG60" s="247">
        <v>119</v>
      </c>
      <c r="AH60" s="248">
        <f t="shared" si="45"/>
        <v>102.58620689655173</v>
      </c>
      <c r="AI60" s="249">
        <f t="shared" si="46"/>
        <v>0.14124797524789914</v>
      </c>
      <c r="AJ60" s="250">
        <f t="shared" si="47"/>
        <v>0.85875202475210088</v>
      </c>
      <c r="AK60" s="251">
        <f t="shared" si="48"/>
        <v>0</v>
      </c>
      <c r="BA60" s="252">
        <v>1</v>
      </c>
      <c r="BB60" s="252">
        <v>1</v>
      </c>
      <c r="BC60" s="252">
        <v>1</v>
      </c>
      <c r="BD60" s="252">
        <v>1</v>
      </c>
      <c r="BE60" s="252">
        <v>1</v>
      </c>
      <c r="BF60" s="254">
        <v>1</v>
      </c>
      <c r="BG60" s="254">
        <v>1</v>
      </c>
      <c r="BH60" s="254"/>
      <c r="BI60" s="254"/>
      <c r="BJ60" s="252">
        <v>8</v>
      </c>
      <c r="BK60" s="252">
        <f t="shared" si="49"/>
        <v>7</v>
      </c>
      <c r="BL60" s="253">
        <f t="shared" si="50"/>
        <v>0.875</v>
      </c>
      <c r="BR60" s="353" t="s">
        <v>1387</v>
      </c>
      <c r="BS60" s="334"/>
      <c r="BT60" s="81" t="s">
        <v>86</v>
      </c>
      <c r="CJ60" s="358">
        <v>46156</v>
      </c>
      <c r="CK60" s="358">
        <v>46156</v>
      </c>
      <c r="CL60" s="358">
        <f t="shared" si="62"/>
        <v>46171</v>
      </c>
      <c r="CM60" s="358"/>
      <c r="CN60" s="358">
        <f t="shared" si="39"/>
        <v>46185</v>
      </c>
      <c r="CO60" s="278"/>
      <c r="CP60" s="358">
        <f t="shared" si="63"/>
        <v>46230</v>
      </c>
      <c r="CQ60" s="268"/>
      <c r="CR60" s="378">
        <f t="shared" si="64"/>
        <v>46218</v>
      </c>
      <c r="CS60" s="267"/>
      <c r="CT60" s="378">
        <f t="shared" si="65"/>
        <v>46237</v>
      </c>
      <c r="CU60" s="267"/>
      <c r="CV60" s="378">
        <f t="shared" si="66"/>
        <v>46244</v>
      </c>
      <c r="CW60" s="267"/>
      <c r="CX60" s="378">
        <f t="shared" si="67"/>
        <v>46288</v>
      </c>
      <c r="CY60" s="267"/>
      <c r="CZ60" s="378">
        <f t="shared" si="68"/>
        <v>46298</v>
      </c>
      <c r="DA60" s="267"/>
    </row>
    <row r="61" spans="1:105" ht="69" customHeight="1">
      <c r="A61" s="230">
        <v>45</v>
      </c>
      <c r="B61" s="231">
        <v>46266</v>
      </c>
      <c r="C61" s="231">
        <v>46266</v>
      </c>
      <c r="D61" s="230" t="s">
        <v>77</v>
      </c>
      <c r="E61" s="232"/>
      <c r="F61" s="230" t="s">
        <v>1469</v>
      </c>
      <c r="G61" s="233" t="s">
        <v>1470</v>
      </c>
      <c r="H61" s="234"/>
      <c r="I61" s="234" t="s">
        <v>492</v>
      </c>
      <c r="J61" s="234" t="s">
        <v>1364</v>
      </c>
      <c r="K61" s="235" t="s">
        <v>1053</v>
      </c>
      <c r="L61" s="236">
        <v>1</v>
      </c>
      <c r="M61" s="255">
        <v>0.97</v>
      </c>
      <c r="N61" s="238" t="s">
        <v>64</v>
      </c>
      <c r="O61" s="239">
        <v>10000</v>
      </c>
      <c r="P61" s="238">
        <f t="shared" si="58"/>
        <v>11.1259</v>
      </c>
      <c r="Q61" s="238">
        <f t="shared" si="59"/>
        <v>2.7814749999999999</v>
      </c>
      <c r="R61" s="238">
        <f t="shared" si="61"/>
        <v>0.58271901250000013</v>
      </c>
      <c r="S61" s="238">
        <f t="shared" si="60"/>
        <v>14.4900940125</v>
      </c>
      <c r="T61" s="240">
        <v>179</v>
      </c>
      <c r="U61" s="238">
        <f t="shared" si="40"/>
        <v>154.31034482758622</v>
      </c>
      <c r="V61" s="241">
        <f t="shared" si="41"/>
        <v>92.58620689655173</v>
      </c>
      <c r="W61" s="242">
        <f t="shared" si="42"/>
        <v>0.1565038087011173</v>
      </c>
      <c r="X61" s="243">
        <f t="shared" si="43"/>
        <v>0.84349619129888276</v>
      </c>
      <c r="Y61" s="244">
        <f t="shared" si="44"/>
        <v>0.4</v>
      </c>
      <c r="Z61" s="245" t="s">
        <v>1370</v>
      </c>
      <c r="AA61" s="246" t="s">
        <v>1371</v>
      </c>
      <c r="AB61" s="234">
        <v>6</v>
      </c>
      <c r="AC61" s="234">
        <v>48</v>
      </c>
      <c r="AD61" s="465">
        <v>46308</v>
      </c>
      <c r="AE61" s="286"/>
      <c r="AG61" s="247">
        <v>119</v>
      </c>
      <c r="AH61" s="248">
        <f t="shared" si="45"/>
        <v>102.58620689655173</v>
      </c>
      <c r="AI61" s="249">
        <f t="shared" si="46"/>
        <v>0.14124797524789914</v>
      </c>
      <c r="AJ61" s="250">
        <f t="shared" si="47"/>
        <v>0.85875202475210088</v>
      </c>
      <c r="AK61" s="251">
        <f t="shared" si="48"/>
        <v>0</v>
      </c>
      <c r="BA61" s="252">
        <v>1</v>
      </c>
      <c r="BB61" s="252">
        <v>1</v>
      </c>
      <c r="BC61" s="252">
        <v>1</v>
      </c>
      <c r="BD61" s="252">
        <v>1</v>
      </c>
      <c r="BE61" s="252">
        <v>1</v>
      </c>
      <c r="BF61" s="254">
        <v>1</v>
      </c>
      <c r="BG61" s="254">
        <v>1</v>
      </c>
      <c r="BH61" s="254"/>
      <c r="BI61" s="254"/>
      <c r="BJ61" s="252">
        <v>8</v>
      </c>
      <c r="BK61" s="252">
        <f t="shared" si="49"/>
        <v>7</v>
      </c>
      <c r="BL61" s="253">
        <f t="shared" si="50"/>
        <v>0.875</v>
      </c>
      <c r="BR61" s="353" t="s">
        <v>1387</v>
      </c>
      <c r="BS61" s="334"/>
      <c r="BT61" s="81" t="s">
        <v>86</v>
      </c>
      <c r="CJ61" s="358">
        <v>46156</v>
      </c>
      <c r="CK61" s="358">
        <v>46156</v>
      </c>
      <c r="CL61" s="358">
        <f t="shared" si="62"/>
        <v>46171</v>
      </c>
      <c r="CM61" s="358"/>
      <c r="CN61" s="358">
        <f t="shared" si="39"/>
        <v>46185</v>
      </c>
      <c r="CO61" s="278"/>
      <c r="CP61" s="358">
        <f t="shared" si="63"/>
        <v>46230</v>
      </c>
      <c r="CQ61" s="268"/>
      <c r="CR61" s="378">
        <f t="shared" si="64"/>
        <v>46218</v>
      </c>
      <c r="CS61" s="267"/>
      <c r="CT61" s="378">
        <f t="shared" si="65"/>
        <v>46237</v>
      </c>
      <c r="CU61" s="267"/>
      <c r="CV61" s="378">
        <f t="shared" si="66"/>
        <v>46244</v>
      </c>
      <c r="CW61" s="267"/>
      <c r="CX61" s="378">
        <f t="shared" si="67"/>
        <v>46288</v>
      </c>
      <c r="CY61" s="267"/>
      <c r="CZ61" s="378">
        <f t="shared" si="68"/>
        <v>46298</v>
      </c>
      <c r="DA61" s="267"/>
    </row>
    <row r="62" spans="1:105" ht="69" customHeight="1">
      <c r="A62" s="230">
        <v>46</v>
      </c>
      <c r="B62" s="231">
        <v>46266</v>
      </c>
      <c r="C62" s="231">
        <v>46266</v>
      </c>
      <c r="D62" s="230" t="s">
        <v>77</v>
      </c>
      <c r="E62" s="232"/>
      <c r="F62" s="230" t="s">
        <v>1471</v>
      </c>
      <c r="G62" s="233" t="s">
        <v>1472</v>
      </c>
      <c r="H62" s="234"/>
      <c r="I62" s="234" t="s">
        <v>492</v>
      </c>
      <c r="J62" s="234" t="s">
        <v>1364</v>
      </c>
      <c r="K62" s="235" t="s">
        <v>1053</v>
      </c>
      <c r="L62" s="236">
        <v>1</v>
      </c>
      <c r="M62" s="255">
        <v>0.97</v>
      </c>
      <c r="N62" s="238" t="s">
        <v>64</v>
      </c>
      <c r="O62" s="239">
        <v>10000</v>
      </c>
      <c r="P62" s="238">
        <f t="shared" si="58"/>
        <v>11.1259</v>
      </c>
      <c r="Q62" s="238">
        <f t="shared" si="59"/>
        <v>2.7814749999999999</v>
      </c>
      <c r="R62" s="238">
        <f t="shared" si="61"/>
        <v>0.58271901250000013</v>
      </c>
      <c r="S62" s="238">
        <f t="shared" si="60"/>
        <v>14.4900940125</v>
      </c>
      <c r="T62" s="240">
        <v>179</v>
      </c>
      <c r="U62" s="238">
        <f t="shared" si="40"/>
        <v>154.31034482758622</v>
      </c>
      <c r="V62" s="241">
        <f t="shared" si="41"/>
        <v>92.58620689655173</v>
      </c>
      <c r="W62" s="242">
        <f t="shared" si="42"/>
        <v>0.1565038087011173</v>
      </c>
      <c r="X62" s="243">
        <f t="shared" si="43"/>
        <v>0.84349619129888276</v>
      </c>
      <c r="Y62" s="244">
        <f t="shared" si="44"/>
        <v>0.4</v>
      </c>
      <c r="Z62" s="245" t="s">
        <v>1370</v>
      </c>
      <c r="AA62" s="246" t="s">
        <v>1371</v>
      </c>
      <c r="AB62" s="234">
        <v>6</v>
      </c>
      <c r="AC62" s="234">
        <v>48</v>
      </c>
      <c r="AD62" s="465">
        <v>46308</v>
      </c>
      <c r="AE62" s="286"/>
      <c r="AG62" s="247">
        <v>119</v>
      </c>
      <c r="AH62" s="248">
        <f t="shared" si="45"/>
        <v>102.58620689655173</v>
      </c>
      <c r="AI62" s="249">
        <f t="shared" si="46"/>
        <v>0.14124797524789914</v>
      </c>
      <c r="AJ62" s="250">
        <f t="shared" si="47"/>
        <v>0.85875202475210088</v>
      </c>
      <c r="AK62" s="251">
        <f t="shared" si="48"/>
        <v>0</v>
      </c>
      <c r="BA62" s="252">
        <v>1</v>
      </c>
      <c r="BB62" s="252">
        <v>1</v>
      </c>
      <c r="BC62" s="252">
        <v>1</v>
      </c>
      <c r="BD62" s="252">
        <v>1</v>
      </c>
      <c r="BE62" s="252">
        <v>1</v>
      </c>
      <c r="BF62" s="254">
        <v>1</v>
      </c>
      <c r="BG62" s="254">
        <v>1</v>
      </c>
      <c r="BH62" s="254"/>
      <c r="BI62" s="254"/>
      <c r="BJ62" s="252">
        <v>8</v>
      </c>
      <c r="BK62" s="252">
        <f t="shared" si="49"/>
        <v>7</v>
      </c>
      <c r="BL62" s="253">
        <f t="shared" si="50"/>
        <v>0.875</v>
      </c>
      <c r="BR62" s="353" t="s">
        <v>1387</v>
      </c>
      <c r="BS62" s="334"/>
      <c r="BT62" s="81" t="s">
        <v>86</v>
      </c>
      <c r="CJ62" s="358">
        <v>46156</v>
      </c>
      <c r="CK62" s="358">
        <v>46156</v>
      </c>
      <c r="CL62" s="358">
        <f t="shared" si="62"/>
        <v>46171</v>
      </c>
      <c r="CM62" s="358"/>
      <c r="CN62" s="358">
        <f t="shared" si="39"/>
        <v>46185</v>
      </c>
      <c r="CO62" s="278"/>
      <c r="CP62" s="358">
        <f t="shared" si="63"/>
        <v>46230</v>
      </c>
      <c r="CQ62" s="268"/>
      <c r="CR62" s="378">
        <f t="shared" si="64"/>
        <v>46218</v>
      </c>
      <c r="CS62" s="267"/>
      <c r="CT62" s="378">
        <f t="shared" si="65"/>
        <v>46237</v>
      </c>
      <c r="CU62" s="267"/>
      <c r="CV62" s="378">
        <f t="shared" si="66"/>
        <v>46244</v>
      </c>
      <c r="CW62" s="267"/>
      <c r="CX62" s="378">
        <f t="shared" si="67"/>
        <v>46288</v>
      </c>
      <c r="CY62" s="267"/>
      <c r="CZ62" s="378">
        <f t="shared" si="68"/>
        <v>46298</v>
      </c>
      <c r="DA62" s="267"/>
    </row>
    <row r="63" spans="1:105" ht="69" customHeight="1">
      <c r="A63" s="230">
        <v>47</v>
      </c>
      <c r="B63" s="231">
        <v>46266</v>
      </c>
      <c r="C63" s="231">
        <v>46266</v>
      </c>
      <c r="D63" s="230" t="s">
        <v>77</v>
      </c>
      <c r="E63" s="232">
        <v>7502327992196</v>
      </c>
      <c r="F63" s="230" t="s">
        <v>1473</v>
      </c>
      <c r="G63" s="233" t="s">
        <v>1474</v>
      </c>
      <c r="H63" s="234"/>
      <c r="I63" s="234" t="s">
        <v>1083</v>
      </c>
      <c r="J63" s="234" t="s">
        <v>1364</v>
      </c>
      <c r="K63" s="235" t="s">
        <v>1053</v>
      </c>
      <c r="L63" s="236">
        <v>1</v>
      </c>
      <c r="M63" s="255">
        <v>0.47</v>
      </c>
      <c r="N63" s="238" t="s">
        <v>64</v>
      </c>
      <c r="O63" s="239">
        <v>30000</v>
      </c>
      <c r="P63" s="238">
        <f t="shared" si="58"/>
        <v>5.3909000000000002</v>
      </c>
      <c r="Q63" s="238">
        <f t="shared" si="59"/>
        <v>1.3477250000000001</v>
      </c>
      <c r="R63" s="238">
        <f>(P63+Q63)*1.85%</f>
        <v>0.12466456250000003</v>
      </c>
      <c r="S63" s="238">
        <f t="shared" si="60"/>
        <v>6.8632895625000003</v>
      </c>
      <c r="T63" s="240">
        <v>99</v>
      </c>
      <c r="U63" s="238">
        <f t="shared" si="40"/>
        <v>85.344827586206904</v>
      </c>
      <c r="V63" s="241">
        <f t="shared" si="41"/>
        <v>51.206896551724142</v>
      </c>
      <c r="W63" s="242">
        <f t="shared" si="42"/>
        <v>0.13403057058080808</v>
      </c>
      <c r="X63" s="243">
        <f t="shared" si="43"/>
        <v>0.86596942941919197</v>
      </c>
      <c r="Y63" s="244">
        <f t="shared" si="44"/>
        <v>0.4</v>
      </c>
      <c r="Z63" s="245" t="s">
        <v>638</v>
      </c>
      <c r="AA63" s="246" t="s">
        <v>1371</v>
      </c>
      <c r="AB63" s="234">
        <v>40</v>
      </c>
      <c r="AC63" s="234">
        <v>960</v>
      </c>
      <c r="AD63" s="465">
        <v>46306</v>
      </c>
      <c r="AE63" s="286"/>
      <c r="AG63" s="247">
        <v>69</v>
      </c>
      <c r="AH63" s="248">
        <f t="shared" si="45"/>
        <v>59.482758620689658</v>
      </c>
      <c r="AI63" s="249">
        <f t="shared" si="46"/>
        <v>0.11538283902173913</v>
      </c>
      <c r="AJ63" s="250">
        <f t="shared" si="47"/>
        <v>0.88461716097826093</v>
      </c>
      <c r="AK63" s="251">
        <f t="shared" si="48"/>
        <v>0</v>
      </c>
      <c r="BA63" s="252">
        <v>1</v>
      </c>
      <c r="BB63" s="252">
        <v>1</v>
      </c>
      <c r="BC63" s="252">
        <v>1</v>
      </c>
      <c r="BD63" s="252">
        <v>1</v>
      </c>
      <c r="BE63" s="252">
        <v>1</v>
      </c>
      <c r="BF63" s="254">
        <v>1</v>
      </c>
      <c r="BG63" s="254">
        <v>1</v>
      </c>
      <c r="BH63" s="254"/>
      <c r="BI63" s="254"/>
      <c r="BJ63" s="252">
        <v>8</v>
      </c>
      <c r="BK63" s="252">
        <f t="shared" si="49"/>
        <v>7</v>
      </c>
      <c r="BL63" s="253">
        <f t="shared" si="50"/>
        <v>0.875</v>
      </c>
      <c r="BR63" s="353" t="s">
        <v>1387</v>
      </c>
      <c r="BS63" s="334"/>
      <c r="BT63" s="81" t="s">
        <v>86</v>
      </c>
      <c r="CJ63" s="358">
        <v>46164</v>
      </c>
      <c r="CK63" s="358">
        <v>46164</v>
      </c>
      <c r="CL63" s="358">
        <f>CK63+15</f>
        <v>46179</v>
      </c>
      <c r="CM63" s="358"/>
      <c r="CN63" s="358">
        <f t="shared" si="39"/>
        <v>46193</v>
      </c>
      <c r="CO63" s="278"/>
      <c r="CP63" s="358">
        <f>CN63+45</f>
        <v>46238</v>
      </c>
      <c r="CQ63" s="268"/>
      <c r="CR63" s="378">
        <f t="shared" si="64"/>
        <v>46226</v>
      </c>
      <c r="CS63" s="267"/>
      <c r="CT63" s="378">
        <f t="shared" si="65"/>
        <v>46245</v>
      </c>
      <c r="CU63" s="267"/>
      <c r="CV63" s="378">
        <f t="shared" si="66"/>
        <v>46252</v>
      </c>
      <c r="CW63" s="267"/>
      <c r="CX63" s="378">
        <f t="shared" si="67"/>
        <v>46296</v>
      </c>
      <c r="CY63" s="267"/>
      <c r="CZ63" s="378">
        <f t="shared" si="68"/>
        <v>46306</v>
      </c>
      <c r="DA63" s="267"/>
    </row>
    <row r="64" spans="1:105" ht="69" customHeight="1">
      <c r="A64" s="230">
        <v>48</v>
      </c>
      <c r="B64" s="231">
        <v>46266</v>
      </c>
      <c r="C64" s="231">
        <v>46266</v>
      </c>
      <c r="D64" s="230" t="s">
        <v>77</v>
      </c>
      <c r="E64" s="232">
        <v>7502327992219</v>
      </c>
      <c r="F64" s="230" t="s">
        <v>1475</v>
      </c>
      <c r="G64" s="233" t="s">
        <v>1476</v>
      </c>
      <c r="H64" s="215"/>
      <c r="I64" s="234" t="s">
        <v>1477</v>
      </c>
      <c r="J64" s="235" t="s">
        <v>1364</v>
      </c>
      <c r="K64" s="235" t="s">
        <v>1053</v>
      </c>
      <c r="L64" s="236">
        <v>1</v>
      </c>
      <c r="M64" s="255">
        <v>0.25</v>
      </c>
      <c r="N64" s="238" t="s">
        <v>64</v>
      </c>
      <c r="O64" s="239">
        <v>50000</v>
      </c>
      <c r="P64" s="238">
        <f t="shared" si="58"/>
        <v>2.8675000000000002</v>
      </c>
      <c r="Q64" s="238">
        <f t="shared" si="59"/>
        <v>0.71687500000000004</v>
      </c>
      <c r="R64" s="238">
        <f>(P64+Q64)*48.12%</f>
        <v>1.7248012499999998</v>
      </c>
      <c r="S64" s="238">
        <f t="shared" si="60"/>
        <v>5.3091762500000002</v>
      </c>
      <c r="T64" s="240">
        <v>59</v>
      </c>
      <c r="U64" s="238">
        <f t="shared" si="40"/>
        <v>50.862068965517246</v>
      </c>
      <c r="V64" s="241">
        <f t="shared" si="41"/>
        <v>30.517241379310345</v>
      </c>
      <c r="W64" s="242">
        <f t="shared" si="42"/>
        <v>0.17397300706214688</v>
      </c>
      <c r="X64" s="243">
        <f t="shared" si="43"/>
        <v>0.82602699293785309</v>
      </c>
      <c r="Y64" s="244">
        <f t="shared" si="44"/>
        <v>0.4</v>
      </c>
      <c r="Z64" s="245" t="s">
        <v>638</v>
      </c>
      <c r="AA64" s="246" t="s">
        <v>1371</v>
      </c>
      <c r="AB64" s="234">
        <v>6</v>
      </c>
      <c r="AC64" s="234">
        <v>12</v>
      </c>
      <c r="AD64" s="465">
        <v>46315</v>
      </c>
      <c r="AE64" s="286"/>
      <c r="AG64" s="247">
        <v>39</v>
      </c>
      <c r="AH64" s="248">
        <f t="shared" si="45"/>
        <v>33.620689655172413</v>
      </c>
      <c r="AI64" s="249">
        <f t="shared" si="46"/>
        <v>0.15791396025641027</v>
      </c>
      <c r="AJ64" s="250">
        <f t="shared" si="47"/>
        <v>0.84208603974358975</v>
      </c>
      <c r="AK64" s="251">
        <f t="shared" si="48"/>
        <v>0</v>
      </c>
      <c r="BA64" s="252">
        <v>1</v>
      </c>
      <c r="BB64" s="252">
        <v>1</v>
      </c>
      <c r="BC64" s="252">
        <v>1</v>
      </c>
      <c r="BD64" s="252">
        <v>1</v>
      </c>
      <c r="BE64" s="252">
        <v>1</v>
      </c>
      <c r="BF64" s="254">
        <v>1</v>
      </c>
      <c r="BG64" s="254">
        <v>1</v>
      </c>
      <c r="BH64" s="254"/>
      <c r="BI64" s="254"/>
      <c r="BJ64" s="252">
        <v>8</v>
      </c>
      <c r="BK64" s="252">
        <f t="shared" si="49"/>
        <v>7</v>
      </c>
      <c r="BL64" s="253">
        <f t="shared" si="50"/>
        <v>0.875</v>
      </c>
      <c r="BR64" s="353" t="s">
        <v>1387</v>
      </c>
      <c r="BS64" s="334"/>
      <c r="BT64" s="81" t="s">
        <v>86</v>
      </c>
      <c r="CJ64" s="358">
        <v>46174</v>
      </c>
      <c r="CK64" s="358">
        <v>46174</v>
      </c>
      <c r="CL64" s="358">
        <f>CK64+15</f>
        <v>46189</v>
      </c>
      <c r="CM64" s="278"/>
      <c r="CN64" s="358">
        <f>CL64+14</f>
        <v>46203</v>
      </c>
      <c r="CO64" s="278"/>
      <c r="CP64" s="268">
        <f>CN64+35</f>
        <v>46238</v>
      </c>
      <c r="CQ64" s="268"/>
      <c r="CR64" s="267"/>
      <c r="CS64" s="267"/>
      <c r="CT64" s="267"/>
      <c r="CU64" s="267"/>
      <c r="CV64" s="267"/>
      <c r="CW64" s="267"/>
      <c r="CX64" s="267"/>
      <c r="CY64" s="267"/>
      <c r="CZ64" s="267"/>
      <c r="DA64" s="267"/>
    </row>
    <row r="65" spans="1:105" ht="69" customHeight="1">
      <c r="A65" s="230">
        <v>49</v>
      </c>
      <c r="B65" s="231">
        <v>46266</v>
      </c>
      <c r="C65" s="231">
        <v>46266</v>
      </c>
      <c r="D65" s="230" t="s">
        <v>77</v>
      </c>
      <c r="E65" s="232">
        <v>7502327992226</v>
      </c>
      <c r="F65" s="230" t="s">
        <v>1478</v>
      </c>
      <c r="G65" s="233" t="s">
        <v>1479</v>
      </c>
      <c r="H65" s="234"/>
      <c r="I65" s="234" t="s">
        <v>1480</v>
      </c>
      <c r="J65" s="234" t="s">
        <v>1364</v>
      </c>
      <c r="K65" s="235" t="s">
        <v>1053</v>
      </c>
      <c r="L65" s="236">
        <v>1</v>
      </c>
      <c r="M65" s="255">
        <v>0.17</v>
      </c>
      <c r="N65" s="238" t="s">
        <v>64</v>
      </c>
      <c r="O65" s="239">
        <v>5000</v>
      </c>
      <c r="P65" s="238">
        <f t="shared" si="58"/>
        <v>1.9499000000000002</v>
      </c>
      <c r="Q65" s="238">
        <f t="shared" si="59"/>
        <v>0.48747500000000005</v>
      </c>
      <c r="R65" s="238">
        <f>(P65+Q65)*9.66%</f>
        <v>0.23545042500000005</v>
      </c>
      <c r="S65" s="238">
        <f t="shared" si="60"/>
        <v>2.6728254250000001</v>
      </c>
      <c r="T65" s="240">
        <v>29</v>
      </c>
      <c r="U65" s="238">
        <f t="shared" si="40"/>
        <v>25</v>
      </c>
      <c r="V65" s="241">
        <f t="shared" si="41"/>
        <v>15</v>
      </c>
      <c r="W65" s="242">
        <f t="shared" si="42"/>
        <v>0.17818836166666668</v>
      </c>
      <c r="X65" s="243">
        <f t="shared" si="43"/>
        <v>0.82181163833333337</v>
      </c>
      <c r="Y65" s="244">
        <f t="shared" si="44"/>
        <v>0.4</v>
      </c>
      <c r="Z65" s="245" t="s">
        <v>638</v>
      </c>
      <c r="AA65" s="246" t="s">
        <v>1371</v>
      </c>
      <c r="AB65" s="234">
        <v>40</v>
      </c>
      <c r="AC65" s="234">
        <v>240</v>
      </c>
      <c r="AD65" s="234"/>
      <c r="AE65" s="286"/>
      <c r="AG65" s="247">
        <v>19</v>
      </c>
      <c r="AH65" s="248">
        <f t="shared" si="45"/>
        <v>16.379310344827587</v>
      </c>
      <c r="AI65" s="249">
        <f t="shared" si="46"/>
        <v>0.16318302594736842</v>
      </c>
      <c r="AJ65" s="250">
        <f t="shared" si="47"/>
        <v>0.83681697405263156</v>
      </c>
      <c r="AK65" s="251">
        <f t="shared" si="48"/>
        <v>0</v>
      </c>
      <c r="BA65" s="252">
        <v>1</v>
      </c>
      <c r="BB65" s="252">
        <v>1</v>
      </c>
      <c r="BC65" s="252">
        <v>1</v>
      </c>
      <c r="BD65" s="252">
        <v>1</v>
      </c>
      <c r="BE65" s="252">
        <v>1</v>
      </c>
      <c r="BF65" s="254">
        <v>1</v>
      </c>
      <c r="BG65" s="254">
        <v>1</v>
      </c>
      <c r="BH65" s="254"/>
      <c r="BI65" s="254"/>
      <c r="BJ65" s="252">
        <v>8</v>
      </c>
      <c r="BK65" s="252">
        <f t="shared" si="49"/>
        <v>7</v>
      </c>
      <c r="BL65" s="253">
        <f t="shared" si="50"/>
        <v>0.875</v>
      </c>
      <c r="BR65" s="353" t="s">
        <v>1387</v>
      </c>
      <c r="BS65" s="334"/>
      <c r="BT65" s="81" t="s">
        <v>86</v>
      </c>
      <c r="CJ65" s="278"/>
      <c r="CK65" s="278"/>
      <c r="CL65" s="278"/>
      <c r="CM65" s="278"/>
      <c r="CN65" s="358"/>
      <c r="CO65" s="278"/>
      <c r="CP65" s="268"/>
      <c r="CQ65" s="268"/>
      <c r="CR65" s="267"/>
      <c r="CS65" s="267"/>
      <c r="CT65" s="267"/>
      <c r="CU65" s="267"/>
      <c r="CV65" s="267"/>
      <c r="CW65" s="267"/>
      <c r="CX65" s="267"/>
      <c r="CY65" s="267"/>
      <c r="CZ65" s="267"/>
      <c r="DA65" s="267"/>
    </row>
    <row r="66" spans="1:105" ht="69" customHeight="1">
      <c r="A66" s="230">
        <v>50</v>
      </c>
      <c r="B66" s="231">
        <v>46266</v>
      </c>
      <c r="C66" s="231">
        <v>46266</v>
      </c>
      <c r="D66" s="230" t="s">
        <v>77</v>
      </c>
      <c r="E66" s="232">
        <v>7502327992240</v>
      </c>
      <c r="F66" s="230" t="s">
        <v>1481</v>
      </c>
      <c r="G66" s="233" t="s">
        <v>1482</v>
      </c>
      <c r="H66" s="234"/>
      <c r="I66" s="234" t="s">
        <v>1483</v>
      </c>
      <c r="J66" s="234" t="s">
        <v>1364</v>
      </c>
      <c r="K66" s="235" t="s">
        <v>1053</v>
      </c>
      <c r="L66" s="236">
        <v>1</v>
      </c>
      <c r="M66" s="255">
        <v>0.6</v>
      </c>
      <c r="N66" s="238" t="s">
        <v>64</v>
      </c>
      <c r="O66" s="239">
        <v>10000</v>
      </c>
      <c r="P66" s="238">
        <f t="shared" si="58"/>
        <v>6.8820000000000006</v>
      </c>
      <c r="Q66" s="238">
        <f t="shared" si="59"/>
        <v>1.7205000000000001</v>
      </c>
      <c r="R66" s="238">
        <f>(P66+Q66)*12%</f>
        <v>1.0323</v>
      </c>
      <c r="S66" s="238">
        <f t="shared" si="60"/>
        <v>9.6348000000000003</v>
      </c>
      <c r="T66" s="240">
        <v>149</v>
      </c>
      <c r="U66" s="238">
        <f t="shared" si="40"/>
        <v>128.44827586206898</v>
      </c>
      <c r="V66" s="241">
        <f t="shared" si="41"/>
        <v>77.068965517241381</v>
      </c>
      <c r="W66" s="242">
        <f t="shared" si="42"/>
        <v>0.12501530201342281</v>
      </c>
      <c r="X66" s="243">
        <f t="shared" si="43"/>
        <v>0.87498469798657719</v>
      </c>
      <c r="Y66" s="244">
        <f t="shared" si="44"/>
        <v>0.4</v>
      </c>
      <c r="Z66" s="245" t="s">
        <v>638</v>
      </c>
      <c r="AA66" s="246" t="s">
        <v>1371</v>
      </c>
      <c r="AB66" s="234">
        <v>4</v>
      </c>
      <c r="AC66" s="234">
        <v>48</v>
      </c>
      <c r="AD66" s="465">
        <v>46332</v>
      </c>
      <c r="AE66" s="286"/>
      <c r="AG66" s="247">
        <v>99</v>
      </c>
      <c r="AH66" s="248">
        <f t="shared" si="45"/>
        <v>85.344827586206904</v>
      </c>
      <c r="AI66" s="249">
        <f t="shared" si="46"/>
        <v>0.11289260606060605</v>
      </c>
      <c r="AJ66" s="250">
        <f t="shared" si="47"/>
        <v>0.88710739393939397</v>
      </c>
      <c r="AK66" s="251">
        <f t="shared" si="48"/>
        <v>0</v>
      </c>
      <c r="BA66" s="252">
        <v>1</v>
      </c>
      <c r="BB66" s="252">
        <v>1</v>
      </c>
      <c r="BC66" s="252">
        <v>1</v>
      </c>
      <c r="BD66" s="252">
        <v>1</v>
      </c>
      <c r="BE66" s="252">
        <v>1</v>
      </c>
      <c r="BF66" s="254">
        <v>1</v>
      </c>
      <c r="BG66" s="254"/>
      <c r="BH66" s="254"/>
      <c r="BI66" s="254"/>
      <c r="BJ66" s="252">
        <v>8</v>
      </c>
      <c r="BK66" s="252">
        <f t="shared" si="49"/>
        <v>6</v>
      </c>
      <c r="BL66" s="253">
        <f t="shared" si="50"/>
        <v>0.75</v>
      </c>
      <c r="BR66" s="353" t="s">
        <v>1484</v>
      </c>
      <c r="BS66" s="334"/>
      <c r="BT66" s="81" t="s">
        <v>627</v>
      </c>
      <c r="CJ66" s="384"/>
      <c r="CK66" s="384"/>
      <c r="CL66" s="384"/>
      <c r="CM66" s="384"/>
      <c r="CN66" s="358"/>
      <c r="CO66" s="384"/>
      <c r="CP66" s="385"/>
      <c r="CQ66" s="385"/>
      <c r="CR66" s="386"/>
      <c r="CS66" s="386"/>
      <c r="CT66" s="386"/>
      <c r="CU66" s="386"/>
      <c r="CV66" s="386"/>
      <c r="CW66" s="386"/>
      <c r="CX66" s="386"/>
      <c r="CY66" s="386"/>
      <c r="CZ66" s="386"/>
      <c r="DA66" s="386"/>
    </row>
    <row r="67" spans="1:105" ht="69" customHeight="1">
      <c r="A67" s="230">
        <v>51</v>
      </c>
      <c r="B67" s="231">
        <v>46266</v>
      </c>
      <c r="C67" s="231">
        <v>46266</v>
      </c>
      <c r="D67" s="230" t="s">
        <v>77</v>
      </c>
      <c r="E67" s="232">
        <v>7502327992257</v>
      </c>
      <c r="F67" s="230" t="s">
        <v>1485</v>
      </c>
      <c r="G67" s="233" t="s">
        <v>1486</v>
      </c>
      <c r="H67" s="234"/>
      <c r="I67" s="234" t="s">
        <v>1483</v>
      </c>
      <c r="J67" s="234" t="s">
        <v>1364</v>
      </c>
      <c r="K67" s="235" t="s">
        <v>1053</v>
      </c>
      <c r="L67" s="236">
        <v>1</v>
      </c>
      <c r="M67" s="255">
        <v>0.6</v>
      </c>
      <c r="N67" s="238" t="s">
        <v>64</v>
      </c>
      <c r="O67" s="239">
        <v>10000</v>
      </c>
      <c r="P67" s="238">
        <f t="shared" si="58"/>
        <v>6.8820000000000006</v>
      </c>
      <c r="Q67" s="238">
        <f t="shared" si="59"/>
        <v>1.7205000000000001</v>
      </c>
      <c r="R67" s="238">
        <f>(P67+Q67)*12%</f>
        <v>1.0323</v>
      </c>
      <c r="S67" s="238">
        <f t="shared" si="60"/>
        <v>9.6348000000000003</v>
      </c>
      <c r="T67" s="240">
        <v>149</v>
      </c>
      <c r="U67" s="238">
        <f t="shared" si="40"/>
        <v>128.44827586206898</v>
      </c>
      <c r="V67" s="241">
        <f t="shared" si="41"/>
        <v>77.068965517241381</v>
      </c>
      <c r="W67" s="242">
        <f t="shared" si="42"/>
        <v>0.12501530201342281</v>
      </c>
      <c r="X67" s="243">
        <f t="shared" si="43"/>
        <v>0.87498469798657719</v>
      </c>
      <c r="Y67" s="244">
        <f t="shared" si="44"/>
        <v>0.4</v>
      </c>
      <c r="Z67" s="245" t="s">
        <v>638</v>
      </c>
      <c r="AA67" s="246" t="s">
        <v>1371</v>
      </c>
      <c r="AB67" s="234">
        <v>4</v>
      </c>
      <c r="AC67" s="234">
        <v>48</v>
      </c>
      <c r="AD67" s="465">
        <v>46332</v>
      </c>
      <c r="AE67" s="286"/>
      <c r="AG67" s="247">
        <v>99</v>
      </c>
      <c r="AH67" s="248">
        <f t="shared" si="45"/>
        <v>85.344827586206904</v>
      </c>
      <c r="AI67" s="249">
        <f t="shared" si="46"/>
        <v>0.11289260606060605</v>
      </c>
      <c r="AJ67" s="250">
        <f t="shared" si="47"/>
        <v>0.88710739393939397</v>
      </c>
      <c r="AK67" s="251">
        <f t="shared" si="48"/>
        <v>0</v>
      </c>
      <c r="BA67" s="252">
        <v>1</v>
      </c>
      <c r="BB67" s="252">
        <v>1</v>
      </c>
      <c r="BC67" s="252">
        <v>1</v>
      </c>
      <c r="BD67" s="252">
        <v>1</v>
      </c>
      <c r="BE67" s="252">
        <v>1</v>
      </c>
      <c r="BF67" s="254">
        <v>1</v>
      </c>
      <c r="BG67" s="254">
        <v>1</v>
      </c>
      <c r="BH67" s="254"/>
      <c r="BI67" s="254"/>
      <c r="BJ67" s="252">
        <v>8</v>
      </c>
      <c r="BK67" s="252">
        <f t="shared" si="49"/>
        <v>7</v>
      </c>
      <c r="BL67" s="253">
        <f t="shared" si="50"/>
        <v>0.875</v>
      </c>
      <c r="BR67" s="353" t="s">
        <v>1387</v>
      </c>
      <c r="BS67" s="334"/>
      <c r="BT67" s="81" t="s">
        <v>86</v>
      </c>
      <c r="CJ67" s="379"/>
      <c r="CK67" s="379"/>
      <c r="CL67" s="379"/>
      <c r="CM67" s="379"/>
      <c r="CN67" s="358"/>
      <c r="CO67" s="379"/>
      <c r="CP67" s="380"/>
      <c r="CQ67" s="380"/>
      <c r="CR67" s="381"/>
      <c r="CS67" s="381"/>
      <c r="CT67" s="381"/>
      <c r="CU67" s="381"/>
      <c r="CV67" s="381"/>
      <c r="CW67" s="381"/>
      <c r="CX67" s="381"/>
      <c r="CY67" s="381"/>
      <c r="CZ67" s="381"/>
      <c r="DA67" s="381"/>
    </row>
    <row r="68" spans="1:105" ht="69" customHeight="1">
      <c r="A68" s="230">
        <v>52</v>
      </c>
      <c r="B68" s="231">
        <v>46266</v>
      </c>
      <c r="C68" s="231">
        <v>46266</v>
      </c>
      <c r="D68" s="230" t="s">
        <v>77</v>
      </c>
      <c r="E68" s="232">
        <v>7502327992264</v>
      </c>
      <c r="F68" s="230" t="s">
        <v>1487</v>
      </c>
      <c r="G68" s="233" t="s">
        <v>1488</v>
      </c>
      <c r="H68" s="234"/>
      <c r="I68" s="234">
        <v>1</v>
      </c>
      <c r="J68" s="234" t="s">
        <v>1364</v>
      </c>
      <c r="K68" s="235" t="s">
        <v>1053</v>
      </c>
      <c r="L68" s="236">
        <v>1</v>
      </c>
      <c r="M68" s="255">
        <f t="shared" ref="M68:M75" si="69">1/12</f>
        <v>8.3333333333333329E-2</v>
      </c>
      <c r="N68" s="238" t="s">
        <v>64</v>
      </c>
      <c r="O68" s="239">
        <v>30000</v>
      </c>
      <c r="P68" s="238">
        <f t="shared" si="58"/>
        <v>0.95583333333333331</v>
      </c>
      <c r="Q68" s="238">
        <f t="shared" si="59"/>
        <v>0.23895833333333333</v>
      </c>
      <c r="R68" s="238">
        <f t="shared" ref="R68:R75" si="70">(P68+Q68)*7.79%</f>
        <v>9.3074270833333334E-2</v>
      </c>
      <c r="S68" s="238">
        <f t="shared" si="60"/>
        <v>1.2878659374999999</v>
      </c>
      <c r="T68" s="240">
        <v>19</v>
      </c>
      <c r="U68" s="238">
        <f t="shared" si="40"/>
        <v>16.379310344827587</v>
      </c>
      <c r="V68" s="241">
        <f t="shared" si="41"/>
        <v>9.8275862068965516</v>
      </c>
      <c r="W68" s="242">
        <f t="shared" si="42"/>
        <v>0.13104600767543859</v>
      </c>
      <c r="X68" s="243">
        <f t="shared" si="43"/>
        <v>0.86895399232456139</v>
      </c>
      <c r="Y68" s="244">
        <f t="shared" si="44"/>
        <v>0.4</v>
      </c>
      <c r="Z68" s="245" t="s">
        <v>638</v>
      </c>
      <c r="AA68" s="246" t="s">
        <v>1371</v>
      </c>
      <c r="AB68" s="234">
        <v>12</v>
      </c>
      <c r="AC68" s="234">
        <v>480</v>
      </c>
      <c r="AD68" s="465">
        <v>46282</v>
      </c>
      <c r="AE68" s="286"/>
      <c r="AG68" s="247">
        <v>9</v>
      </c>
      <c r="AH68" s="248">
        <f t="shared" si="45"/>
        <v>7.7586206896551726</v>
      </c>
      <c r="AI68" s="249">
        <f t="shared" si="46"/>
        <v>0.16599160972222221</v>
      </c>
      <c r="AJ68" s="250">
        <f t="shared" si="47"/>
        <v>0.83400839027777773</v>
      </c>
      <c r="AK68" s="251">
        <f t="shared" si="48"/>
        <v>0</v>
      </c>
      <c r="BA68" s="252">
        <v>1</v>
      </c>
      <c r="BB68" s="252">
        <v>1</v>
      </c>
      <c r="BC68" s="252">
        <v>1</v>
      </c>
      <c r="BD68" s="252">
        <v>1</v>
      </c>
      <c r="BE68" s="252">
        <v>1</v>
      </c>
      <c r="BF68" s="254">
        <v>1</v>
      </c>
      <c r="BG68" s="254">
        <v>1</v>
      </c>
      <c r="BH68" s="254"/>
      <c r="BI68" s="254"/>
      <c r="BJ68" s="252">
        <v>8</v>
      </c>
      <c r="BK68" s="252">
        <f t="shared" si="49"/>
        <v>7</v>
      </c>
      <c r="BL68" s="253">
        <f t="shared" si="50"/>
        <v>0.875</v>
      </c>
      <c r="BR68" s="353" t="s">
        <v>1387</v>
      </c>
      <c r="BS68" s="334"/>
      <c r="BT68" s="81" t="s">
        <v>86</v>
      </c>
      <c r="CJ68" s="358">
        <v>46155</v>
      </c>
      <c r="CK68" s="358">
        <v>46155</v>
      </c>
      <c r="CL68" s="387">
        <f>CK68+15</f>
        <v>46170</v>
      </c>
      <c r="CM68" s="379"/>
      <c r="CN68" s="358">
        <f>CL68+14</f>
        <v>46184</v>
      </c>
      <c r="CO68" s="379"/>
      <c r="CP68" s="358">
        <f>CN68+30</f>
        <v>46214</v>
      </c>
      <c r="CQ68" s="380"/>
      <c r="CR68" s="388">
        <f>CP68-12</f>
        <v>46202</v>
      </c>
      <c r="CS68" s="381"/>
      <c r="CT68" s="388">
        <f>CP68+7</f>
        <v>46221</v>
      </c>
      <c r="CU68" s="381"/>
      <c r="CV68" s="388">
        <f>CT68+7</f>
        <v>46228</v>
      </c>
      <c r="CW68" s="381"/>
      <c r="CX68" s="388">
        <f>CV68+44</f>
        <v>46272</v>
      </c>
      <c r="CY68" s="381"/>
      <c r="CZ68" s="388">
        <f>CX68+10</f>
        <v>46282</v>
      </c>
      <c r="DA68" s="381"/>
    </row>
    <row r="69" spans="1:105" ht="69" customHeight="1">
      <c r="A69" s="230">
        <v>53</v>
      </c>
      <c r="B69" s="231">
        <v>46266</v>
      </c>
      <c r="C69" s="231">
        <v>46266</v>
      </c>
      <c r="D69" s="230" t="s">
        <v>77</v>
      </c>
      <c r="E69" s="232">
        <v>7502327992271</v>
      </c>
      <c r="F69" s="230" t="s">
        <v>1489</v>
      </c>
      <c r="G69" s="233" t="s">
        <v>1490</v>
      </c>
      <c r="H69" s="234"/>
      <c r="I69" s="234">
        <v>1</v>
      </c>
      <c r="J69" s="234" t="s">
        <v>1364</v>
      </c>
      <c r="K69" s="235" t="s">
        <v>1053</v>
      </c>
      <c r="L69" s="236">
        <v>1</v>
      </c>
      <c r="M69" s="255">
        <f t="shared" si="69"/>
        <v>8.3333333333333329E-2</v>
      </c>
      <c r="N69" s="238" t="s">
        <v>64</v>
      </c>
      <c r="O69" s="239">
        <v>30000</v>
      </c>
      <c r="P69" s="238">
        <f t="shared" si="58"/>
        <v>0.95583333333333331</v>
      </c>
      <c r="Q69" s="238">
        <f t="shared" si="59"/>
        <v>0.23895833333333333</v>
      </c>
      <c r="R69" s="238">
        <f t="shared" si="70"/>
        <v>9.3074270833333334E-2</v>
      </c>
      <c r="S69" s="238">
        <f t="shared" si="60"/>
        <v>1.2878659374999999</v>
      </c>
      <c r="T69" s="240">
        <v>19</v>
      </c>
      <c r="U69" s="238">
        <f t="shared" si="40"/>
        <v>16.379310344827587</v>
      </c>
      <c r="V69" s="241">
        <f t="shared" si="41"/>
        <v>9.8275862068965516</v>
      </c>
      <c r="W69" s="242">
        <f t="shared" si="42"/>
        <v>0.13104600767543859</v>
      </c>
      <c r="X69" s="243">
        <f t="shared" si="43"/>
        <v>0.86895399232456139</v>
      </c>
      <c r="Y69" s="244">
        <f t="shared" si="44"/>
        <v>0.4</v>
      </c>
      <c r="Z69" s="245" t="s">
        <v>638</v>
      </c>
      <c r="AA69" s="246" t="s">
        <v>1371</v>
      </c>
      <c r="AB69" s="234">
        <v>12</v>
      </c>
      <c r="AC69" s="234">
        <v>480</v>
      </c>
      <c r="AD69" s="465">
        <v>46282</v>
      </c>
      <c r="AE69" s="286"/>
      <c r="AG69" s="247">
        <v>9</v>
      </c>
      <c r="AH69" s="248">
        <f t="shared" si="45"/>
        <v>7.7586206896551726</v>
      </c>
      <c r="AI69" s="249">
        <f t="shared" si="46"/>
        <v>0.16599160972222221</v>
      </c>
      <c r="AJ69" s="250">
        <f t="shared" si="47"/>
        <v>0.83400839027777773</v>
      </c>
      <c r="AK69" s="251">
        <f t="shared" si="48"/>
        <v>0</v>
      </c>
      <c r="BA69" s="252">
        <v>1</v>
      </c>
      <c r="BB69" s="252">
        <v>1</v>
      </c>
      <c r="BC69" s="252">
        <v>1</v>
      </c>
      <c r="BD69" s="252">
        <v>1</v>
      </c>
      <c r="BE69" s="252">
        <v>1</v>
      </c>
      <c r="BF69" s="254">
        <v>1</v>
      </c>
      <c r="BG69" s="254">
        <v>1</v>
      </c>
      <c r="BH69" s="254"/>
      <c r="BI69" s="254"/>
      <c r="BJ69" s="252">
        <v>8</v>
      </c>
      <c r="BK69" s="252">
        <f t="shared" si="49"/>
        <v>7</v>
      </c>
      <c r="BL69" s="253">
        <f t="shared" si="50"/>
        <v>0.875</v>
      </c>
      <c r="BR69" s="353" t="s">
        <v>1387</v>
      </c>
      <c r="BS69" s="334"/>
      <c r="BT69" s="81" t="s">
        <v>86</v>
      </c>
      <c r="CJ69" s="382"/>
      <c r="CK69" s="382"/>
      <c r="CL69" s="382"/>
      <c r="CM69" s="382"/>
      <c r="CN69" s="358"/>
      <c r="CO69" s="382"/>
      <c r="CP69" s="383"/>
      <c r="CQ69" s="383"/>
      <c r="CR69" s="383"/>
      <c r="CS69" s="383"/>
      <c r="CT69" s="383"/>
      <c r="CU69" s="383"/>
      <c r="CV69" s="383"/>
      <c r="CW69" s="383"/>
      <c r="CX69" s="383"/>
      <c r="CY69" s="383"/>
      <c r="CZ69" s="383"/>
      <c r="DA69" s="383"/>
    </row>
    <row r="70" spans="1:105" ht="69" customHeight="1">
      <c r="A70" s="230">
        <v>54</v>
      </c>
      <c r="B70" s="231">
        <v>46266</v>
      </c>
      <c r="C70" s="231">
        <v>46266</v>
      </c>
      <c r="D70" s="230" t="s">
        <v>77</v>
      </c>
      <c r="E70" s="232">
        <v>7502327992288</v>
      </c>
      <c r="F70" s="230" t="s">
        <v>1491</v>
      </c>
      <c r="G70" s="233" t="s">
        <v>1492</v>
      </c>
      <c r="H70" s="234"/>
      <c r="I70" s="234">
        <v>1</v>
      </c>
      <c r="J70" s="234" t="s">
        <v>1364</v>
      </c>
      <c r="K70" s="235" t="s">
        <v>1053</v>
      </c>
      <c r="L70" s="236">
        <v>1</v>
      </c>
      <c r="M70" s="255">
        <f t="shared" si="69"/>
        <v>8.3333333333333329E-2</v>
      </c>
      <c r="N70" s="238" t="s">
        <v>64</v>
      </c>
      <c r="O70" s="239">
        <v>30000</v>
      </c>
      <c r="P70" s="238">
        <f t="shared" si="58"/>
        <v>0.95583333333333331</v>
      </c>
      <c r="Q70" s="238">
        <f t="shared" si="59"/>
        <v>0.23895833333333333</v>
      </c>
      <c r="R70" s="238">
        <f t="shared" si="70"/>
        <v>9.3074270833333334E-2</v>
      </c>
      <c r="S70" s="238">
        <f t="shared" si="60"/>
        <v>1.2878659374999999</v>
      </c>
      <c r="T70" s="240">
        <v>19</v>
      </c>
      <c r="U70" s="238">
        <f t="shared" si="40"/>
        <v>16.379310344827587</v>
      </c>
      <c r="V70" s="241">
        <f t="shared" si="41"/>
        <v>9.8275862068965516</v>
      </c>
      <c r="W70" s="242">
        <f t="shared" si="42"/>
        <v>0.13104600767543859</v>
      </c>
      <c r="X70" s="243">
        <f t="shared" si="43"/>
        <v>0.86895399232456139</v>
      </c>
      <c r="Y70" s="244">
        <f t="shared" si="44"/>
        <v>0.4</v>
      </c>
      <c r="Z70" s="245" t="s">
        <v>638</v>
      </c>
      <c r="AA70" s="246" t="s">
        <v>1371</v>
      </c>
      <c r="AB70" s="234">
        <v>12</v>
      </c>
      <c r="AC70" s="234">
        <v>480</v>
      </c>
      <c r="AD70" s="465">
        <v>46282</v>
      </c>
      <c r="AE70" s="286"/>
      <c r="AG70" s="247">
        <v>9</v>
      </c>
      <c r="AH70" s="248">
        <f t="shared" si="45"/>
        <v>7.7586206896551726</v>
      </c>
      <c r="AI70" s="249">
        <f t="shared" si="46"/>
        <v>0.16599160972222221</v>
      </c>
      <c r="AJ70" s="250">
        <f t="shared" si="47"/>
        <v>0.83400839027777773</v>
      </c>
      <c r="AK70" s="251">
        <f t="shared" si="48"/>
        <v>0</v>
      </c>
      <c r="BA70" s="252">
        <v>1</v>
      </c>
      <c r="BB70" s="252">
        <v>1</v>
      </c>
      <c r="BC70" s="252">
        <v>1</v>
      </c>
      <c r="BD70" s="252">
        <v>1</v>
      </c>
      <c r="BE70" s="252">
        <v>1</v>
      </c>
      <c r="BF70" s="254">
        <v>1</v>
      </c>
      <c r="BG70" s="254">
        <v>1</v>
      </c>
      <c r="BH70" s="254"/>
      <c r="BI70" s="254"/>
      <c r="BJ70" s="252">
        <v>8</v>
      </c>
      <c r="BK70" s="252">
        <f t="shared" si="49"/>
        <v>7</v>
      </c>
      <c r="BL70" s="253">
        <f t="shared" si="50"/>
        <v>0.875</v>
      </c>
      <c r="BR70" s="353" t="s">
        <v>1387</v>
      </c>
      <c r="BS70" s="334"/>
      <c r="BT70" s="81" t="s">
        <v>86</v>
      </c>
      <c r="CJ70" s="382"/>
      <c r="CK70" s="382"/>
      <c r="CL70" s="382"/>
      <c r="CM70" s="382"/>
      <c r="CN70" s="358"/>
      <c r="CO70" s="382"/>
      <c r="CP70" s="383"/>
      <c r="CQ70" s="383"/>
      <c r="CR70" s="383"/>
      <c r="CS70" s="383"/>
      <c r="CT70" s="383"/>
      <c r="CU70" s="383"/>
      <c r="CV70" s="383"/>
      <c r="CW70" s="383"/>
      <c r="CX70" s="383"/>
      <c r="CY70" s="383"/>
      <c r="CZ70" s="383"/>
      <c r="DA70" s="383"/>
    </row>
    <row r="71" spans="1:105" ht="69" customHeight="1">
      <c r="A71" s="230">
        <v>55</v>
      </c>
      <c r="B71" s="231">
        <v>46266</v>
      </c>
      <c r="C71" s="231">
        <v>46266</v>
      </c>
      <c r="D71" s="230" t="s">
        <v>77</v>
      </c>
      <c r="E71" s="232">
        <v>7502327992295</v>
      </c>
      <c r="F71" s="230" t="s">
        <v>1493</v>
      </c>
      <c r="G71" s="233" t="s">
        <v>1494</v>
      </c>
      <c r="H71" s="234"/>
      <c r="I71" s="234">
        <v>1</v>
      </c>
      <c r="J71" s="234" t="s">
        <v>1364</v>
      </c>
      <c r="K71" s="235" t="s">
        <v>1053</v>
      </c>
      <c r="L71" s="236">
        <v>1</v>
      </c>
      <c r="M71" s="255">
        <f t="shared" si="69"/>
        <v>8.3333333333333329E-2</v>
      </c>
      <c r="N71" s="238" t="s">
        <v>64</v>
      </c>
      <c r="O71" s="239">
        <v>30000</v>
      </c>
      <c r="P71" s="238">
        <f t="shared" si="58"/>
        <v>0.95583333333333331</v>
      </c>
      <c r="Q71" s="238">
        <f t="shared" si="59"/>
        <v>0.23895833333333333</v>
      </c>
      <c r="R71" s="238">
        <f t="shared" si="70"/>
        <v>9.3074270833333334E-2</v>
      </c>
      <c r="S71" s="238">
        <f t="shared" si="60"/>
        <v>1.2878659374999999</v>
      </c>
      <c r="T71" s="240">
        <v>19</v>
      </c>
      <c r="U71" s="238">
        <f t="shared" si="40"/>
        <v>16.379310344827587</v>
      </c>
      <c r="V71" s="241">
        <f t="shared" si="41"/>
        <v>9.8275862068965516</v>
      </c>
      <c r="W71" s="242">
        <f t="shared" si="42"/>
        <v>0.13104600767543859</v>
      </c>
      <c r="X71" s="243">
        <f t="shared" si="43"/>
        <v>0.86895399232456139</v>
      </c>
      <c r="Y71" s="244">
        <f t="shared" si="44"/>
        <v>0.4</v>
      </c>
      <c r="Z71" s="245" t="s">
        <v>638</v>
      </c>
      <c r="AA71" s="246" t="s">
        <v>1371</v>
      </c>
      <c r="AB71" s="234">
        <v>12</v>
      </c>
      <c r="AC71" s="234">
        <v>480</v>
      </c>
      <c r="AD71" s="465">
        <v>46282</v>
      </c>
      <c r="AE71" s="286"/>
      <c r="AG71" s="247">
        <v>9</v>
      </c>
      <c r="AH71" s="248">
        <f t="shared" si="45"/>
        <v>7.7586206896551726</v>
      </c>
      <c r="AI71" s="249">
        <f t="shared" si="46"/>
        <v>0.16599160972222221</v>
      </c>
      <c r="AJ71" s="250">
        <f t="shared" si="47"/>
        <v>0.83400839027777773</v>
      </c>
      <c r="AK71" s="251">
        <f t="shared" si="48"/>
        <v>0</v>
      </c>
      <c r="BA71" s="252">
        <v>1</v>
      </c>
      <c r="BB71" s="252">
        <v>1</v>
      </c>
      <c r="BC71" s="252">
        <v>1</v>
      </c>
      <c r="BD71" s="252">
        <v>1</v>
      </c>
      <c r="BE71" s="252">
        <v>1</v>
      </c>
      <c r="BF71" s="254">
        <v>1</v>
      </c>
      <c r="BG71" s="254">
        <v>1</v>
      </c>
      <c r="BH71" s="254"/>
      <c r="BI71" s="254"/>
      <c r="BJ71" s="252">
        <v>8</v>
      </c>
      <c r="BK71" s="252">
        <f t="shared" si="49"/>
        <v>7</v>
      </c>
      <c r="BL71" s="253">
        <f t="shared" si="50"/>
        <v>0.875</v>
      </c>
      <c r="BR71" s="353" t="s">
        <v>1387</v>
      </c>
      <c r="BS71" s="334"/>
      <c r="BT71" s="81" t="s">
        <v>86</v>
      </c>
      <c r="CJ71" s="382"/>
      <c r="CK71" s="382"/>
      <c r="CL71" s="382"/>
      <c r="CM71" s="382"/>
      <c r="CN71" s="358"/>
      <c r="CO71" s="382"/>
      <c r="CP71" s="383"/>
      <c r="CQ71" s="383"/>
      <c r="CR71" s="383"/>
      <c r="CS71" s="383"/>
      <c r="CT71" s="383"/>
      <c r="CU71" s="383"/>
      <c r="CV71" s="383"/>
      <c r="CW71" s="383"/>
      <c r="CX71" s="383"/>
      <c r="CY71" s="383"/>
      <c r="CZ71" s="383"/>
      <c r="DA71" s="383"/>
    </row>
    <row r="72" spans="1:105" ht="69" customHeight="1">
      <c r="A72" s="230">
        <v>56</v>
      </c>
      <c r="B72" s="231">
        <v>46266</v>
      </c>
      <c r="C72" s="231">
        <v>46266</v>
      </c>
      <c r="D72" s="230" t="s">
        <v>77</v>
      </c>
      <c r="E72" s="232">
        <v>7502327992301</v>
      </c>
      <c r="F72" s="230" t="s">
        <v>1495</v>
      </c>
      <c r="G72" s="233" t="s">
        <v>1496</v>
      </c>
      <c r="H72" s="234"/>
      <c r="I72" s="234">
        <v>1</v>
      </c>
      <c r="J72" s="234" t="s">
        <v>1364</v>
      </c>
      <c r="K72" s="235" t="s">
        <v>1053</v>
      </c>
      <c r="L72" s="236">
        <v>1</v>
      </c>
      <c r="M72" s="255">
        <f t="shared" si="69"/>
        <v>8.3333333333333329E-2</v>
      </c>
      <c r="N72" s="238" t="s">
        <v>64</v>
      </c>
      <c r="O72" s="239">
        <v>30000</v>
      </c>
      <c r="P72" s="238">
        <f t="shared" si="58"/>
        <v>0.95583333333333331</v>
      </c>
      <c r="Q72" s="238">
        <f t="shared" si="59"/>
        <v>0.23895833333333333</v>
      </c>
      <c r="R72" s="238">
        <f t="shared" si="70"/>
        <v>9.3074270833333334E-2</v>
      </c>
      <c r="S72" s="238">
        <f t="shared" si="60"/>
        <v>1.2878659374999999</v>
      </c>
      <c r="T72" s="240">
        <v>19</v>
      </c>
      <c r="U72" s="238">
        <f t="shared" si="40"/>
        <v>16.379310344827587</v>
      </c>
      <c r="V72" s="241">
        <f t="shared" si="41"/>
        <v>9.8275862068965516</v>
      </c>
      <c r="W72" s="242">
        <f t="shared" si="42"/>
        <v>0.13104600767543859</v>
      </c>
      <c r="X72" s="243">
        <f t="shared" si="43"/>
        <v>0.86895399232456139</v>
      </c>
      <c r="Y72" s="244">
        <f t="shared" si="44"/>
        <v>0.4</v>
      </c>
      <c r="Z72" s="245" t="s">
        <v>638</v>
      </c>
      <c r="AA72" s="246" t="s">
        <v>1371</v>
      </c>
      <c r="AB72" s="234">
        <v>12</v>
      </c>
      <c r="AC72" s="234">
        <v>480</v>
      </c>
      <c r="AD72" s="465">
        <v>46282</v>
      </c>
      <c r="AE72" s="286"/>
      <c r="AG72" s="247">
        <v>9</v>
      </c>
      <c r="AH72" s="248">
        <f t="shared" si="45"/>
        <v>7.7586206896551726</v>
      </c>
      <c r="AI72" s="249">
        <f t="shared" si="46"/>
        <v>0.16599160972222221</v>
      </c>
      <c r="AJ72" s="250">
        <f t="shared" si="47"/>
        <v>0.83400839027777773</v>
      </c>
      <c r="AK72" s="251">
        <f t="shared" si="48"/>
        <v>0</v>
      </c>
      <c r="BA72" s="252">
        <v>1</v>
      </c>
      <c r="BB72" s="252">
        <v>1</v>
      </c>
      <c r="BC72" s="252">
        <v>1</v>
      </c>
      <c r="BD72" s="252">
        <v>1</v>
      </c>
      <c r="BE72" s="252">
        <v>1</v>
      </c>
      <c r="BF72" s="254">
        <v>1</v>
      </c>
      <c r="BG72" s="254">
        <v>1</v>
      </c>
      <c r="BH72" s="254"/>
      <c r="BI72" s="254"/>
      <c r="BJ72" s="252">
        <v>8</v>
      </c>
      <c r="BK72" s="252">
        <f t="shared" si="49"/>
        <v>7</v>
      </c>
      <c r="BL72" s="253">
        <f t="shared" si="50"/>
        <v>0.875</v>
      </c>
      <c r="BR72" s="353" t="s">
        <v>1387</v>
      </c>
      <c r="BS72" s="334"/>
      <c r="BT72" s="81" t="s">
        <v>86</v>
      </c>
      <c r="CJ72" s="382"/>
      <c r="CK72" s="382"/>
      <c r="CL72" s="382"/>
      <c r="CM72" s="382"/>
      <c r="CN72" s="382"/>
      <c r="CO72" s="382"/>
      <c r="CP72" s="383"/>
      <c r="CQ72" s="383"/>
      <c r="CR72" s="383"/>
      <c r="CS72" s="383"/>
      <c r="CT72" s="383"/>
      <c r="CU72" s="383"/>
      <c r="CV72" s="383"/>
      <c r="CW72" s="383"/>
      <c r="CX72" s="383"/>
      <c r="CY72" s="383"/>
      <c r="CZ72" s="383"/>
      <c r="DA72" s="383"/>
    </row>
    <row r="73" spans="1:105" ht="69" customHeight="1">
      <c r="A73" s="230">
        <v>57</v>
      </c>
      <c r="B73" s="231">
        <v>46266</v>
      </c>
      <c r="C73" s="231">
        <v>46266</v>
      </c>
      <c r="D73" s="230" t="s">
        <v>77</v>
      </c>
      <c r="E73" s="232">
        <v>7502327992318</v>
      </c>
      <c r="F73" s="230" t="s">
        <v>1497</v>
      </c>
      <c r="G73" s="233" t="s">
        <v>1498</v>
      </c>
      <c r="H73" s="234"/>
      <c r="I73" s="234">
        <v>1</v>
      </c>
      <c r="J73" s="234" t="s">
        <v>1364</v>
      </c>
      <c r="K73" s="235" t="s">
        <v>1053</v>
      </c>
      <c r="L73" s="236">
        <v>1</v>
      </c>
      <c r="M73" s="255">
        <f t="shared" si="69"/>
        <v>8.3333333333333329E-2</v>
      </c>
      <c r="N73" s="238" t="s">
        <v>64</v>
      </c>
      <c r="O73" s="239">
        <v>30000</v>
      </c>
      <c r="P73" s="238">
        <f t="shared" si="58"/>
        <v>0.95583333333333331</v>
      </c>
      <c r="Q73" s="238">
        <f t="shared" si="59"/>
        <v>0.23895833333333333</v>
      </c>
      <c r="R73" s="238">
        <f t="shared" si="70"/>
        <v>9.3074270833333334E-2</v>
      </c>
      <c r="S73" s="238">
        <f t="shared" si="60"/>
        <v>1.2878659374999999</v>
      </c>
      <c r="T73" s="240">
        <v>19</v>
      </c>
      <c r="U73" s="238">
        <f t="shared" si="40"/>
        <v>16.379310344827587</v>
      </c>
      <c r="V73" s="241">
        <f t="shared" si="41"/>
        <v>9.8275862068965516</v>
      </c>
      <c r="W73" s="242">
        <f t="shared" si="42"/>
        <v>0.13104600767543859</v>
      </c>
      <c r="X73" s="243">
        <f t="shared" si="43"/>
        <v>0.86895399232456139</v>
      </c>
      <c r="Y73" s="244">
        <f t="shared" si="44"/>
        <v>0.4</v>
      </c>
      <c r="Z73" s="245" t="s">
        <v>638</v>
      </c>
      <c r="AA73" s="246" t="s">
        <v>1371</v>
      </c>
      <c r="AB73" s="234">
        <v>12</v>
      </c>
      <c r="AC73" s="234">
        <v>480</v>
      </c>
      <c r="AD73" s="465">
        <v>46282</v>
      </c>
      <c r="AE73" s="286"/>
      <c r="AG73" s="247">
        <v>9</v>
      </c>
      <c r="AH73" s="248">
        <f t="shared" si="45"/>
        <v>7.7586206896551726</v>
      </c>
      <c r="AI73" s="249">
        <f t="shared" si="46"/>
        <v>0.16599160972222221</v>
      </c>
      <c r="AJ73" s="250">
        <f t="shared" si="47"/>
        <v>0.83400839027777773</v>
      </c>
      <c r="AK73" s="251">
        <f t="shared" si="48"/>
        <v>0</v>
      </c>
      <c r="BA73" s="252">
        <v>1</v>
      </c>
      <c r="BB73" s="252">
        <v>1</v>
      </c>
      <c r="BC73" s="252">
        <v>1</v>
      </c>
      <c r="BD73" s="252">
        <v>1</v>
      </c>
      <c r="BE73" s="252">
        <v>1</v>
      </c>
      <c r="BF73" s="254">
        <v>1</v>
      </c>
      <c r="BG73" s="254">
        <v>1</v>
      </c>
      <c r="BH73" s="254"/>
      <c r="BI73" s="254"/>
      <c r="BJ73" s="252">
        <v>8</v>
      </c>
      <c r="BK73" s="252">
        <f t="shared" si="49"/>
        <v>7</v>
      </c>
      <c r="BL73" s="253">
        <f t="shared" si="50"/>
        <v>0.875</v>
      </c>
      <c r="BR73" s="353" t="s">
        <v>1387</v>
      </c>
      <c r="BS73" s="334"/>
      <c r="BT73" s="81" t="s">
        <v>86</v>
      </c>
      <c r="CJ73" s="382"/>
      <c r="CK73" s="382"/>
      <c r="CL73" s="382"/>
      <c r="CM73" s="382"/>
      <c r="CN73" s="382"/>
      <c r="CO73" s="382"/>
      <c r="CP73" s="383"/>
      <c r="CQ73" s="383"/>
      <c r="CR73" s="383"/>
      <c r="CS73" s="383"/>
      <c r="CT73" s="383"/>
      <c r="CU73" s="383"/>
      <c r="CV73" s="383"/>
      <c r="CW73" s="383"/>
      <c r="CX73" s="383"/>
      <c r="CY73" s="383"/>
      <c r="CZ73" s="383"/>
      <c r="DA73" s="383"/>
    </row>
    <row r="74" spans="1:105" ht="69" customHeight="1">
      <c r="A74" s="230">
        <v>58</v>
      </c>
      <c r="B74" s="231">
        <v>46266</v>
      </c>
      <c r="C74" s="231">
        <v>46266</v>
      </c>
      <c r="D74" s="230" t="s">
        <v>77</v>
      </c>
      <c r="E74" s="232">
        <v>7502327992325</v>
      </c>
      <c r="F74" s="230" t="s">
        <v>1499</v>
      </c>
      <c r="G74" s="233" t="s">
        <v>1500</v>
      </c>
      <c r="H74" s="234"/>
      <c r="I74" s="234">
        <v>1</v>
      </c>
      <c r="J74" s="234" t="s">
        <v>1364</v>
      </c>
      <c r="K74" s="235" t="s">
        <v>1053</v>
      </c>
      <c r="L74" s="236">
        <v>1</v>
      </c>
      <c r="M74" s="255">
        <f t="shared" si="69"/>
        <v>8.3333333333333329E-2</v>
      </c>
      <c r="N74" s="238" t="s">
        <v>64</v>
      </c>
      <c r="O74" s="239">
        <v>30000</v>
      </c>
      <c r="P74" s="238">
        <f t="shared" si="58"/>
        <v>0.95583333333333331</v>
      </c>
      <c r="Q74" s="238">
        <f t="shared" si="59"/>
        <v>0.23895833333333333</v>
      </c>
      <c r="R74" s="238">
        <f t="shared" si="70"/>
        <v>9.3074270833333334E-2</v>
      </c>
      <c r="S74" s="238">
        <f t="shared" si="60"/>
        <v>1.2878659374999999</v>
      </c>
      <c r="T74" s="240">
        <v>19</v>
      </c>
      <c r="U74" s="238">
        <f t="shared" si="40"/>
        <v>16.379310344827587</v>
      </c>
      <c r="V74" s="241">
        <f t="shared" si="41"/>
        <v>9.8275862068965516</v>
      </c>
      <c r="W74" s="242">
        <f t="shared" si="42"/>
        <v>0.13104600767543859</v>
      </c>
      <c r="X74" s="243">
        <f t="shared" si="43"/>
        <v>0.86895399232456139</v>
      </c>
      <c r="Y74" s="244">
        <f t="shared" si="44"/>
        <v>0.4</v>
      </c>
      <c r="Z74" s="245" t="s">
        <v>638</v>
      </c>
      <c r="AA74" s="246" t="s">
        <v>1371</v>
      </c>
      <c r="AB74" s="234">
        <v>12</v>
      </c>
      <c r="AC74" s="234">
        <v>480</v>
      </c>
      <c r="AD74" s="465">
        <v>46282</v>
      </c>
      <c r="AE74" s="286"/>
      <c r="AG74" s="247">
        <v>9</v>
      </c>
      <c r="AH74" s="248">
        <f t="shared" si="45"/>
        <v>7.7586206896551726</v>
      </c>
      <c r="AI74" s="249">
        <f t="shared" si="46"/>
        <v>0.16599160972222221</v>
      </c>
      <c r="AJ74" s="250">
        <f t="shared" si="47"/>
        <v>0.83400839027777773</v>
      </c>
      <c r="AK74" s="251">
        <f t="shared" si="48"/>
        <v>0</v>
      </c>
      <c r="BA74" s="252">
        <v>1</v>
      </c>
      <c r="BB74" s="252">
        <v>1</v>
      </c>
      <c r="BC74" s="252">
        <v>1</v>
      </c>
      <c r="BD74" s="252">
        <v>1</v>
      </c>
      <c r="BE74" s="252">
        <v>1</v>
      </c>
      <c r="BF74" s="254">
        <v>1</v>
      </c>
      <c r="BG74" s="254">
        <v>1</v>
      </c>
      <c r="BH74" s="254"/>
      <c r="BI74" s="254"/>
      <c r="BJ74" s="252">
        <v>8</v>
      </c>
      <c r="BK74" s="252">
        <f t="shared" si="49"/>
        <v>7</v>
      </c>
      <c r="BL74" s="253">
        <f t="shared" si="50"/>
        <v>0.875</v>
      </c>
      <c r="BR74" s="353" t="s">
        <v>1387</v>
      </c>
      <c r="BS74" s="334"/>
      <c r="BT74" s="81" t="s">
        <v>86</v>
      </c>
      <c r="CJ74" s="382"/>
      <c r="CK74" s="382"/>
      <c r="CL74" s="382"/>
      <c r="CM74" s="382"/>
      <c r="CN74" s="382"/>
      <c r="CO74" s="382"/>
      <c r="CP74" s="383"/>
      <c r="CQ74" s="383"/>
      <c r="CR74" s="383"/>
      <c r="CS74" s="383"/>
      <c r="CT74" s="383"/>
      <c r="CU74" s="383"/>
      <c r="CV74" s="383"/>
      <c r="CW74" s="383"/>
      <c r="CX74" s="383"/>
      <c r="CY74" s="383"/>
      <c r="CZ74" s="383"/>
      <c r="DA74" s="383"/>
    </row>
    <row r="75" spans="1:105" ht="69" customHeight="1">
      <c r="A75" s="230">
        <v>59</v>
      </c>
      <c r="B75" s="231">
        <v>46266</v>
      </c>
      <c r="C75" s="231">
        <v>46266</v>
      </c>
      <c r="D75" s="230" t="s">
        <v>77</v>
      </c>
      <c r="E75" s="232">
        <v>7502327992349</v>
      </c>
      <c r="F75" s="230" t="s">
        <v>1501</v>
      </c>
      <c r="G75" s="233" t="s">
        <v>1502</v>
      </c>
      <c r="H75" s="234"/>
      <c r="I75" s="234">
        <v>1</v>
      </c>
      <c r="J75" s="234" t="s">
        <v>1364</v>
      </c>
      <c r="K75" s="235" t="s">
        <v>1053</v>
      </c>
      <c r="L75" s="236">
        <v>1</v>
      </c>
      <c r="M75" s="255">
        <f t="shared" si="69"/>
        <v>8.3333333333333329E-2</v>
      </c>
      <c r="N75" s="238" t="s">
        <v>64</v>
      </c>
      <c r="O75" s="239">
        <v>30000</v>
      </c>
      <c r="P75" s="238">
        <f t="shared" si="58"/>
        <v>0.95583333333333331</v>
      </c>
      <c r="Q75" s="238">
        <f t="shared" si="59"/>
        <v>0.23895833333333333</v>
      </c>
      <c r="R75" s="238">
        <f t="shared" si="70"/>
        <v>9.3074270833333334E-2</v>
      </c>
      <c r="S75" s="238">
        <f t="shared" si="60"/>
        <v>1.2878659374999999</v>
      </c>
      <c r="T75" s="240">
        <v>19</v>
      </c>
      <c r="U75" s="238">
        <f t="shared" si="40"/>
        <v>16.379310344827587</v>
      </c>
      <c r="V75" s="241">
        <f t="shared" si="41"/>
        <v>9.8275862068965516</v>
      </c>
      <c r="W75" s="242">
        <f t="shared" si="42"/>
        <v>0.13104600767543859</v>
      </c>
      <c r="X75" s="243">
        <f t="shared" si="43"/>
        <v>0.86895399232456139</v>
      </c>
      <c r="Y75" s="244">
        <f t="shared" si="44"/>
        <v>0.4</v>
      </c>
      <c r="Z75" s="245" t="s">
        <v>638</v>
      </c>
      <c r="AA75" s="246" t="s">
        <v>1371</v>
      </c>
      <c r="AB75" s="234">
        <v>12</v>
      </c>
      <c r="AC75" s="234">
        <v>480</v>
      </c>
      <c r="AD75" s="465">
        <v>46282</v>
      </c>
      <c r="AE75" s="286"/>
      <c r="AG75" s="247">
        <v>9</v>
      </c>
      <c r="AH75" s="248">
        <f t="shared" si="45"/>
        <v>7.7586206896551726</v>
      </c>
      <c r="AI75" s="249">
        <f t="shared" si="46"/>
        <v>0.16599160972222221</v>
      </c>
      <c r="AJ75" s="250">
        <f t="shared" si="47"/>
        <v>0.83400839027777773</v>
      </c>
      <c r="AK75" s="251">
        <f t="shared" si="48"/>
        <v>0</v>
      </c>
      <c r="BA75" s="252">
        <v>1</v>
      </c>
      <c r="BB75" s="252">
        <v>1</v>
      </c>
      <c r="BC75" s="252">
        <v>1</v>
      </c>
      <c r="BD75" s="252">
        <v>1</v>
      </c>
      <c r="BE75" s="252">
        <v>1</v>
      </c>
      <c r="BF75" s="254">
        <v>1</v>
      </c>
      <c r="BG75" s="254">
        <v>1</v>
      </c>
      <c r="BH75" s="254"/>
      <c r="BI75" s="254"/>
      <c r="BJ75" s="252">
        <v>8</v>
      </c>
      <c r="BK75" s="252">
        <f t="shared" si="49"/>
        <v>7</v>
      </c>
      <c r="BL75" s="253">
        <f t="shared" si="50"/>
        <v>0.875</v>
      </c>
      <c r="BR75" s="353" t="s">
        <v>1387</v>
      </c>
      <c r="BS75" s="334"/>
      <c r="BT75" s="81" t="s">
        <v>86</v>
      </c>
      <c r="CJ75" s="382"/>
      <c r="CK75" s="382"/>
      <c r="CL75" s="382"/>
      <c r="CM75" s="382"/>
      <c r="CN75" s="382"/>
      <c r="CO75" s="382"/>
      <c r="CP75" s="383"/>
      <c r="CQ75" s="383"/>
      <c r="CR75" s="383"/>
      <c r="CS75" s="383"/>
      <c r="CT75" s="383"/>
      <c r="CU75" s="383"/>
      <c r="CV75" s="383"/>
      <c r="CW75" s="383"/>
      <c r="CX75" s="383"/>
      <c r="CY75" s="383"/>
      <c r="CZ75" s="383"/>
      <c r="DA75" s="383"/>
    </row>
    <row r="76" spans="1:105" ht="69" customHeight="1">
      <c r="A76" s="230">
        <v>60</v>
      </c>
      <c r="B76" s="231">
        <v>46266</v>
      </c>
      <c r="C76" s="231">
        <v>46266</v>
      </c>
      <c r="D76" s="230" t="s">
        <v>77</v>
      </c>
      <c r="E76" s="232">
        <v>7502327992356</v>
      </c>
      <c r="F76" s="230" t="s">
        <v>1503</v>
      </c>
      <c r="G76" s="233" t="s">
        <v>1504</v>
      </c>
      <c r="H76" s="234"/>
      <c r="I76" s="234">
        <v>12</v>
      </c>
      <c r="J76" s="234" t="s">
        <v>1364</v>
      </c>
      <c r="K76" s="235" t="s">
        <v>1053</v>
      </c>
      <c r="L76" s="236">
        <v>1</v>
      </c>
      <c r="M76" s="255">
        <v>0.85</v>
      </c>
      <c r="N76" s="238" t="s">
        <v>64</v>
      </c>
      <c r="O76" s="239">
        <v>10000</v>
      </c>
      <c r="P76" s="238">
        <f t="shared" si="58"/>
        <v>9.7495000000000012</v>
      </c>
      <c r="Q76" s="238">
        <f>P76*0.07</f>
        <v>0.6824650000000001</v>
      </c>
      <c r="R76" s="238">
        <f>(P76+Q76)*32.35%</f>
        <v>3.3747406775000006</v>
      </c>
      <c r="S76" s="238">
        <f t="shared" si="60"/>
        <v>13.806705677500002</v>
      </c>
      <c r="T76" s="240">
        <v>139</v>
      </c>
      <c r="U76" s="238">
        <f t="shared" si="40"/>
        <v>119.82758620689656</v>
      </c>
      <c r="V76" s="241">
        <f t="shared" si="41"/>
        <v>71.896551724137936</v>
      </c>
      <c r="W76" s="242">
        <f t="shared" si="42"/>
        <v>0.19203571445923262</v>
      </c>
      <c r="X76" s="243">
        <f t="shared" si="43"/>
        <v>0.80796428554076738</v>
      </c>
      <c r="Y76" s="244">
        <f t="shared" si="44"/>
        <v>0.4</v>
      </c>
      <c r="Z76" s="245" t="s">
        <v>1505</v>
      </c>
      <c r="AA76" s="246" t="s">
        <v>1371</v>
      </c>
      <c r="AB76" s="234"/>
      <c r="AC76" s="234"/>
      <c r="AD76" s="465">
        <v>46272</v>
      </c>
      <c r="AE76" s="286"/>
      <c r="AG76" s="247">
        <v>99</v>
      </c>
      <c r="AH76" s="248">
        <f t="shared" si="45"/>
        <v>85.344827586206904</v>
      </c>
      <c r="AI76" s="249">
        <f t="shared" si="46"/>
        <v>0.16177554127171717</v>
      </c>
      <c r="AJ76" s="250">
        <f t="shared" si="47"/>
        <v>0.83822445872828277</v>
      </c>
      <c r="AK76" s="251">
        <f t="shared" si="48"/>
        <v>0</v>
      </c>
      <c r="BA76" s="252">
        <v>1</v>
      </c>
      <c r="BB76" s="252">
        <v>1</v>
      </c>
      <c r="BC76" s="252">
        <v>1</v>
      </c>
      <c r="BD76" s="252">
        <v>1</v>
      </c>
      <c r="BE76" s="252">
        <v>1</v>
      </c>
      <c r="BF76" s="254">
        <v>1</v>
      </c>
      <c r="BG76" s="254">
        <v>1</v>
      </c>
      <c r="BH76" s="254"/>
      <c r="BI76" s="254"/>
      <c r="BJ76" s="252">
        <v>8</v>
      </c>
      <c r="BK76" s="252">
        <f t="shared" si="49"/>
        <v>7</v>
      </c>
      <c r="BL76" s="253">
        <f t="shared" si="50"/>
        <v>0.875</v>
      </c>
      <c r="BR76" s="353" t="s">
        <v>1387</v>
      </c>
      <c r="BS76" s="334"/>
      <c r="BT76" s="81" t="s">
        <v>86</v>
      </c>
      <c r="CJ76" s="382"/>
      <c r="CK76" s="382"/>
      <c r="CL76" s="382"/>
      <c r="CM76" s="382"/>
      <c r="CN76" s="382"/>
      <c r="CO76" s="382"/>
      <c r="CP76" s="383"/>
      <c r="CQ76" s="383"/>
      <c r="CR76" s="383"/>
      <c r="CS76" s="383"/>
      <c r="CT76" s="383"/>
      <c r="CU76" s="383"/>
      <c r="CV76" s="383"/>
      <c r="CW76" s="383"/>
      <c r="CX76" s="383"/>
      <c r="CY76" s="383"/>
      <c r="CZ76" s="383"/>
      <c r="DA76" s="383"/>
    </row>
    <row r="77" spans="1:105" ht="69" customHeight="1">
      <c r="A77" s="230">
        <v>61</v>
      </c>
      <c r="B77" s="231">
        <v>46266</v>
      </c>
      <c r="C77" s="231">
        <v>46266</v>
      </c>
      <c r="D77" s="230" t="s">
        <v>77</v>
      </c>
      <c r="E77" s="232">
        <v>7502327992363</v>
      </c>
      <c r="F77" s="230" t="s">
        <v>1506</v>
      </c>
      <c r="G77" s="233" t="s">
        <v>1507</v>
      </c>
      <c r="H77" s="215"/>
      <c r="I77" s="234">
        <v>30</v>
      </c>
      <c r="J77" s="235" t="s">
        <v>1364</v>
      </c>
      <c r="K77" s="235" t="s">
        <v>1053</v>
      </c>
      <c r="L77" s="236">
        <v>1</v>
      </c>
      <c r="M77" s="255">
        <v>0.7</v>
      </c>
      <c r="N77" s="238" t="s">
        <v>64</v>
      </c>
      <c r="O77" s="239">
        <v>10000</v>
      </c>
      <c r="P77" s="238">
        <f t="shared" si="58"/>
        <v>8.0289999999999999</v>
      </c>
      <c r="Q77" s="238">
        <f>P77*0.25</f>
        <v>2.00725</v>
      </c>
      <c r="R77" s="238">
        <f>(P77+Q77)*14.8%</f>
        <v>1.485365</v>
      </c>
      <c r="S77" s="238">
        <f t="shared" si="60"/>
        <v>11.521615000000001</v>
      </c>
      <c r="T77" s="240">
        <v>149</v>
      </c>
      <c r="U77" s="238">
        <f t="shared" si="40"/>
        <v>128.44827586206898</v>
      </c>
      <c r="V77" s="241">
        <f t="shared" si="41"/>
        <v>77.068965517241381</v>
      </c>
      <c r="W77" s="242">
        <f t="shared" si="42"/>
        <v>0.14949746532438479</v>
      </c>
      <c r="X77" s="243">
        <f t="shared" si="43"/>
        <v>0.85050253467561521</v>
      </c>
      <c r="Y77" s="244">
        <f t="shared" si="44"/>
        <v>0.4</v>
      </c>
      <c r="Z77" s="245" t="s">
        <v>638</v>
      </c>
      <c r="AA77" s="246" t="s">
        <v>1371</v>
      </c>
      <c r="AB77" s="234">
        <v>6</v>
      </c>
      <c r="AC77" s="234">
        <v>6</v>
      </c>
      <c r="AD77" s="465">
        <v>46341</v>
      </c>
      <c r="AE77" s="286"/>
      <c r="AG77" s="247">
        <v>99</v>
      </c>
      <c r="AH77" s="248">
        <f t="shared" si="45"/>
        <v>85.344827586206904</v>
      </c>
      <c r="AI77" s="249">
        <f t="shared" si="46"/>
        <v>0.13500074141414142</v>
      </c>
      <c r="AJ77" s="250">
        <f t="shared" si="47"/>
        <v>0.86499925858585858</v>
      </c>
      <c r="AK77" s="251">
        <f t="shared" si="48"/>
        <v>0</v>
      </c>
      <c r="BA77" s="252">
        <v>1</v>
      </c>
      <c r="BB77" s="252">
        <v>1</v>
      </c>
      <c r="BC77" s="252">
        <v>1</v>
      </c>
      <c r="BD77" s="252">
        <v>1</v>
      </c>
      <c r="BE77" s="252">
        <v>1</v>
      </c>
      <c r="BF77" s="254">
        <v>1</v>
      </c>
      <c r="BG77" s="254">
        <v>1</v>
      </c>
      <c r="BH77" s="254"/>
      <c r="BI77" s="254"/>
      <c r="BJ77" s="252">
        <v>8</v>
      </c>
      <c r="BK77" s="252">
        <f t="shared" si="49"/>
        <v>7</v>
      </c>
      <c r="BL77" s="253">
        <f t="shared" si="50"/>
        <v>0.875</v>
      </c>
      <c r="BR77" s="353" t="s">
        <v>1387</v>
      </c>
      <c r="BS77" s="334"/>
      <c r="BT77" s="81" t="s">
        <v>86</v>
      </c>
      <c r="CJ77" s="382"/>
      <c r="CK77" s="382"/>
      <c r="CL77" s="382"/>
      <c r="CM77" s="382"/>
      <c r="CN77" s="382"/>
      <c r="CO77" s="382"/>
      <c r="CP77" s="383"/>
      <c r="CQ77" s="383"/>
      <c r="CR77" s="383"/>
      <c r="CS77" s="383"/>
      <c r="CT77" s="383"/>
      <c r="CU77" s="383"/>
      <c r="CV77" s="383"/>
      <c r="CW77" s="383"/>
      <c r="CX77" s="383"/>
      <c r="CY77" s="383"/>
      <c r="CZ77" s="383"/>
      <c r="DA77" s="383"/>
    </row>
    <row r="78" spans="1:105" ht="69" customHeight="1">
      <c r="A78" s="230">
        <v>62</v>
      </c>
      <c r="B78" s="231">
        <v>46266</v>
      </c>
      <c r="C78" s="231">
        <v>46266</v>
      </c>
      <c r="D78" s="230" t="s">
        <v>77</v>
      </c>
      <c r="E78" s="232">
        <v>7502327992370</v>
      </c>
      <c r="F78" s="230" t="s">
        <v>1508</v>
      </c>
      <c r="G78" s="233" t="s">
        <v>1509</v>
      </c>
      <c r="H78" s="215"/>
      <c r="I78" s="234">
        <v>6</v>
      </c>
      <c r="J78" s="235" t="s">
        <v>1364</v>
      </c>
      <c r="K78" s="235" t="s">
        <v>1053</v>
      </c>
      <c r="L78" s="236">
        <v>1</v>
      </c>
      <c r="M78" s="255">
        <v>0.05</v>
      </c>
      <c r="N78" s="238" t="s">
        <v>64</v>
      </c>
      <c r="O78" s="239">
        <v>40000</v>
      </c>
      <c r="P78" s="238">
        <f t="shared" si="58"/>
        <v>0.57350000000000001</v>
      </c>
      <c r="Q78" s="238">
        <f>P78*0.25</f>
        <v>0.143375</v>
      </c>
      <c r="R78" s="238">
        <f>(P78+Q78)*14.94%</f>
        <v>0.10710112500000001</v>
      </c>
      <c r="S78" s="238">
        <f t="shared" si="60"/>
        <v>0.82397612499999995</v>
      </c>
      <c r="T78" s="240">
        <v>39</v>
      </c>
      <c r="U78" s="238">
        <f t="shared" si="40"/>
        <v>33.620689655172413</v>
      </c>
      <c r="V78" s="241">
        <f t="shared" si="41"/>
        <v>20.172413793103448</v>
      </c>
      <c r="W78" s="242">
        <f t="shared" si="42"/>
        <v>4.0846679700854698E-2</v>
      </c>
      <c r="X78" s="243">
        <f t="shared" si="43"/>
        <v>0.95915332029914535</v>
      </c>
      <c r="Y78" s="244">
        <f t="shared" si="44"/>
        <v>0.4</v>
      </c>
      <c r="Z78" s="245" t="s">
        <v>638</v>
      </c>
      <c r="AA78" s="246" t="s">
        <v>1371</v>
      </c>
      <c r="AB78" s="234"/>
      <c r="AC78" s="234"/>
      <c r="AD78" s="465">
        <v>46341</v>
      </c>
      <c r="AE78" s="286"/>
      <c r="AG78" s="247">
        <v>29</v>
      </c>
      <c r="AH78" s="248">
        <f t="shared" si="45"/>
        <v>25</v>
      </c>
      <c r="AI78" s="249">
        <f t="shared" si="46"/>
        <v>3.2959044999999999E-2</v>
      </c>
      <c r="AJ78" s="250">
        <f t="shared" si="47"/>
        <v>0.96704095499999998</v>
      </c>
      <c r="AK78" s="251">
        <f t="shared" si="48"/>
        <v>0</v>
      </c>
      <c r="BA78" s="252">
        <v>1</v>
      </c>
      <c r="BB78" s="252">
        <v>1</v>
      </c>
      <c r="BC78" s="252">
        <v>1</v>
      </c>
      <c r="BD78" s="252">
        <v>1</v>
      </c>
      <c r="BE78" s="252">
        <v>1</v>
      </c>
      <c r="BF78" s="254"/>
      <c r="BG78" s="254"/>
      <c r="BH78" s="254"/>
      <c r="BI78" s="254"/>
      <c r="BJ78" s="252">
        <v>8</v>
      </c>
      <c r="BK78" s="252">
        <f t="shared" si="49"/>
        <v>5</v>
      </c>
      <c r="BL78" s="253">
        <f t="shared" si="50"/>
        <v>0.625</v>
      </c>
      <c r="BR78" s="353" t="s">
        <v>1510</v>
      </c>
      <c r="BS78" s="334"/>
      <c r="BT78" s="81" t="s">
        <v>129</v>
      </c>
      <c r="CJ78" s="382"/>
      <c r="CK78" s="382"/>
      <c r="CL78" s="382"/>
      <c r="CM78" s="382"/>
      <c r="CN78" s="382"/>
      <c r="CO78" s="382"/>
      <c r="CP78" s="383"/>
      <c r="CQ78" s="383"/>
      <c r="CR78" s="383"/>
      <c r="CS78" s="383"/>
      <c r="CT78" s="383"/>
      <c r="CU78" s="383"/>
      <c r="CV78" s="383"/>
      <c r="CW78" s="383"/>
      <c r="CX78" s="383"/>
      <c r="CY78" s="383"/>
      <c r="CZ78" s="383"/>
      <c r="DA78" s="383"/>
    </row>
    <row r="79" spans="1:105" ht="69" customHeight="1">
      <c r="A79" s="230">
        <v>64</v>
      </c>
      <c r="B79" s="231">
        <v>46266</v>
      </c>
      <c r="C79" s="231">
        <v>46266</v>
      </c>
      <c r="D79" s="230" t="s">
        <v>77</v>
      </c>
      <c r="E79" s="232">
        <v>7502327992394</v>
      </c>
      <c r="F79" s="230" t="s">
        <v>1511</v>
      </c>
      <c r="G79" s="233" t="s">
        <v>1512</v>
      </c>
      <c r="H79" s="234"/>
      <c r="I79" s="234">
        <v>2</v>
      </c>
      <c r="J79" s="234" t="s">
        <v>1364</v>
      </c>
      <c r="K79" s="235" t="s">
        <v>1053</v>
      </c>
      <c r="L79" s="236">
        <v>1</v>
      </c>
      <c r="M79" s="255">
        <v>0.39</v>
      </c>
      <c r="N79" s="238" t="s">
        <v>64</v>
      </c>
      <c r="O79" s="239">
        <v>5000</v>
      </c>
      <c r="P79" s="238">
        <f t="shared" si="58"/>
        <v>4.4733000000000001</v>
      </c>
      <c r="Q79" s="238">
        <f>P79*0.25</f>
        <v>1.118325</v>
      </c>
      <c r="R79" s="259">
        <f>(P79+Q79)*0.08</f>
        <v>0.44733000000000006</v>
      </c>
      <c r="S79" s="238">
        <f t="shared" si="60"/>
        <v>6.0389549999999996</v>
      </c>
      <c r="T79" s="240">
        <v>99</v>
      </c>
      <c r="U79" s="238">
        <f t="shared" si="40"/>
        <v>85.344827586206904</v>
      </c>
      <c r="V79" s="241">
        <f t="shared" si="41"/>
        <v>51.206896551724142</v>
      </c>
      <c r="W79" s="242">
        <f t="shared" si="42"/>
        <v>0.11793245454545453</v>
      </c>
      <c r="X79" s="243">
        <f t="shared" si="43"/>
        <v>0.88206754545454547</v>
      </c>
      <c r="Y79" s="244">
        <f t="shared" si="44"/>
        <v>0.4</v>
      </c>
      <c r="Z79" s="245" t="s">
        <v>1505</v>
      </c>
      <c r="AA79" s="246" t="s">
        <v>1371</v>
      </c>
      <c r="AB79" s="234"/>
      <c r="AC79" s="234"/>
      <c r="AD79" s="234"/>
      <c r="AE79" s="286"/>
      <c r="AG79" s="247">
        <v>69</v>
      </c>
      <c r="AH79" s="248">
        <f t="shared" si="45"/>
        <v>59.482758620689658</v>
      </c>
      <c r="AI79" s="249">
        <f t="shared" si="46"/>
        <v>0.10152446086956521</v>
      </c>
      <c r="AJ79" s="250">
        <f t="shared" si="47"/>
        <v>0.89847553913043476</v>
      </c>
      <c r="AK79" s="251">
        <f t="shared" si="48"/>
        <v>0</v>
      </c>
      <c r="BA79" s="252">
        <v>1</v>
      </c>
      <c r="BB79" s="252">
        <v>1</v>
      </c>
      <c r="BC79" s="252">
        <v>1</v>
      </c>
      <c r="BD79" s="252">
        <v>1</v>
      </c>
      <c r="BE79" s="252">
        <v>1</v>
      </c>
      <c r="BF79" s="254">
        <v>1</v>
      </c>
      <c r="BG79" s="254">
        <v>1</v>
      </c>
      <c r="BH79" s="254"/>
      <c r="BI79" s="254"/>
      <c r="BJ79" s="252">
        <v>8</v>
      </c>
      <c r="BK79" s="252">
        <f t="shared" si="49"/>
        <v>7</v>
      </c>
      <c r="BL79" s="253">
        <f t="shared" si="50"/>
        <v>0.875</v>
      </c>
      <c r="BR79" s="353" t="s">
        <v>1387</v>
      </c>
      <c r="BS79" s="334"/>
      <c r="BT79" s="81" t="s">
        <v>86</v>
      </c>
      <c r="CJ79" s="382"/>
      <c r="CK79" s="382"/>
      <c r="CL79" s="382"/>
      <c r="CM79" s="382"/>
      <c r="CN79" s="382"/>
      <c r="CO79" s="382"/>
      <c r="CP79" s="383"/>
      <c r="CQ79" s="383"/>
      <c r="CR79" s="383"/>
      <c r="CS79" s="383"/>
      <c r="CT79" s="383"/>
      <c r="CU79" s="383"/>
      <c r="CV79" s="383"/>
      <c r="CW79" s="383"/>
      <c r="CX79" s="383"/>
      <c r="CY79" s="383"/>
      <c r="CZ79" s="383"/>
      <c r="DA79" s="383"/>
    </row>
    <row r="80" spans="1:105" ht="69" customHeight="1">
      <c r="A80" s="230">
        <v>65</v>
      </c>
      <c r="B80" s="231">
        <v>46266</v>
      </c>
      <c r="C80" s="231">
        <v>46266</v>
      </c>
      <c r="D80" s="230" t="s">
        <v>77</v>
      </c>
      <c r="E80" s="232">
        <v>7502327992400</v>
      </c>
      <c r="F80" s="230" t="s">
        <v>1513</v>
      </c>
      <c r="G80" s="233" t="s">
        <v>1514</v>
      </c>
      <c r="H80" s="234"/>
      <c r="I80" s="234">
        <v>10</v>
      </c>
      <c r="J80" s="234" t="s">
        <v>1364</v>
      </c>
      <c r="K80" s="235" t="s">
        <v>1053</v>
      </c>
      <c r="L80" s="236">
        <v>1</v>
      </c>
      <c r="M80" s="255">
        <v>0.17</v>
      </c>
      <c r="N80" s="238" t="s">
        <v>64</v>
      </c>
      <c r="O80" s="239">
        <v>5000</v>
      </c>
      <c r="P80" s="238">
        <f t="shared" si="58"/>
        <v>1.9499000000000002</v>
      </c>
      <c r="Q80" s="238">
        <f>P80*0.25</f>
        <v>0.48747500000000005</v>
      </c>
      <c r="R80" s="259">
        <f>(P80+Q80)*0.08</f>
        <v>0.19499000000000002</v>
      </c>
      <c r="S80" s="238">
        <f t="shared" si="60"/>
        <v>2.6323650000000001</v>
      </c>
      <c r="T80" s="240">
        <v>49</v>
      </c>
      <c r="U80" s="238">
        <f t="shared" si="40"/>
        <v>42.241379310344833</v>
      </c>
      <c r="V80" s="241">
        <f t="shared" si="41"/>
        <v>25.3448275862069</v>
      </c>
      <c r="W80" s="242">
        <f t="shared" si="42"/>
        <v>0.10386202040816325</v>
      </c>
      <c r="X80" s="243">
        <f t="shared" si="43"/>
        <v>0.89613797959183672</v>
      </c>
      <c r="Y80" s="244">
        <f t="shared" si="44"/>
        <v>0.4</v>
      </c>
      <c r="Z80" s="245" t="s">
        <v>1505</v>
      </c>
      <c r="AA80" s="246" t="s">
        <v>1371</v>
      </c>
      <c r="AB80" s="234"/>
      <c r="AC80" s="234"/>
      <c r="AD80" s="234"/>
      <c r="AE80" s="286"/>
      <c r="AG80" s="247">
        <v>39</v>
      </c>
      <c r="AH80" s="248">
        <f t="shared" si="45"/>
        <v>33.620689655172413</v>
      </c>
      <c r="AI80" s="249">
        <f t="shared" si="46"/>
        <v>7.8295984615384617E-2</v>
      </c>
      <c r="AJ80" s="250">
        <f t="shared" si="47"/>
        <v>0.92170401538461544</v>
      </c>
      <c r="AK80" s="251">
        <f t="shared" si="48"/>
        <v>0</v>
      </c>
      <c r="BA80" s="252">
        <v>1</v>
      </c>
      <c r="BB80" s="252">
        <v>1</v>
      </c>
      <c r="BC80" s="252">
        <v>1</v>
      </c>
      <c r="BD80" s="252">
        <v>1</v>
      </c>
      <c r="BE80" s="252">
        <v>1</v>
      </c>
      <c r="BF80" s="254">
        <v>1</v>
      </c>
      <c r="BG80" s="254">
        <v>1</v>
      </c>
      <c r="BH80" s="254"/>
      <c r="BI80" s="254"/>
      <c r="BJ80" s="252">
        <v>8</v>
      </c>
      <c r="BK80" s="252">
        <f t="shared" si="49"/>
        <v>7</v>
      </c>
      <c r="BL80" s="253">
        <f t="shared" si="50"/>
        <v>0.875</v>
      </c>
      <c r="BR80" s="353" t="s">
        <v>1387</v>
      </c>
      <c r="BS80" s="334"/>
      <c r="BT80" s="81" t="s">
        <v>86</v>
      </c>
      <c r="CJ80" s="382"/>
      <c r="CK80" s="382"/>
      <c r="CL80" s="382"/>
      <c r="CM80" s="382"/>
      <c r="CN80" s="382"/>
      <c r="CO80" s="382"/>
      <c r="CP80" s="383"/>
      <c r="CQ80" s="383"/>
      <c r="CR80" s="383"/>
      <c r="CS80" s="383"/>
      <c r="CT80" s="383"/>
      <c r="CU80" s="383"/>
      <c r="CV80" s="383"/>
      <c r="CW80" s="383"/>
      <c r="CX80" s="383"/>
      <c r="CY80" s="383"/>
      <c r="CZ80" s="383"/>
      <c r="DA80" s="383"/>
    </row>
    <row r="81" spans="1:105" ht="69" customHeight="1">
      <c r="A81" s="230">
        <v>66</v>
      </c>
      <c r="B81" s="231">
        <v>46266</v>
      </c>
      <c r="C81" s="231">
        <v>46266</v>
      </c>
      <c r="D81" s="230" t="s">
        <v>77</v>
      </c>
      <c r="E81" s="232">
        <v>7502327992417</v>
      </c>
      <c r="F81" s="230" t="s">
        <v>1515</v>
      </c>
      <c r="G81" s="233" t="s">
        <v>1516</v>
      </c>
      <c r="H81" s="234"/>
      <c r="I81" s="230">
        <v>1</v>
      </c>
      <c r="J81" s="234" t="s">
        <v>1364</v>
      </c>
      <c r="K81" s="235" t="s">
        <v>1053</v>
      </c>
      <c r="L81" s="236">
        <v>1</v>
      </c>
      <c r="M81" s="255">
        <v>0.52</v>
      </c>
      <c r="N81" s="238" t="s">
        <v>64</v>
      </c>
      <c r="O81" s="239">
        <v>10000</v>
      </c>
      <c r="P81" s="238">
        <f t="shared" si="58"/>
        <v>5.9644000000000004</v>
      </c>
      <c r="Q81" s="238">
        <f>P81*0.15</f>
        <v>0.89466000000000001</v>
      </c>
      <c r="R81" s="238">
        <f>(P81+Q81)*16.52%</f>
        <v>1.1331167119999999</v>
      </c>
      <c r="S81" s="238">
        <f t="shared" si="60"/>
        <v>7.992176712</v>
      </c>
      <c r="T81" s="240">
        <v>129</v>
      </c>
      <c r="U81" s="238">
        <f t="shared" ref="U81:U85" si="71">+T81/1.16</f>
        <v>111.20689655172414</v>
      </c>
      <c r="V81" s="241">
        <f t="shared" ref="V81:V85" si="72">+U81*0.6</f>
        <v>66.724137931034477</v>
      </c>
      <c r="W81" s="242">
        <f t="shared" ref="W81:W85" si="73">+S81/V81</f>
        <v>0.11977939258294575</v>
      </c>
      <c r="X81" s="243">
        <f t="shared" si="43"/>
        <v>0.88022060741705421</v>
      </c>
      <c r="Y81" s="244">
        <f t="shared" si="44"/>
        <v>0.4</v>
      </c>
      <c r="Z81" s="245" t="s">
        <v>1505</v>
      </c>
      <c r="AA81" s="246" t="s">
        <v>1371</v>
      </c>
      <c r="AB81" s="234">
        <v>6</v>
      </c>
      <c r="AC81" s="234">
        <v>144</v>
      </c>
      <c r="AD81" s="234"/>
      <c r="AE81" s="286"/>
      <c r="AG81" s="247">
        <v>89</v>
      </c>
      <c r="AH81" s="248">
        <f t="shared" ref="AH81:AH85" si="74">AG81/1.16</f>
        <v>76.724137931034491</v>
      </c>
      <c r="AI81" s="249">
        <f t="shared" ref="AI81:AI85" si="75">+S81/AH81</f>
        <v>0.10416769647101122</v>
      </c>
      <c r="AJ81" s="250">
        <f t="shared" si="47"/>
        <v>0.89583230352898879</v>
      </c>
      <c r="AK81" s="251">
        <f t="shared" si="48"/>
        <v>0</v>
      </c>
      <c r="BA81" s="252">
        <v>1</v>
      </c>
      <c r="BB81" s="252">
        <v>1</v>
      </c>
      <c r="BC81" s="252">
        <v>1</v>
      </c>
      <c r="BD81" s="252">
        <v>1</v>
      </c>
      <c r="BE81" s="252">
        <v>1</v>
      </c>
      <c r="BF81" s="254">
        <v>1</v>
      </c>
      <c r="BG81" s="254">
        <v>1</v>
      </c>
      <c r="BH81" s="254"/>
      <c r="BI81" s="254"/>
      <c r="BJ81" s="252">
        <v>8</v>
      </c>
      <c r="BK81" s="252">
        <f t="shared" si="49"/>
        <v>7</v>
      </c>
      <c r="BL81" s="253">
        <f t="shared" ref="BL81:BL85" si="76">+BK81/BJ81</f>
        <v>0.875</v>
      </c>
      <c r="BR81" s="353" t="s">
        <v>1387</v>
      </c>
      <c r="BS81" s="334"/>
      <c r="BT81" s="81" t="s">
        <v>86</v>
      </c>
      <c r="CJ81" s="358">
        <v>46156</v>
      </c>
      <c r="CK81" s="358">
        <v>46156</v>
      </c>
      <c r="CL81" s="358">
        <f t="shared" ref="CL81" si="77">CK81+15</f>
        <v>46171</v>
      </c>
      <c r="CM81" s="358">
        <v>46188</v>
      </c>
      <c r="CN81" s="358">
        <f t="shared" ref="CN81" si="78">CM81+14</f>
        <v>46202</v>
      </c>
      <c r="CO81" s="278"/>
      <c r="CP81" s="358">
        <f t="shared" ref="CP81" si="79">CN81+45</f>
        <v>46247</v>
      </c>
      <c r="CQ81" s="268"/>
      <c r="CR81" s="378">
        <f t="shared" ref="CR81" si="80">CP81-12</f>
        <v>46235</v>
      </c>
      <c r="CS81" s="267"/>
      <c r="CT81" s="378">
        <f t="shared" ref="CT81" si="81">CP81+7</f>
        <v>46254</v>
      </c>
      <c r="CU81" s="267"/>
      <c r="CV81" s="378">
        <f t="shared" ref="CV81" si="82">CT81+7</f>
        <v>46261</v>
      </c>
      <c r="CW81" s="267"/>
      <c r="CX81" s="378">
        <f t="shared" ref="CX81" si="83">CV81+44</f>
        <v>46305</v>
      </c>
      <c r="CY81" s="267"/>
      <c r="CZ81" s="378">
        <f t="shared" ref="CZ81" si="84">CX81+10</f>
        <v>46315</v>
      </c>
      <c r="DA81" s="383"/>
    </row>
    <row r="82" spans="1:105" ht="69" customHeight="1">
      <c r="A82" s="230">
        <v>67</v>
      </c>
      <c r="B82" s="231">
        <v>46266</v>
      </c>
      <c r="C82" s="231">
        <v>46266</v>
      </c>
      <c r="D82" s="230" t="s">
        <v>77</v>
      </c>
      <c r="E82" s="232">
        <v>7502327992424</v>
      </c>
      <c r="F82" s="230" t="s">
        <v>1517</v>
      </c>
      <c r="G82" s="233" t="s">
        <v>1518</v>
      </c>
      <c r="H82" s="234"/>
      <c r="I82" s="230">
        <v>2</v>
      </c>
      <c r="J82" s="234" t="s">
        <v>1364</v>
      </c>
      <c r="K82" s="235" t="s">
        <v>1053</v>
      </c>
      <c r="L82" s="236">
        <v>1</v>
      </c>
      <c r="M82" s="255">
        <v>0.4</v>
      </c>
      <c r="N82" s="238" t="s">
        <v>64</v>
      </c>
      <c r="O82" s="239">
        <v>5000</v>
      </c>
      <c r="P82" s="238">
        <f t="shared" si="58"/>
        <v>4.5880000000000001</v>
      </c>
      <c r="Q82" s="238">
        <f>P82*0.25</f>
        <v>1.147</v>
      </c>
      <c r="R82" s="259">
        <f>(P82+Q82)*0.08</f>
        <v>0.45880000000000004</v>
      </c>
      <c r="S82" s="238">
        <f t="shared" si="60"/>
        <v>6.1938000000000004</v>
      </c>
      <c r="T82" s="240">
        <v>99</v>
      </c>
      <c r="U82" s="238">
        <f t="shared" si="71"/>
        <v>85.344827586206904</v>
      </c>
      <c r="V82" s="241">
        <f t="shared" si="72"/>
        <v>51.206896551724142</v>
      </c>
      <c r="W82" s="242">
        <f t="shared" si="73"/>
        <v>0.12095636363636364</v>
      </c>
      <c r="X82" s="243">
        <f t="shared" si="43"/>
        <v>0.87904363636363636</v>
      </c>
      <c r="Y82" s="244">
        <f t="shared" si="44"/>
        <v>0.4</v>
      </c>
      <c r="Z82" s="245" t="s">
        <v>1505</v>
      </c>
      <c r="AA82" s="246" t="s">
        <v>1371</v>
      </c>
      <c r="AB82" s="234"/>
      <c r="AC82" s="234"/>
      <c r="AD82" s="234"/>
      <c r="AE82" s="286"/>
      <c r="AG82" s="247">
        <v>69</v>
      </c>
      <c r="AH82" s="248">
        <f t="shared" si="74"/>
        <v>59.482758620689658</v>
      </c>
      <c r="AI82" s="249">
        <f t="shared" si="75"/>
        <v>0.10412765217391305</v>
      </c>
      <c r="AJ82" s="250">
        <f t="shared" si="47"/>
        <v>0.89587234782608693</v>
      </c>
      <c r="AK82" s="251">
        <f t="shared" si="48"/>
        <v>0</v>
      </c>
      <c r="BA82" s="252">
        <v>1</v>
      </c>
      <c r="BB82" s="252">
        <v>1</v>
      </c>
      <c r="BC82" s="252">
        <v>1</v>
      </c>
      <c r="BD82" s="252">
        <v>1</v>
      </c>
      <c r="BE82" s="252">
        <v>1</v>
      </c>
      <c r="BF82" s="254">
        <v>1</v>
      </c>
      <c r="BG82" s="254">
        <v>1</v>
      </c>
      <c r="BH82" s="254"/>
      <c r="BI82" s="254"/>
      <c r="BJ82" s="252">
        <v>8</v>
      </c>
      <c r="BK82" s="252">
        <f t="shared" si="49"/>
        <v>7</v>
      </c>
      <c r="BL82" s="253">
        <f t="shared" si="76"/>
        <v>0.875</v>
      </c>
      <c r="BR82" s="353" t="s">
        <v>1387</v>
      </c>
      <c r="BS82" s="334"/>
      <c r="BT82" s="81" t="s">
        <v>86</v>
      </c>
      <c r="CJ82" s="382"/>
      <c r="CK82" s="382"/>
      <c r="CL82" s="382"/>
      <c r="CM82" s="382"/>
      <c r="CN82" s="382"/>
      <c r="CO82" s="382"/>
      <c r="CP82" s="383"/>
      <c r="CQ82" s="383"/>
      <c r="CR82" s="383"/>
      <c r="CS82" s="383"/>
      <c r="CT82" s="383"/>
      <c r="CU82" s="383"/>
      <c r="CV82" s="383"/>
      <c r="CW82" s="383"/>
      <c r="CX82" s="383"/>
      <c r="CY82" s="383"/>
      <c r="CZ82" s="383"/>
      <c r="DA82" s="383"/>
    </row>
    <row r="83" spans="1:105" ht="69" customHeight="1">
      <c r="A83" s="230">
        <v>68</v>
      </c>
      <c r="B83" s="231">
        <v>46266</v>
      </c>
      <c r="C83" s="231">
        <v>46266</v>
      </c>
      <c r="D83" s="230" t="s">
        <v>77</v>
      </c>
      <c r="E83" s="232">
        <v>7502327992448</v>
      </c>
      <c r="F83" s="230" t="s">
        <v>1519</v>
      </c>
      <c r="G83" s="233" t="s">
        <v>1520</v>
      </c>
      <c r="H83" s="234"/>
      <c r="I83" s="230">
        <v>1</v>
      </c>
      <c r="J83" s="234" t="s">
        <v>1364</v>
      </c>
      <c r="K83" s="235" t="s">
        <v>1053</v>
      </c>
      <c r="L83" s="236">
        <v>1</v>
      </c>
      <c r="M83" s="255">
        <v>0.97</v>
      </c>
      <c r="N83" s="238" t="s">
        <v>64</v>
      </c>
      <c r="O83" s="239">
        <v>10000</v>
      </c>
      <c r="P83" s="238">
        <f t="shared" si="58"/>
        <v>11.1259</v>
      </c>
      <c r="Q83" s="238">
        <f>+P83*0.15</f>
        <v>1.668885</v>
      </c>
      <c r="R83" s="238">
        <f>(P83+Q83)*38.76%</f>
        <v>4.9592586659999993</v>
      </c>
      <c r="S83" s="238">
        <f t="shared" si="60"/>
        <v>17.754043666000001</v>
      </c>
      <c r="T83" s="240">
        <v>179</v>
      </c>
      <c r="U83" s="238">
        <f t="shared" si="71"/>
        <v>154.31034482758622</v>
      </c>
      <c r="V83" s="241">
        <f t="shared" si="72"/>
        <v>92.58620689655173</v>
      </c>
      <c r="W83" s="242">
        <f t="shared" si="73"/>
        <v>0.19175689620633146</v>
      </c>
      <c r="X83" s="243">
        <f t="shared" si="43"/>
        <v>0.80824310379366859</v>
      </c>
      <c r="Y83" s="244">
        <f t="shared" si="44"/>
        <v>0.4</v>
      </c>
      <c r="Z83" s="245" t="s">
        <v>1505</v>
      </c>
      <c r="AA83" s="246" t="s">
        <v>1371</v>
      </c>
      <c r="AB83" s="234">
        <v>6</v>
      </c>
      <c r="AC83" s="234">
        <v>48</v>
      </c>
      <c r="AD83" s="234"/>
      <c r="AE83" s="286"/>
      <c r="AG83" s="247">
        <v>119</v>
      </c>
      <c r="AH83" s="248">
        <f t="shared" si="74"/>
        <v>102.58620689655173</v>
      </c>
      <c r="AI83" s="249">
        <f t="shared" si="75"/>
        <v>0.17306462733243697</v>
      </c>
      <c r="AJ83" s="250">
        <f t="shared" si="47"/>
        <v>0.82693537266756301</v>
      </c>
      <c r="AK83" s="251">
        <f t="shared" si="48"/>
        <v>0</v>
      </c>
      <c r="BA83" s="252">
        <v>1</v>
      </c>
      <c r="BB83" s="252">
        <v>1</v>
      </c>
      <c r="BC83" s="252">
        <v>1</v>
      </c>
      <c r="BD83" s="252">
        <v>1</v>
      </c>
      <c r="BE83" s="252">
        <v>1</v>
      </c>
      <c r="BF83" s="254">
        <v>1</v>
      </c>
      <c r="BG83" s="254">
        <v>1</v>
      </c>
      <c r="BH83" s="254"/>
      <c r="BI83" s="254"/>
      <c r="BJ83" s="252">
        <v>8</v>
      </c>
      <c r="BK83" s="252">
        <f t="shared" si="49"/>
        <v>7</v>
      </c>
      <c r="BL83" s="253">
        <f t="shared" si="76"/>
        <v>0.875</v>
      </c>
      <c r="BR83" s="353" t="s">
        <v>1387</v>
      </c>
      <c r="BS83" s="334"/>
      <c r="BT83" s="81" t="s">
        <v>86</v>
      </c>
      <c r="CJ83" s="382"/>
      <c r="CK83" s="382"/>
      <c r="CL83" s="382"/>
      <c r="CM83" s="382"/>
      <c r="CN83" s="382"/>
      <c r="CO83" s="382"/>
      <c r="CP83" s="383"/>
      <c r="CQ83" s="383"/>
      <c r="CR83" s="383"/>
      <c r="CS83" s="383"/>
      <c r="CT83" s="383"/>
      <c r="CU83" s="383"/>
      <c r="CV83" s="383"/>
      <c r="CW83" s="383"/>
      <c r="CX83" s="383"/>
      <c r="CY83" s="383"/>
      <c r="CZ83" s="383"/>
      <c r="DA83" s="383"/>
    </row>
    <row r="84" spans="1:105" ht="69" customHeight="1">
      <c r="A84" s="230">
        <v>69</v>
      </c>
      <c r="B84" s="231">
        <v>46266</v>
      </c>
      <c r="C84" s="231">
        <v>46266</v>
      </c>
      <c r="D84" s="230" t="s">
        <v>77</v>
      </c>
      <c r="E84" s="232">
        <v>7502327992462</v>
      </c>
      <c r="F84" s="230" t="s">
        <v>1521</v>
      </c>
      <c r="G84" s="233" t="s">
        <v>1522</v>
      </c>
      <c r="H84" s="234"/>
      <c r="I84" s="230">
        <v>1</v>
      </c>
      <c r="J84" s="234" t="s">
        <v>1364</v>
      </c>
      <c r="K84" s="235" t="s">
        <v>1053</v>
      </c>
      <c r="L84" s="236">
        <v>1</v>
      </c>
      <c r="M84" s="255">
        <v>3.75</v>
      </c>
      <c r="N84" s="238" t="s">
        <v>64</v>
      </c>
      <c r="O84" s="239">
        <v>5000</v>
      </c>
      <c r="P84" s="238">
        <f t="shared" si="58"/>
        <v>43.012500000000003</v>
      </c>
      <c r="Q84" s="238">
        <f>+P84*0.15</f>
        <v>6.4518750000000002</v>
      </c>
      <c r="R84" s="259">
        <f>(P84+Q84)*0.08</f>
        <v>3.9571500000000004</v>
      </c>
      <c r="S84" s="238">
        <f t="shared" si="60"/>
        <v>53.421525000000003</v>
      </c>
      <c r="T84" s="240">
        <v>599</v>
      </c>
      <c r="U84" s="238">
        <f t="shared" si="71"/>
        <v>516.37931034482767</v>
      </c>
      <c r="V84" s="241">
        <f t="shared" si="72"/>
        <v>309.82758620689657</v>
      </c>
      <c r="W84" s="242">
        <f t="shared" si="73"/>
        <v>0.17242339732888146</v>
      </c>
      <c r="X84" s="243">
        <f t="shared" si="43"/>
        <v>0.82757660267111854</v>
      </c>
      <c r="Y84" s="244">
        <f t="shared" si="44"/>
        <v>0.4</v>
      </c>
      <c r="Z84" s="245" t="s">
        <v>1505</v>
      </c>
      <c r="AA84" s="246" t="s">
        <v>1371</v>
      </c>
      <c r="AB84" s="234"/>
      <c r="AC84" s="234"/>
      <c r="AD84" s="465">
        <v>46310</v>
      </c>
      <c r="AE84" s="286"/>
      <c r="AG84" s="247">
        <v>419</v>
      </c>
      <c r="AH84" s="248">
        <f t="shared" si="74"/>
        <v>361.20689655172418</v>
      </c>
      <c r="AI84" s="249">
        <f t="shared" si="75"/>
        <v>0.14789730071599044</v>
      </c>
      <c r="AJ84" s="250">
        <f t="shared" si="47"/>
        <v>0.8521026992840095</v>
      </c>
      <c r="AK84" s="251">
        <f t="shared" si="48"/>
        <v>0</v>
      </c>
      <c r="BA84" s="252">
        <v>1</v>
      </c>
      <c r="BB84" s="252">
        <v>1</v>
      </c>
      <c r="BC84" s="252">
        <v>1</v>
      </c>
      <c r="BD84" s="252">
        <v>1</v>
      </c>
      <c r="BE84" s="252">
        <v>1</v>
      </c>
      <c r="BF84" s="254">
        <v>1</v>
      </c>
      <c r="BG84" s="254">
        <v>1</v>
      </c>
      <c r="BH84" s="254"/>
      <c r="BI84" s="254"/>
      <c r="BJ84" s="252">
        <v>8</v>
      </c>
      <c r="BK84" s="252">
        <f t="shared" si="49"/>
        <v>7</v>
      </c>
      <c r="BL84" s="253">
        <f t="shared" si="76"/>
        <v>0.875</v>
      </c>
      <c r="BR84" s="353" t="s">
        <v>1523</v>
      </c>
      <c r="BS84" s="334"/>
      <c r="BT84" s="81" t="s">
        <v>1524</v>
      </c>
      <c r="CJ84" s="358">
        <v>46168</v>
      </c>
      <c r="CK84" s="358">
        <v>46168</v>
      </c>
      <c r="CL84" s="389">
        <f>CK84+15</f>
        <v>46183</v>
      </c>
      <c r="CM84" s="382"/>
      <c r="CN84" s="389">
        <f>CL84+14</f>
        <v>46197</v>
      </c>
      <c r="CO84" s="382"/>
      <c r="CP84" s="390">
        <f>CN84+45</f>
        <v>46242</v>
      </c>
      <c r="CQ84" s="383"/>
      <c r="CR84" s="390">
        <f>CP84-12</f>
        <v>46230</v>
      </c>
      <c r="CS84" s="383"/>
      <c r="CT84" s="390">
        <f>CP84+7</f>
        <v>46249</v>
      </c>
      <c r="CU84" s="383"/>
      <c r="CV84" s="390">
        <f>CT84+7</f>
        <v>46256</v>
      </c>
      <c r="CW84" s="383"/>
      <c r="CX84" s="390">
        <f>CV84+44</f>
        <v>46300</v>
      </c>
      <c r="CY84" s="383"/>
      <c r="CZ84" s="383"/>
      <c r="DA84" s="383"/>
    </row>
    <row r="85" spans="1:105" ht="69" customHeight="1">
      <c r="A85" s="230">
        <v>70</v>
      </c>
      <c r="B85" s="231">
        <v>46266</v>
      </c>
      <c r="C85" s="231">
        <v>46266</v>
      </c>
      <c r="D85" s="230" t="s">
        <v>77</v>
      </c>
      <c r="E85" s="232">
        <v>7502327992479</v>
      </c>
      <c r="F85" s="230" t="s">
        <v>1525</v>
      </c>
      <c r="G85" s="233" t="s">
        <v>1526</v>
      </c>
      <c r="H85" s="234"/>
      <c r="I85" s="230">
        <v>1</v>
      </c>
      <c r="J85" s="234" t="s">
        <v>1364</v>
      </c>
      <c r="K85" s="235" t="s">
        <v>1053</v>
      </c>
      <c r="L85" s="236">
        <v>1</v>
      </c>
      <c r="M85" s="255">
        <v>4.2</v>
      </c>
      <c r="N85" s="238" t="s">
        <v>64</v>
      </c>
      <c r="O85" s="239">
        <v>5000</v>
      </c>
      <c r="P85" s="238">
        <f t="shared" si="58"/>
        <v>48.174000000000007</v>
      </c>
      <c r="Q85" s="238">
        <f>+P85*0.15</f>
        <v>7.2261000000000006</v>
      </c>
      <c r="R85" s="259">
        <f>(P85+Q85)*0.08</f>
        <v>4.4320080000000006</v>
      </c>
      <c r="S85" s="238">
        <f t="shared" si="60"/>
        <v>59.832108000000005</v>
      </c>
      <c r="T85" s="240">
        <v>599</v>
      </c>
      <c r="U85" s="238">
        <f t="shared" si="71"/>
        <v>516.37931034482767</v>
      </c>
      <c r="V85" s="241">
        <f t="shared" si="72"/>
        <v>309.82758620689657</v>
      </c>
      <c r="W85" s="242">
        <f t="shared" si="73"/>
        <v>0.19311420500834725</v>
      </c>
      <c r="X85" s="243">
        <f t="shared" si="43"/>
        <v>0.8068857949916528</v>
      </c>
      <c r="Y85" s="244">
        <f t="shared" si="44"/>
        <v>0.4</v>
      </c>
      <c r="Z85" s="245" t="s">
        <v>1505</v>
      </c>
      <c r="AA85" s="246" t="s">
        <v>1371</v>
      </c>
      <c r="AB85" s="234"/>
      <c r="AC85" s="234"/>
      <c r="AD85" s="465">
        <v>46310</v>
      </c>
      <c r="AE85" s="286"/>
      <c r="AG85" s="247">
        <v>419</v>
      </c>
      <c r="AH85" s="248">
        <f t="shared" si="74"/>
        <v>361.20689655172418</v>
      </c>
      <c r="AI85" s="249">
        <f t="shared" si="75"/>
        <v>0.16564497680190929</v>
      </c>
      <c r="AJ85" s="250">
        <f t="shared" si="47"/>
        <v>0.83435502319809074</v>
      </c>
      <c r="AK85" s="251">
        <f t="shared" si="48"/>
        <v>0</v>
      </c>
      <c r="BA85" s="252">
        <v>1</v>
      </c>
      <c r="BB85" s="252">
        <v>1</v>
      </c>
      <c r="BC85" s="252">
        <v>1</v>
      </c>
      <c r="BD85" s="252">
        <v>1</v>
      </c>
      <c r="BE85" s="252">
        <v>1</v>
      </c>
      <c r="BF85" s="254">
        <v>1</v>
      </c>
      <c r="BG85" s="254">
        <v>1</v>
      </c>
      <c r="BH85" s="254"/>
      <c r="BI85" s="254"/>
      <c r="BJ85" s="252">
        <v>8</v>
      </c>
      <c r="BK85" s="252">
        <f t="shared" si="49"/>
        <v>7</v>
      </c>
      <c r="BL85" s="253">
        <f t="shared" si="76"/>
        <v>0.875</v>
      </c>
      <c r="BR85" s="353" t="s">
        <v>1523</v>
      </c>
      <c r="BS85" s="334"/>
      <c r="BT85" s="81" t="s">
        <v>1524</v>
      </c>
      <c r="CJ85" s="382"/>
      <c r="CK85" s="382"/>
      <c r="CL85" s="382"/>
      <c r="CM85" s="382"/>
      <c r="CN85" s="382"/>
      <c r="CO85" s="382"/>
      <c r="CP85" s="383"/>
      <c r="CQ85" s="383"/>
      <c r="CR85" s="383"/>
      <c r="CS85" s="383"/>
      <c r="CT85" s="383"/>
      <c r="CU85" s="383"/>
      <c r="CV85" s="383"/>
      <c r="CW85" s="383"/>
      <c r="CX85" s="383"/>
      <c r="CY85" s="383"/>
      <c r="CZ85" s="383"/>
      <c r="DA85" s="383"/>
    </row>
    <row r="86" spans="1:105">
      <c r="BL86" s="289">
        <f>AVERAGE(BL17:BL85)</f>
        <v>0.78962418300653581</v>
      </c>
    </row>
  </sheetData>
  <mergeCells count="2">
    <mergeCell ref="A2:B2"/>
    <mergeCell ref="CJ14:DA14"/>
  </mergeCells>
  <conditionalFormatting sqref="W17:W85">
    <cfRule type="cellIs" dxfId="1" priority="2" operator="greaterThan">
      <formula>0.26</formula>
    </cfRule>
  </conditionalFormatting>
  <conditionalFormatting sqref="AK17:AK85">
    <cfRule type="cellIs" dxfId="0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A68"/>
  <sheetViews>
    <sheetView topLeftCell="BR1" zoomScale="40" zoomScaleNormal="40" workbookViewId="0">
      <selection activeCell="CJ1" sqref="CJ1:DA1048576"/>
    </sheetView>
  </sheetViews>
  <sheetFormatPr defaultColWidth="10.85546875" defaultRowHeight="27.6"/>
  <cols>
    <col min="1" max="1" width="30.5703125" style="263" bestFit="1" customWidth="1"/>
    <col min="2" max="2" width="39.85546875" style="263" bestFit="1" customWidth="1"/>
    <col min="3" max="3" width="27.7109375" style="263" customWidth="1"/>
    <col min="4" max="4" width="33.5703125" style="263" bestFit="1" customWidth="1"/>
    <col min="5" max="5" width="108.140625" style="263" bestFit="1" customWidth="1"/>
    <col min="6" max="6" width="34.7109375" style="263" bestFit="1" customWidth="1"/>
    <col min="7" max="7" width="108.140625" style="263" bestFit="1" customWidth="1"/>
    <col min="8" max="8" width="25.42578125" style="263" bestFit="1" customWidth="1"/>
    <col min="9" max="9" width="20.5703125" style="263" bestFit="1" customWidth="1"/>
    <col min="10" max="52" width="7.42578125" style="263" customWidth="1"/>
    <col min="53" max="53" width="16.28515625" style="288" customWidth="1"/>
    <col min="54" max="54" width="19.42578125" style="288" customWidth="1"/>
    <col min="55" max="55" width="18.42578125" style="288" customWidth="1"/>
    <col min="56" max="56" width="18.7109375" style="288" customWidth="1"/>
    <col min="57" max="60" width="16.28515625" style="288" customWidth="1"/>
    <col min="61" max="61" width="23.140625" style="288" customWidth="1"/>
    <col min="62" max="64" width="16.28515625" style="288" customWidth="1"/>
    <col min="65" max="69" width="10.85546875" style="263"/>
    <col min="70" max="72" width="32.42578125" style="263" customWidth="1"/>
    <col min="73" max="87" width="10.85546875" style="263"/>
    <col min="88" max="93" width="35.42578125" style="279" customWidth="1"/>
    <col min="94" max="105" width="35.42578125" style="266" customWidth="1"/>
    <col min="106" max="16384" width="10.85546875" style="263"/>
  </cols>
  <sheetData>
    <row r="1" spans="1:105" s="261" customFormat="1" ht="27.95">
      <c r="A1" s="307"/>
      <c r="B1" s="308" t="s">
        <v>13</v>
      </c>
      <c r="C1" s="309" t="s">
        <v>248</v>
      </c>
      <c r="D1" s="260"/>
      <c r="E1" s="260"/>
      <c r="F1" s="260"/>
      <c r="G1" s="260"/>
      <c r="H1" s="260"/>
      <c r="I1" s="260"/>
      <c r="BA1" s="260"/>
      <c r="BB1" s="260"/>
      <c r="BC1" s="260"/>
      <c r="BD1" s="260"/>
      <c r="BE1" s="260"/>
      <c r="BF1" s="260"/>
      <c r="BG1" s="260"/>
      <c r="BH1" s="260"/>
      <c r="BI1" s="260"/>
      <c r="BJ1" s="260"/>
      <c r="BK1" s="260"/>
      <c r="BL1" s="260"/>
      <c r="CJ1" s="165"/>
      <c r="CK1" s="165"/>
      <c r="CL1" s="165"/>
      <c r="CM1" s="165"/>
      <c r="CN1" s="165"/>
      <c r="CO1" s="165"/>
      <c r="CP1" s="165"/>
      <c r="CQ1" s="165"/>
      <c r="CR1" s="165"/>
      <c r="CS1" s="165"/>
      <c r="CT1" s="165"/>
      <c r="CU1" s="165"/>
      <c r="CV1" s="165"/>
      <c r="CW1" s="165"/>
      <c r="CX1" s="165"/>
      <c r="CY1" s="165"/>
      <c r="CZ1" s="165"/>
      <c r="DA1" s="165"/>
    </row>
    <row r="2" spans="1:105" s="261" customFormat="1" ht="28.5">
      <c r="A2" s="396" t="s">
        <v>1527</v>
      </c>
      <c r="B2" s="396"/>
      <c r="C2" s="310"/>
      <c r="D2" s="260"/>
      <c r="E2" s="260"/>
      <c r="F2" s="260"/>
      <c r="G2" s="260"/>
      <c r="H2" s="260"/>
      <c r="I2" s="260"/>
      <c r="BA2" s="260"/>
      <c r="BB2" s="260"/>
      <c r="BC2" s="260"/>
      <c r="BD2" s="260"/>
      <c r="BE2" s="260"/>
      <c r="BF2" s="260"/>
      <c r="BG2" s="260"/>
      <c r="BH2" s="260"/>
      <c r="BI2" s="260"/>
      <c r="BJ2" s="260"/>
      <c r="BK2" s="260"/>
      <c r="BL2" s="260"/>
      <c r="CJ2" s="165"/>
      <c r="CK2" s="165"/>
      <c r="CL2" s="165"/>
      <c r="CM2" s="165"/>
      <c r="CN2" s="165"/>
      <c r="CO2" s="165"/>
      <c r="CP2" s="165"/>
      <c r="CQ2" s="165"/>
      <c r="CR2" s="165"/>
      <c r="CS2" s="165"/>
      <c r="CT2" s="165"/>
      <c r="CU2" s="165"/>
      <c r="CV2" s="165"/>
      <c r="CW2" s="165"/>
      <c r="CX2" s="165"/>
      <c r="CY2" s="165"/>
      <c r="CZ2" s="165"/>
      <c r="DA2" s="165"/>
    </row>
    <row r="3" spans="1:105" s="261" customFormat="1" ht="28.5">
      <c r="A3" s="311" t="s">
        <v>254</v>
      </c>
      <c r="B3" s="335"/>
      <c r="C3" s="314"/>
      <c r="D3" s="260"/>
      <c r="E3" s="260"/>
      <c r="F3" s="260"/>
      <c r="G3" s="260"/>
      <c r="H3" s="260"/>
      <c r="I3" s="260"/>
      <c r="BA3" s="260"/>
      <c r="BB3" s="260"/>
      <c r="BC3" s="260"/>
      <c r="BD3" s="260"/>
      <c r="BE3" s="260"/>
      <c r="BF3" s="260"/>
      <c r="BG3" s="260"/>
      <c r="BH3" s="260"/>
      <c r="BI3" s="260"/>
      <c r="BJ3" s="260"/>
      <c r="BK3" s="260"/>
      <c r="BL3" s="260"/>
      <c r="CJ3" s="165"/>
      <c r="CK3" s="165"/>
      <c r="CL3" s="165"/>
      <c r="CM3" s="165"/>
      <c r="CN3" s="165"/>
      <c r="CO3" s="165"/>
      <c r="CP3" s="165"/>
      <c r="CQ3" s="165"/>
      <c r="CR3" s="165"/>
      <c r="CS3" s="165"/>
      <c r="CT3" s="165"/>
      <c r="CU3" s="165"/>
      <c r="CV3" s="165"/>
      <c r="CW3" s="165"/>
      <c r="CX3" s="165"/>
      <c r="CY3" s="165"/>
      <c r="CZ3" s="165"/>
      <c r="DA3" s="165"/>
    </row>
    <row r="4" spans="1:105" s="261" customFormat="1" ht="28.5">
      <c r="A4" s="336" t="s">
        <v>1037</v>
      </c>
      <c r="B4" s="337"/>
      <c r="C4" s="338"/>
      <c r="D4" s="260"/>
      <c r="E4" s="260"/>
      <c r="F4" s="260"/>
      <c r="G4" s="260"/>
      <c r="H4" s="260"/>
      <c r="I4" s="260"/>
      <c r="BA4" s="260"/>
      <c r="BB4" s="260"/>
      <c r="BC4" s="260"/>
      <c r="BD4" s="260"/>
      <c r="BE4" s="260"/>
      <c r="BF4" s="260"/>
      <c r="BG4" s="260"/>
      <c r="BH4" s="260"/>
      <c r="BI4" s="260"/>
      <c r="BJ4" s="260"/>
      <c r="BK4" s="260"/>
      <c r="BL4" s="260"/>
      <c r="CJ4" s="165"/>
      <c r="CK4" s="165"/>
      <c r="CL4" s="165"/>
      <c r="CM4" s="165"/>
      <c r="CN4" s="165"/>
      <c r="CO4" s="165"/>
      <c r="CP4" s="165"/>
      <c r="CQ4" s="165"/>
      <c r="CR4" s="165"/>
      <c r="CS4" s="165"/>
      <c r="CT4" s="165"/>
      <c r="CU4" s="165"/>
      <c r="CV4" s="165"/>
      <c r="CW4" s="165"/>
      <c r="CX4" s="165"/>
      <c r="CY4" s="165"/>
      <c r="CZ4" s="165"/>
      <c r="DA4" s="165"/>
    </row>
    <row r="5" spans="1:105" s="261" customFormat="1" ht="28.5">
      <c r="A5" s="311" t="s">
        <v>256</v>
      </c>
      <c r="B5" s="312"/>
      <c r="C5" s="314"/>
      <c r="D5" s="260"/>
      <c r="E5" s="260"/>
      <c r="F5" s="260"/>
      <c r="G5" s="260"/>
      <c r="H5" s="260"/>
      <c r="I5" s="260"/>
      <c r="BA5" s="260"/>
      <c r="BB5" s="260"/>
      <c r="BC5" s="260"/>
      <c r="BD5" s="260"/>
      <c r="BE5" s="260"/>
      <c r="BF5" s="260"/>
      <c r="BG5" s="260"/>
      <c r="BH5" s="260"/>
      <c r="BI5" s="260"/>
      <c r="BJ5" s="260"/>
      <c r="BK5" s="260"/>
      <c r="BL5" s="260"/>
      <c r="CJ5" s="165"/>
      <c r="CK5" s="165"/>
      <c r="CL5" s="165"/>
      <c r="CM5" s="165"/>
      <c r="CN5" s="165"/>
      <c r="CO5" s="165"/>
      <c r="CP5" s="165"/>
      <c r="CQ5" s="165"/>
      <c r="CR5" s="165"/>
      <c r="CS5" s="165"/>
      <c r="CT5" s="165"/>
      <c r="CU5" s="165"/>
      <c r="CV5" s="165"/>
      <c r="CW5" s="165"/>
      <c r="CX5" s="165"/>
      <c r="CY5" s="165"/>
      <c r="CZ5" s="165"/>
      <c r="DA5" s="165"/>
    </row>
    <row r="6" spans="1:105" s="261" customFormat="1" ht="28.5">
      <c r="A6" s="311" t="s">
        <v>255</v>
      </c>
      <c r="B6" s="312"/>
      <c r="C6" s="314"/>
      <c r="D6" s="260"/>
      <c r="E6" s="260"/>
      <c r="F6" s="260"/>
      <c r="G6" s="260"/>
      <c r="H6" s="260"/>
      <c r="I6" s="260"/>
      <c r="BA6" s="260"/>
      <c r="BB6" s="260"/>
      <c r="BC6" s="260"/>
      <c r="BD6" s="260"/>
      <c r="BE6" s="260"/>
      <c r="BF6" s="260"/>
      <c r="BG6" s="260"/>
      <c r="BH6" s="260"/>
      <c r="BI6" s="260"/>
      <c r="BJ6" s="260"/>
      <c r="BK6" s="260"/>
      <c r="BL6" s="260"/>
      <c r="CJ6" s="165"/>
      <c r="CK6" s="165"/>
      <c r="CL6" s="165"/>
      <c r="CM6" s="165"/>
      <c r="CN6" s="165"/>
      <c r="CO6" s="165"/>
      <c r="CP6" s="165"/>
      <c r="CQ6" s="165"/>
      <c r="CR6" s="165"/>
      <c r="CS6" s="165"/>
      <c r="CT6" s="165"/>
      <c r="CU6" s="165"/>
      <c r="CV6" s="165"/>
      <c r="CW6" s="165"/>
      <c r="CX6" s="165"/>
      <c r="CY6" s="165"/>
      <c r="CZ6" s="165"/>
      <c r="DA6" s="165"/>
    </row>
    <row r="7" spans="1:105" s="261" customFormat="1" ht="28.5">
      <c r="A7" s="311" t="s">
        <v>257</v>
      </c>
      <c r="B7" s="312"/>
      <c r="C7" s="314"/>
      <c r="D7" s="260"/>
      <c r="E7" s="260"/>
      <c r="F7" s="260"/>
      <c r="G7" s="260"/>
      <c r="H7" s="260"/>
      <c r="I7" s="260"/>
      <c r="BA7" s="260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CJ7" s="165"/>
      <c r="CK7" s="165"/>
      <c r="CL7" s="165"/>
      <c r="CM7" s="165"/>
      <c r="CN7" s="165"/>
      <c r="CO7" s="165"/>
      <c r="CP7" s="165"/>
      <c r="CQ7" s="165"/>
      <c r="CR7" s="165"/>
      <c r="CS7" s="165"/>
      <c r="CT7" s="165"/>
      <c r="CU7" s="165"/>
      <c r="CV7" s="165"/>
      <c r="CW7" s="165"/>
      <c r="CX7" s="165"/>
      <c r="CY7" s="165"/>
      <c r="CZ7" s="165"/>
      <c r="DA7" s="165"/>
    </row>
    <row r="8" spans="1:105" s="261" customFormat="1" ht="28.5">
      <c r="A8" s="315" t="s">
        <v>258</v>
      </c>
      <c r="B8" s="316"/>
      <c r="C8" s="339"/>
      <c r="D8" s="260"/>
      <c r="E8" s="260"/>
      <c r="F8" s="260"/>
      <c r="G8" s="260"/>
      <c r="H8" s="260"/>
      <c r="I8" s="260"/>
      <c r="BA8" s="260"/>
      <c r="BB8" s="260"/>
      <c r="BC8" s="260"/>
      <c r="BD8" s="260"/>
      <c r="BE8" s="260"/>
      <c r="BF8" s="260"/>
      <c r="BG8" s="260"/>
      <c r="BH8" s="260"/>
      <c r="BI8" s="260"/>
      <c r="BJ8" s="260"/>
      <c r="BK8" s="260"/>
      <c r="BL8" s="260"/>
      <c r="CJ8" s="165"/>
      <c r="CK8" s="165"/>
      <c r="CL8" s="165"/>
      <c r="CM8" s="165"/>
      <c r="CN8" s="165"/>
      <c r="CO8" s="165"/>
      <c r="CP8" s="165"/>
      <c r="CQ8" s="165"/>
      <c r="CR8" s="165"/>
      <c r="CS8" s="165"/>
      <c r="CT8" s="165"/>
      <c r="CU8" s="165"/>
      <c r="CV8" s="165"/>
      <c r="CW8" s="165"/>
      <c r="CX8" s="165"/>
      <c r="CY8" s="165"/>
      <c r="CZ8" s="165"/>
      <c r="DA8" s="165"/>
    </row>
    <row r="9" spans="1:105" s="261" customFormat="1" ht="27.95">
      <c r="A9" s="260"/>
      <c r="B9" s="260"/>
      <c r="C9" s="260"/>
      <c r="D9" s="260"/>
      <c r="E9" s="260"/>
      <c r="F9" s="260"/>
      <c r="G9" s="260"/>
      <c r="H9" s="260"/>
      <c r="I9" s="260"/>
      <c r="BA9" s="260"/>
      <c r="BB9" s="260"/>
      <c r="BC9" s="260"/>
      <c r="BD9" s="260"/>
      <c r="BE9" s="260"/>
      <c r="BF9" s="260"/>
      <c r="BG9" s="260"/>
      <c r="BH9" s="260"/>
      <c r="BI9" s="260"/>
      <c r="BJ9" s="260"/>
      <c r="BK9" s="260"/>
      <c r="BL9" s="260"/>
      <c r="CJ9" s="165"/>
      <c r="CK9" s="165"/>
      <c r="CL9" s="165"/>
      <c r="CM9" s="165"/>
      <c r="CN9" s="165"/>
      <c r="CO9" s="165"/>
      <c r="CP9" s="165"/>
      <c r="CQ9" s="165"/>
      <c r="CR9" s="165"/>
      <c r="CS9" s="165"/>
      <c r="CT9" s="165"/>
      <c r="CU9" s="165"/>
      <c r="CV9" s="165"/>
      <c r="CW9" s="165"/>
      <c r="CX9" s="165"/>
      <c r="CY9" s="165"/>
      <c r="CZ9" s="165"/>
      <c r="DA9" s="165"/>
    </row>
    <row r="10" spans="1:105" s="261" customFormat="1" ht="27.95">
      <c r="A10" s="260"/>
      <c r="B10" s="260"/>
      <c r="C10" s="260"/>
      <c r="D10" s="260"/>
      <c r="E10" s="260"/>
      <c r="F10" s="260"/>
      <c r="G10" s="260"/>
      <c r="H10" s="260"/>
      <c r="I10" s="260"/>
      <c r="BA10" s="260"/>
      <c r="BB10" s="260"/>
      <c r="BC10" s="260"/>
      <c r="BD10" s="260"/>
      <c r="BE10" s="260"/>
      <c r="BF10" s="260"/>
      <c r="BG10" s="260"/>
      <c r="BH10" s="260"/>
      <c r="BI10" s="260"/>
      <c r="BJ10" s="260"/>
      <c r="BK10" s="260"/>
      <c r="BL10" s="260"/>
      <c r="CJ10" s="165"/>
      <c r="CK10" s="165"/>
      <c r="CL10" s="165"/>
      <c r="CM10" s="165"/>
      <c r="CN10" s="165"/>
      <c r="CO10" s="165"/>
      <c r="CP10" s="165"/>
      <c r="CQ10" s="165"/>
      <c r="CR10" s="165"/>
      <c r="CS10" s="165"/>
      <c r="CT10" s="165"/>
      <c r="CU10" s="165"/>
      <c r="CV10" s="165"/>
      <c r="CW10" s="165"/>
      <c r="CX10" s="165"/>
      <c r="CY10" s="165"/>
      <c r="CZ10" s="165"/>
      <c r="DA10" s="165"/>
    </row>
    <row r="11" spans="1:105" s="261" customFormat="1" ht="27.95">
      <c r="A11" s="260"/>
      <c r="B11" s="260"/>
      <c r="C11" s="260"/>
      <c r="D11" s="260"/>
      <c r="E11" s="260"/>
      <c r="F11" s="260"/>
      <c r="G11" s="260"/>
      <c r="H11" s="260"/>
      <c r="I11" s="260"/>
      <c r="BA11" s="260"/>
      <c r="BB11" s="260"/>
      <c r="BC11" s="260"/>
      <c r="BD11" s="260"/>
      <c r="BE11" s="260"/>
      <c r="BF11" s="260"/>
      <c r="BG11" s="260"/>
      <c r="BH11" s="260"/>
      <c r="BI11" s="260"/>
      <c r="BJ11" s="260"/>
      <c r="BK11" s="260"/>
      <c r="BL11" s="260"/>
      <c r="CJ11" s="165"/>
      <c r="CK11" s="165"/>
      <c r="CL11" s="165"/>
      <c r="CM11" s="165"/>
      <c r="CN11" s="165"/>
      <c r="CO11" s="165"/>
      <c r="CP11" s="165"/>
      <c r="CQ11" s="165"/>
      <c r="CR11" s="165"/>
      <c r="CS11" s="165"/>
      <c r="CT11" s="165"/>
      <c r="CU11" s="165"/>
      <c r="CV11" s="165"/>
      <c r="CW11" s="165"/>
      <c r="CX11" s="165"/>
      <c r="CY11" s="165"/>
      <c r="CZ11" s="165"/>
      <c r="DA11" s="165"/>
    </row>
    <row r="12" spans="1:105" s="261" customFormat="1" ht="27.95">
      <c r="A12" s="260"/>
      <c r="B12" s="260"/>
      <c r="C12" s="260"/>
      <c r="D12" s="260"/>
      <c r="E12" s="260"/>
      <c r="F12" s="260"/>
      <c r="G12" s="260"/>
      <c r="H12" s="260"/>
      <c r="I12" s="260"/>
      <c r="BA12" s="260"/>
      <c r="BB12" s="260"/>
      <c r="BC12" s="260"/>
      <c r="BD12" s="260"/>
      <c r="BE12" s="260"/>
      <c r="BF12" s="260"/>
      <c r="BG12" s="260"/>
      <c r="BH12" s="260"/>
      <c r="BI12" s="260"/>
      <c r="BJ12" s="260"/>
      <c r="BK12" s="260"/>
      <c r="BL12" s="260"/>
      <c r="CJ12" s="165"/>
      <c r="CK12" s="165"/>
      <c r="CL12" s="165"/>
      <c r="CM12" s="165"/>
      <c r="CN12" s="165"/>
      <c r="CO12" s="165"/>
      <c r="CP12" s="165"/>
      <c r="CQ12" s="165"/>
      <c r="CR12" s="165"/>
      <c r="CS12" s="165"/>
      <c r="CT12" s="165"/>
      <c r="CU12" s="165"/>
      <c r="CV12" s="165"/>
      <c r="CW12" s="165"/>
      <c r="CX12" s="165"/>
      <c r="CY12" s="165"/>
      <c r="CZ12" s="165"/>
      <c r="DA12" s="165"/>
    </row>
    <row r="13" spans="1:105" s="261" customFormat="1" ht="20.100000000000001">
      <c r="A13" s="260"/>
      <c r="B13" s="260"/>
      <c r="C13" s="260"/>
      <c r="D13" s="260"/>
      <c r="E13" s="260"/>
      <c r="F13" s="260"/>
      <c r="G13" s="260"/>
      <c r="H13" s="260"/>
      <c r="I13" s="260"/>
      <c r="BA13" s="260"/>
      <c r="BB13" s="260"/>
      <c r="BC13" s="260"/>
      <c r="BD13" s="260"/>
      <c r="BE13" s="260"/>
      <c r="BF13" s="260"/>
      <c r="BG13" s="260"/>
      <c r="BH13" s="260"/>
      <c r="BI13" s="260"/>
      <c r="BJ13" s="260"/>
      <c r="BK13" s="260"/>
      <c r="BL13" s="260"/>
      <c r="CJ13" s="168"/>
      <c r="CK13" s="168"/>
      <c r="CL13" s="168"/>
      <c r="CM13" s="168"/>
      <c r="CN13" s="168"/>
      <c r="CO13" s="168"/>
      <c r="CP13" s="168"/>
      <c r="CQ13" s="168"/>
      <c r="CR13" s="168"/>
      <c r="CS13" s="168"/>
      <c r="CT13" s="168"/>
      <c r="CU13" s="168"/>
      <c r="CV13" s="168"/>
      <c r="CW13" s="168"/>
      <c r="CX13" s="168"/>
      <c r="CY13" s="168"/>
      <c r="CZ13" s="168"/>
      <c r="DA13" s="168"/>
    </row>
    <row r="14" spans="1:105" s="261" customFormat="1" ht="35.1" customHeight="1">
      <c r="A14" s="260"/>
      <c r="B14" s="260"/>
      <c r="C14" s="260"/>
      <c r="D14" s="260"/>
      <c r="E14" s="260"/>
      <c r="F14" s="260"/>
      <c r="G14" s="260"/>
      <c r="H14" s="260"/>
      <c r="I14" s="260"/>
      <c r="BA14" s="260"/>
      <c r="BB14" s="260"/>
      <c r="BC14" s="260"/>
      <c r="BD14" s="260"/>
      <c r="BE14" s="260"/>
      <c r="BF14" s="260"/>
      <c r="BG14" s="260"/>
      <c r="BH14" s="260"/>
      <c r="BI14" s="260"/>
      <c r="BJ14" s="260"/>
      <c r="BK14" s="260"/>
      <c r="BL14" s="260"/>
      <c r="CJ14" s="394" t="s">
        <v>0</v>
      </c>
      <c r="CK14" s="395"/>
      <c r="CL14" s="395"/>
      <c r="CM14" s="395"/>
      <c r="CN14" s="395"/>
      <c r="CO14" s="395"/>
      <c r="CP14" s="395"/>
      <c r="CQ14" s="395"/>
      <c r="CR14" s="395"/>
      <c r="CS14" s="395"/>
      <c r="CT14" s="395"/>
      <c r="CU14" s="395"/>
      <c r="CV14" s="395"/>
      <c r="CW14" s="395"/>
      <c r="CX14" s="395"/>
      <c r="CY14" s="395"/>
      <c r="CZ14" s="395"/>
      <c r="DA14" s="395"/>
    </row>
    <row r="15" spans="1:105" s="261" customFormat="1" ht="56.1">
      <c r="A15" s="260"/>
      <c r="B15" s="260"/>
      <c r="C15" s="260"/>
      <c r="D15" s="260"/>
      <c r="E15" s="260"/>
      <c r="F15" s="260"/>
      <c r="G15" s="260"/>
      <c r="H15" s="260"/>
      <c r="I15" s="260"/>
      <c r="BA15" s="260"/>
      <c r="BB15" s="260"/>
      <c r="BC15" s="260"/>
      <c r="BD15" s="260"/>
      <c r="BE15" s="260"/>
      <c r="BF15" s="260"/>
      <c r="BG15" s="260"/>
      <c r="BH15" s="260"/>
      <c r="BI15" s="260"/>
      <c r="BJ15" s="260"/>
      <c r="BK15" s="260"/>
      <c r="BL15" s="260"/>
      <c r="CJ15" s="356" t="s">
        <v>1</v>
      </c>
      <c r="CK15" s="356"/>
      <c r="CL15" s="356" t="s">
        <v>2</v>
      </c>
      <c r="CM15" s="356"/>
      <c r="CN15" s="356" t="s">
        <v>3</v>
      </c>
      <c r="CO15" s="356"/>
      <c r="CP15" s="356" t="s">
        <v>4</v>
      </c>
      <c r="CQ15" s="356"/>
      <c r="CR15" s="356" t="s">
        <v>5</v>
      </c>
      <c r="CS15" s="356"/>
      <c r="CT15" s="356" t="s">
        <v>6</v>
      </c>
      <c r="CU15" s="356"/>
      <c r="CV15" s="356" t="s">
        <v>7</v>
      </c>
      <c r="CW15" s="356"/>
      <c r="CX15" s="356" t="s">
        <v>8</v>
      </c>
      <c r="CY15" s="356"/>
      <c r="CZ15" s="356" t="s">
        <v>9</v>
      </c>
      <c r="DA15" s="356"/>
    </row>
    <row r="16" spans="1:105" s="261" customFormat="1" ht="56.1">
      <c r="A16" s="262" t="s">
        <v>10</v>
      </c>
      <c r="B16" s="262" t="s">
        <v>1528</v>
      </c>
      <c r="C16" s="262" t="s">
        <v>14</v>
      </c>
      <c r="D16" s="262" t="s">
        <v>15</v>
      </c>
      <c r="E16" s="262" t="s">
        <v>1529</v>
      </c>
      <c r="F16" s="262" t="s">
        <v>1530</v>
      </c>
      <c r="G16" s="262" t="s">
        <v>1531</v>
      </c>
      <c r="H16" s="262" t="s">
        <v>18</v>
      </c>
      <c r="I16" s="262" t="s">
        <v>19</v>
      </c>
      <c r="J16" s="263"/>
      <c r="K16" s="263"/>
      <c r="L16" s="263"/>
      <c r="M16" s="263"/>
      <c r="N16" s="263"/>
      <c r="O16" s="263"/>
      <c r="P16" s="263"/>
      <c r="Q16" s="263"/>
      <c r="R16" s="263"/>
      <c r="S16" s="263"/>
      <c r="T16" s="263"/>
      <c r="U16" s="263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3"/>
      <c r="AO16" s="263"/>
      <c r="AP16" s="263"/>
      <c r="AQ16" s="263"/>
      <c r="AR16" s="263"/>
      <c r="AS16" s="263"/>
      <c r="AT16" s="263"/>
      <c r="AU16" s="263"/>
      <c r="AV16" s="263"/>
      <c r="AW16" s="263"/>
      <c r="AX16" s="263"/>
      <c r="AY16" s="263"/>
      <c r="AZ16" s="263"/>
      <c r="BA16" s="262" t="s">
        <v>40</v>
      </c>
      <c r="BB16" s="262" t="s">
        <v>41</v>
      </c>
      <c r="BC16" s="262" t="s">
        <v>42</v>
      </c>
      <c r="BD16" s="262" t="s">
        <v>43</v>
      </c>
      <c r="BE16" s="262" t="s">
        <v>44</v>
      </c>
      <c r="BF16" s="262" t="s">
        <v>45</v>
      </c>
      <c r="BG16" s="262" t="s">
        <v>46</v>
      </c>
      <c r="BH16" s="1" t="s">
        <v>47</v>
      </c>
      <c r="BI16" s="262" t="s">
        <v>48</v>
      </c>
      <c r="BJ16" s="262" t="s">
        <v>49</v>
      </c>
      <c r="BK16" s="262" t="s">
        <v>13</v>
      </c>
      <c r="BL16" s="262" t="s">
        <v>50</v>
      </c>
      <c r="BM16" s="263"/>
      <c r="BN16" s="263"/>
      <c r="BO16" s="263"/>
      <c r="BP16" s="263"/>
      <c r="BQ16" s="263"/>
      <c r="BR16" s="333" t="s">
        <v>38</v>
      </c>
      <c r="BS16" s="333" t="s">
        <v>39</v>
      </c>
      <c r="BT16" s="333" t="s">
        <v>53</v>
      </c>
      <c r="CJ16" s="357" t="s">
        <v>54</v>
      </c>
      <c r="CK16" s="357" t="s">
        <v>55</v>
      </c>
      <c r="CL16" s="357" t="s">
        <v>54</v>
      </c>
      <c r="CM16" s="357" t="s">
        <v>55</v>
      </c>
      <c r="CN16" s="357" t="s">
        <v>54</v>
      </c>
      <c r="CO16" s="357" t="s">
        <v>55</v>
      </c>
      <c r="CP16" s="357" t="s">
        <v>54</v>
      </c>
      <c r="CQ16" s="357" t="s">
        <v>55</v>
      </c>
      <c r="CR16" s="357" t="s">
        <v>54</v>
      </c>
      <c r="CS16" s="357" t="s">
        <v>55</v>
      </c>
      <c r="CT16" s="357" t="s">
        <v>54</v>
      </c>
      <c r="CU16" s="357" t="s">
        <v>55</v>
      </c>
      <c r="CV16" s="357" t="s">
        <v>54</v>
      </c>
      <c r="CW16" s="357" t="s">
        <v>55</v>
      </c>
      <c r="CX16" s="357" t="s">
        <v>54</v>
      </c>
      <c r="CY16" s="357" t="s">
        <v>55</v>
      </c>
      <c r="CZ16" s="357" t="s">
        <v>54</v>
      </c>
      <c r="DA16" s="357" t="s">
        <v>55</v>
      </c>
    </row>
    <row r="17" spans="1:105" ht="129.94999999999999">
      <c r="A17" s="264">
        <v>1</v>
      </c>
      <c r="B17" s="264" t="s">
        <v>1532</v>
      </c>
      <c r="C17" s="264" t="s">
        <v>176</v>
      </c>
      <c r="D17" s="264" t="s">
        <v>1533</v>
      </c>
      <c r="E17" s="264" t="s">
        <v>1534</v>
      </c>
      <c r="F17" s="264"/>
      <c r="G17" s="264" t="s">
        <v>1534</v>
      </c>
      <c r="H17" s="264" t="s">
        <v>1535</v>
      </c>
      <c r="I17" s="264" t="s">
        <v>1536</v>
      </c>
      <c r="BA17" s="264">
        <v>1</v>
      </c>
      <c r="BB17" s="264">
        <v>1</v>
      </c>
      <c r="BC17" s="264"/>
      <c r="BD17" s="264">
        <v>1</v>
      </c>
      <c r="BE17" s="264"/>
      <c r="BF17" s="264"/>
      <c r="BG17" s="264"/>
      <c r="BH17" s="264"/>
      <c r="BI17" s="264"/>
      <c r="BJ17" s="264">
        <v>9</v>
      </c>
      <c r="BK17" s="264">
        <f t="shared" ref="BK17:BK56" si="0">SUM(BA17:BI17)</f>
        <v>3</v>
      </c>
      <c r="BL17" s="265">
        <f t="shared" ref="BL17:BL56" si="1">+BK17/BJ17</f>
        <v>0.33333333333333331</v>
      </c>
      <c r="BR17" s="81" t="s">
        <v>1537</v>
      </c>
      <c r="BS17" s="81"/>
      <c r="BT17" s="81"/>
      <c r="CJ17" s="358">
        <v>45809</v>
      </c>
      <c r="CK17" s="358">
        <v>45809</v>
      </c>
      <c r="CL17" s="278"/>
      <c r="CM17" s="278"/>
      <c r="CN17" s="278"/>
      <c r="CO17" s="278"/>
      <c r="CP17" s="268"/>
      <c r="CQ17" s="268"/>
      <c r="CR17" s="267"/>
      <c r="CS17" s="267"/>
      <c r="CT17" s="267"/>
      <c r="CU17" s="267"/>
      <c r="CV17" s="267"/>
      <c r="CW17" s="267"/>
      <c r="CX17" s="267"/>
      <c r="CY17" s="267"/>
      <c r="CZ17" s="267"/>
      <c r="DA17" s="267"/>
    </row>
    <row r="18" spans="1:105" ht="41.45" customHeight="1">
      <c r="A18" s="264">
        <v>2</v>
      </c>
      <c r="B18" s="264" t="s">
        <v>1532</v>
      </c>
      <c r="C18" s="264" t="s">
        <v>176</v>
      </c>
      <c r="D18" s="264" t="s">
        <v>1538</v>
      </c>
      <c r="E18" s="264" t="s">
        <v>1539</v>
      </c>
      <c r="F18" s="264"/>
      <c r="G18" s="264" t="s">
        <v>1539</v>
      </c>
      <c r="H18" s="264" t="s">
        <v>1540</v>
      </c>
      <c r="I18" s="264" t="s">
        <v>1536</v>
      </c>
      <c r="BA18" s="264">
        <v>1</v>
      </c>
      <c r="BB18" s="264">
        <v>1</v>
      </c>
      <c r="BC18" s="264"/>
      <c r="BD18" s="264">
        <v>1</v>
      </c>
      <c r="BE18" s="287"/>
      <c r="BF18" s="287"/>
      <c r="BG18" s="287"/>
      <c r="BH18" s="287"/>
      <c r="BI18" s="287"/>
      <c r="BJ18" s="264">
        <v>9</v>
      </c>
      <c r="BK18" s="264">
        <f t="shared" si="0"/>
        <v>3</v>
      </c>
      <c r="BL18" s="265">
        <f t="shared" si="1"/>
        <v>0.33333333333333331</v>
      </c>
      <c r="BR18" s="81" t="s">
        <v>1537</v>
      </c>
      <c r="BS18" s="340"/>
      <c r="BT18" s="340"/>
      <c r="CJ18" s="278"/>
      <c r="CK18" s="278"/>
      <c r="CL18" s="278"/>
      <c r="CM18" s="278"/>
      <c r="CN18" s="278"/>
      <c r="CO18" s="278"/>
      <c r="CP18" s="268"/>
      <c r="CQ18" s="268"/>
      <c r="CR18" s="267"/>
      <c r="CS18" s="267"/>
      <c r="CT18" s="267"/>
      <c r="CU18" s="267"/>
      <c r="CV18" s="267"/>
      <c r="CW18" s="267"/>
      <c r="CX18" s="267"/>
      <c r="CY18" s="267"/>
      <c r="CZ18" s="267"/>
      <c r="DA18" s="267"/>
    </row>
    <row r="19" spans="1:105" ht="41.45" customHeight="1">
      <c r="A19" s="264">
        <v>3</v>
      </c>
      <c r="B19" s="264" t="s">
        <v>1532</v>
      </c>
      <c r="C19" s="264" t="s">
        <v>176</v>
      </c>
      <c r="D19" s="264" t="s">
        <v>1541</v>
      </c>
      <c r="E19" s="264" t="s">
        <v>1542</v>
      </c>
      <c r="F19" s="264"/>
      <c r="G19" s="264" t="s">
        <v>1542</v>
      </c>
      <c r="H19" s="264" t="s">
        <v>654</v>
      </c>
      <c r="I19" s="264" t="s">
        <v>1536</v>
      </c>
      <c r="BA19" s="264">
        <v>1</v>
      </c>
      <c r="BB19" s="264">
        <v>1</v>
      </c>
      <c r="BC19" s="264"/>
      <c r="BD19" s="264">
        <v>1</v>
      </c>
      <c r="BE19" s="264"/>
      <c r="BF19" s="264"/>
      <c r="BG19" s="264"/>
      <c r="BH19" s="264"/>
      <c r="BI19" s="264"/>
      <c r="BJ19" s="264">
        <v>9</v>
      </c>
      <c r="BK19" s="264">
        <f t="shared" si="0"/>
        <v>3</v>
      </c>
      <c r="BL19" s="265">
        <f t="shared" si="1"/>
        <v>0.33333333333333331</v>
      </c>
      <c r="BR19" s="81" t="s">
        <v>1537</v>
      </c>
      <c r="BS19" s="340"/>
      <c r="BT19" s="340"/>
      <c r="CJ19" s="278"/>
      <c r="CK19" s="278"/>
      <c r="CL19" s="278"/>
      <c r="CM19" s="278"/>
      <c r="CN19" s="278"/>
      <c r="CO19" s="278"/>
      <c r="CP19" s="268"/>
      <c r="CQ19" s="268"/>
      <c r="CR19" s="267"/>
      <c r="CS19" s="267"/>
      <c r="CT19" s="267"/>
      <c r="CU19" s="267"/>
      <c r="CV19" s="267"/>
      <c r="CW19" s="267"/>
      <c r="CX19" s="267"/>
      <c r="CY19" s="267"/>
      <c r="CZ19" s="267"/>
      <c r="DA19" s="267"/>
    </row>
    <row r="20" spans="1:105" ht="41.45" customHeight="1">
      <c r="A20" s="264">
        <v>4</v>
      </c>
      <c r="B20" s="264" t="s">
        <v>1532</v>
      </c>
      <c r="C20" s="264" t="s">
        <v>176</v>
      </c>
      <c r="D20" s="264" t="s">
        <v>1543</v>
      </c>
      <c r="E20" s="264" t="s">
        <v>1544</v>
      </c>
      <c r="F20" s="264"/>
      <c r="G20" s="264" t="s">
        <v>1544</v>
      </c>
      <c r="H20" s="264" t="s">
        <v>228</v>
      </c>
      <c r="I20" s="264" t="s">
        <v>1536</v>
      </c>
      <c r="BA20" s="264">
        <v>1</v>
      </c>
      <c r="BB20" s="264">
        <v>1</v>
      </c>
      <c r="BC20" s="264"/>
      <c r="BD20" s="264">
        <v>1</v>
      </c>
      <c r="BE20" s="287"/>
      <c r="BF20" s="287"/>
      <c r="BG20" s="287"/>
      <c r="BH20" s="287"/>
      <c r="BI20" s="287"/>
      <c r="BJ20" s="264">
        <v>9</v>
      </c>
      <c r="BK20" s="264">
        <f t="shared" si="0"/>
        <v>3</v>
      </c>
      <c r="BL20" s="265">
        <f t="shared" si="1"/>
        <v>0.33333333333333331</v>
      </c>
      <c r="BR20" s="81" t="s">
        <v>1537</v>
      </c>
      <c r="BS20" s="340"/>
      <c r="BT20" s="340"/>
      <c r="CJ20" s="278"/>
      <c r="CK20" s="278"/>
      <c r="CL20" s="278"/>
      <c r="CM20" s="278"/>
      <c r="CN20" s="278"/>
      <c r="CO20" s="278"/>
      <c r="CP20" s="268"/>
      <c r="CQ20" s="268"/>
      <c r="CR20" s="267"/>
      <c r="CS20" s="267"/>
      <c r="CT20" s="267"/>
      <c r="CU20" s="267"/>
      <c r="CV20" s="267"/>
      <c r="CW20" s="267"/>
      <c r="CX20" s="267"/>
      <c r="CY20" s="267"/>
      <c r="CZ20" s="267"/>
      <c r="DA20" s="267"/>
    </row>
    <row r="21" spans="1:105" ht="41.45" customHeight="1">
      <c r="A21" s="264">
        <v>5</v>
      </c>
      <c r="B21" s="264" t="s">
        <v>1532</v>
      </c>
      <c r="C21" s="264" t="s">
        <v>176</v>
      </c>
      <c r="D21" s="264" t="s">
        <v>1545</v>
      </c>
      <c r="E21" s="264" t="s">
        <v>1546</v>
      </c>
      <c r="F21" s="264"/>
      <c r="G21" s="264" t="s">
        <v>1546</v>
      </c>
      <c r="H21" s="264" t="s">
        <v>654</v>
      </c>
      <c r="I21" s="264" t="s">
        <v>1536</v>
      </c>
      <c r="BA21" s="264">
        <v>1</v>
      </c>
      <c r="BB21" s="264">
        <v>1</v>
      </c>
      <c r="BC21" s="264"/>
      <c r="BD21" s="264">
        <v>1</v>
      </c>
      <c r="BE21" s="264"/>
      <c r="BF21" s="264"/>
      <c r="BG21" s="264"/>
      <c r="BH21" s="264"/>
      <c r="BI21" s="264"/>
      <c r="BJ21" s="264">
        <v>9</v>
      </c>
      <c r="BK21" s="264">
        <f t="shared" si="0"/>
        <v>3</v>
      </c>
      <c r="BL21" s="265">
        <f t="shared" si="1"/>
        <v>0.33333333333333331</v>
      </c>
      <c r="BR21" s="81" t="s">
        <v>1537</v>
      </c>
      <c r="BS21" s="340"/>
      <c r="BT21" s="340"/>
      <c r="CJ21" s="278"/>
      <c r="CK21" s="278"/>
      <c r="CL21" s="278"/>
      <c r="CM21" s="278"/>
      <c r="CN21" s="278"/>
      <c r="CO21" s="278"/>
      <c r="CP21" s="268"/>
      <c r="CQ21" s="268"/>
      <c r="CR21" s="267"/>
      <c r="CS21" s="267"/>
      <c r="CT21" s="267"/>
      <c r="CU21" s="267"/>
      <c r="CV21" s="267"/>
      <c r="CW21" s="267"/>
      <c r="CX21" s="267"/>
      <c r="CY21" s="267"/>
      <c r="CZ21" s="267"/>
      <c r="DA21" s="267"/>
    </row>
    <row r="22" spans="1:105" ht="41.45" customHeight="1">
      <c r="A22" s="264">
        <v>6</v>
      </c>
      <c r="B22" s="264" t="s">
        <v>1532</v>
      </c>
      <c r="C22" s="264" t="s">
        <v>176</v>
      </c>
      <c r="D22" s="264" t="s">
        <v>1547</v>
      </c>
      <c r="E22" s="264" t="s">
        <v>1548</v>
      </c>
      <c r="F22" s="264"/>
      <c r="G22" s="264" t="s">
        <v>1548</v>
      </c>
      <c r="H22" s="264" t="s">
        <v>1549</v>
      </c>
      <c r="I22" s="264" t="s">
        <v>1536</v>
      </c>
      <c r="BA22" s="264">
        <v>1</v>
      </c>
      <c r="BB22" s="264">
        <v>1</v>
      </c>
      <c r="BC22" s="264"/>
      <c r="BD22" s="264">
        <v>1</v>
      </c>
      <c r="BE22" s="287"/>
      <c r="BF22" s="287"/>
      <c r="BG22" s="287"/>
      <c r="BH22" s="287"/>
      <c r="BI22" s="287"/>
      <c r="BJ22" s="264">
        <v>9</v>
      </c>
      <c r="BK22" s="264">
        <f t="shared" si="0"/>
        <v>3</v>
      </c>
      <c r="BL22" s="265">
        <f t="shared" si="1"/>
        <v>0.33333333333333331</v>
      </c>
      <c r="BR22" s="81" t="s">
        <v>1537</v>
      </c>
      <c r="BS22" s="340"/>
      <c r="BT22" s="340"/>
      <c r="CJ22" s="278"/>
      <c r="CK22" s="278"/>
      <c r="CL22" s="278"/>
      <c r="CM22" s="278"/>
      <c r="CN22" s="278"/>
      <c r="CO22" s="278"/>
      <c r="CP22" s="268"/>
      <c r="CQ22" s="268"/>
      <c r="CR22" s="267"/>
      <c r="CS22" s="267"/>
      <c r="CT22" s="267"/>
      <c r="CU22" s="267"/>
      <c r="CV22" s="267"/>
      <c r="CW22" s="267"/>
      <c r="CX22" s="267"/>
      <c r="CY22" s="267"/>
      <c r="CZ22" s="267"/>
      <c r="DA22" s="267"/>
    </row>
    <row r="23" spans="1:105" ht="41.45" customHeight="1">
      <c r="A23" s="264">
        <v>7</v>
      </c>
      <c r="B23" s="264" t="s">
        <v>1532</v>
      </c>
      <c r="C23" s="264" t="s">
        <v>176</v>
      </c>
      <c r="D23" s="264" t="s">
        <v>1550</v>
      </c>
      <c r="E23" s="264" t="s">
        <v>1551</v>
      </c>
      <c r="F23" s="264"/>
      <c r="G23" s="264" t="s">
        <v>1551</v>
      </c>
      <c r="H23" s="264" t="s">
        <v>1288</v>
      </c>
      <c r="I23" s="264" t="s">
        <v>1536</v>
      </c>
      <c r="BA23" s="264">
        <v>1</v>
      </c>
      <c r="BB23" s="264">
        <v>1</v>
      </c>
      <c r="BC23" s="264"/>
      <c r="BD23" s="264">
        <v>1</v>
      </c>
      <c r="BE23" s="264"/>
      <c r="BF23" s="264"/>
      <c r="BG23" s="264"/>
      <c r="BH23" s="264"/>
      <c r="BI23" s="264"/>
      <c r="BJ23" s="264">
        <v>9</v>
      </c>
      <c r="BK23" s="264">
        <f t="shared" si="0"/>
        <v>3</v>
      </c>
      <c r="BL23" s="265">
        <f t="shared" si="1"/>
        <v>0.33333333333333331</v>
      </c>
      <c r="BR23" s="81" t="s">
        <v>1537</v>
      </c>
      <c r="BS23" s="340"/>
      <c r="BT23" s="340"/>
      <c r="CJ23" s="278"/>
      <c r="CK23" s="278"/>
      <c r="CL23" s="278"/>
      <c r="CM23" s="278"/>
      <c r="CN23" s="278"/>
      <c r="CO23" s="278"/>
      <c r="CP23" s="268"/>
      <c r="CQ23" s="268"/>
      <c r="CR23" s="267"/>
      <c r="CS23" s="267"/>
      <c r="CT23" s="267"/>
      <c r="CU23" s="267"/>
      <c r="CV23" s="267"/>
      <c r="CW23" s="267"/>
      <c r="CX23" s="267"/>
      <c r="CY23" s="267"/>
      <c r="CZ23" s="267"/>
      <c r="DA23" s="267"/>
    </row>
    <row r="24" spans="1:105" ht="41.45" customHeight="1">
      <c r="A24" s="264">
        <v>8</v>
      </c>
      <c r="B24" s="264" t="s">
        <v>1532</v>
      </c>
      <c r="C24" s="264" t="s">
        <v>176</v>
      </c>
      <c r="D24" s="264" t="s">
        <v>1552</v>
      </c>
      <c r="E24" s="264" t="s">
        <v>1553</v>
      </c>
      <c r="F24" s="264"/>
      <c r="G24" s="264" t="s">
        <v>1553</v>
      </c>
      <c r="H24" s="264" t="s">
        <v>280</v>
      </c>
      <c r="I24" s="264" t="s">
        <v>1536</v>
      </c>
      <c r="BA24" s="264">
        <v>1</v>
      </c>
      <c r="BB24" s="264">
        <v>1</v>
      </c>
      <c r="BC24" s="264"/>
      <c r="BD24" s="264">
        <v>1</v>
      </c>
      <c r="BE24" s="287"/>
      <c r="BF24" s="287"/>
      <c r="BG24" s="287"/>
      <c r="BH24" s="287"/>
      <c r="BI24" s="287"/>
      <c r="BJ24" s="264">
        <v>9</v>
      </c>
      <c r="BK24" s="264">
        <f t="shared" si="0"/>
        <v>3</v>
      </c>
      <c r="BL24" s="265">
        <f t="shared" si="1"/>
        <v>0.33333333333333331</v>
      </c>
      <c r="BR24" s="81" t="s">
        <v>1537</v>
      </c>
      <c r="BS24" s="340"/>
      <c r="BT24" s="340"/>
      <c r="CJ24" s="278"/>
      <c r="CK24" s="278"/>
      <c r="CL24" s="278"/>
      <c r="CM24" s="278"/>
      <c r="CN24" s="278"/>
      <c r="CO24" s="278"/>
      <c r="CP24" s="268"/>
      <c r="CQ24" s="268"/>
      <c r="CR24" s="267"/>
      <c r="CS24" s="267"/>
      <c r="CT24" s="267"/>
      <c r="CU24" s="267"/>
      <c r="CV24" s="267"/>
      <c r="CW24" s="267"/>
      <c r="CX24" s="267"/>
      <c r="CY24" s="267"/>
      <c r="CZ24" s="267"/>
      <c r="DA24" s="267"/>
    </row>
    <row r="25" spans="1:105" ht="41.45" customHeight="1">
      <c r="A25" s="264">
        <v>9</v>
      </c>
      <c r="B25" s="264" t="s">
        <v>1532</v>
      </c>
      <c r="C25" s="264" t="s">
        <v>176</v>
      </c>
      <c r="D25" s="264" t="s">
        <v>1554</v>
      </c>
      <c r="E25" s="264" t="s">
        <v>1555</v>
      </c>
      <c r="F25" s="264"/>
      <c r="G25" s="264" t="s">
        <v>1555</v>
      </c>
      <c r="H25" s="264" t="s">
        <v>1540</v>
      </c>
      <c r="I25" s="264" t="s">
        <v>1536</v>
      </c>
      <c r="BA25" s="264">
        <v>1</v>
      </c>
      <c r="BB25" s="264">
        <v>1</v>
      </c>
      <c r="BC25" s="264"/>
      <c r="BD25" s="264">
        <v>1</v>
      </c>
      <c r="BE25" s="264"/>
      <c r="BF25" s="264"/>
      <c r="BG25" s="264"/>
      <c r="BH25" s="264"/>
      <c r="BI25" s="264"/>
      <c r="BJ25" s="264">
        <v>9</v>
      </c>
      <c r="BK25" s="264">
        <f t="shared" si="0"/>
        <v>3</v>
      </c>
      <c r="BL25" s="265">
        <f t="shared" si="1"/>
        <v>0.33333333333333331</v>
      </c>
      <c r="BR25" s="81" t="s">
        <v>1537</v>
      </c>
      <c r="BS25" s="340"/>
      <c r="BT25" s="340"/>
      <c r="CJ25" s="278"/>
      <c r="CK25" s="278"/>
      <c r="CL25" s="278"/>
      <c r="CM25" s="278"/>
      <c r="CN25" s="278"/>
      <c r="CO25" s="278"/>
      <c r="CP25" s="268"/>
      <c r="CQ25" s="268"/>
      <c r="CR25" s="267"/>
      <c r="CS25" s="267"/>
      <c r="CT25" s="267"/>
      <c r="CU25" s="267"/>
      <c r="CV25" s="267"/>
      <c r="CW25" s="267"/>
      <c r="CX25" s="267"/>
      <c r="CY25" s="267"/>
      <c r="CZ25" s="267"/>
      <c r="DA25" s="267"/>
    </row>
    <row r="26" spans="1:105" ht="41.45" customHeight="1">
      <c r="A26" s="264">
        <v>10</v>
      </c>
      <c r="B26" s="264" t="s">
        <v>1532</v>
      </c>
      <c r="C26" s="264" t="s">
        <v>176</v>
      </c>
      <c r="D26" s="264" t="s">
        <v>1556</v>
      </c>
      <c r="E26" s="264" t="s">
        <v>1557</v>
      </c>
      <c r="F26" s="264"/>
      <c r="G26" s="264" t="s">
        <v>1557</v>
      </c>
      <c r="H26" s="264" t="s">
        <v>228</v>
      </c>
      <c r="I26" s="264" t="s">
        <v>1536</v>
      </c>
      <c r="BA26" s="264">
        <v>1</v>
      </c>
      <c r="BB26" s="264">
        <v>1</v>
      </c>
      <c r="BC26" s="264"/>
      <c r="BD26" s="264">
        <v>1</v>
      </c>
      <c r="BE26" s="287"/>
      <c r="BF26" s="287"/>
      <c r="BG26" s="287"/>
      <c r="BH26" s="287"/>
      <c r="BI26" s="287"/>
      <c r="BJ26" s="264">
        <v>9</v>
      </c>
      <c r="BK26" s="264">
        <f t="shared" si="0"/>
        <v>3</v>
      </c>
      <c r="BL26" s="265">
        <f t="shared" si="1"/>
        <v>0.33333333333333331</v>
      </c>
      <c r="BR26" s="81" t="s">
        <v>1537</v>
      </c>
      <c r="BS26" s="340"/>
      <c r="BT26" s="340"/>
      <c r="CJ26" s="278"/>
      <c r="CK26" s="278"/>
      <c r="CL26" s="278"/>
      <c r="CM26" s="278"/>
      <c r="CN26" s="278"/>
      <c r="CO26" s="278"/>
      <c r="CP26" s="268"/>
      <c r="CQ26" s="268"/>
      <c r="CR26" s="267"/>
      <c r="CS26" s="267"/>
      <c r="CT26" s="267"/>
      <c r="CU26" s="267"/>
      <c r="CV26" s="267"/>
      <c r="CW26" s="267"/>
      <c r="CX26" s="267"/>
      <c r="CY26" s="267"/>
      <c r="CZ26" s="267"/>
      <c r="DA26" s="267"/>
    </row>
    <row r="27" spans="1:105" ht="41.45" customHeight="1">
      <c r="A27" s="264">
        <v>11</v>
      </c>
      <c r="B27" s="264" t="s">
        <v>1532</v>
      </c>
      <c r="C27" s="264" t="s">
        <v>176</v>
      </c>
      <c r="D27" s="264" t="s">
        <v>1558</v>
      </c>
      <c r="E27" s="264" t="s">
        <v>1559</v>
      </c>
      <c r="F27" s="264"/>
      <c r="G27" s="264" t="s">
        <v>1559</v>
      </c>
      <c r="H27" s="264" t="s">
        <v>1560</v>
      </c>
      <c r="I27" s="264" t="s">
        <v>1536</v>
      </c>
      <c r="BA27" s="264">
        <v>1</v>
      </c>
      <c r="BB27" s="264">
        <v>1</v>
      </c>
      <c r="BC27" s="264"/>
      <c r="BD27" s="264">
        <v>1</v>
      </c>
      <c r="BE27" s="264"/>
      <c r="BF27" s="264"/>
      <c r="BG27" s="264"/>
      <c r="BH27" s="264"/>
      <c r="BI27" s="264"/>
      <c r="BJ27" s="264">
        <v>9</v>
      </c>
      <c r="BK27" s="264">
        <f t="shared" si="0"/>
        <v>3</v>
      </c>
      <c r="BL27" s="265">
        <f t="shared" si="1"/>
        <v>0.33333333333333331</v>
      </c>
      <c r="BR27" s="81" t="s">
        <v>1537</v>
      </c>
      <c r="BS27" s="340"/>
      <c r="BT27" s="340"/>
      <c r="CJ27" s="278"/>
      <c r="CK27" s="278"/>
      <c r="CL27" s="278"/>
      <c r="CM27" s="278"/>
      <c r="CN27" s="278"/>
      <c r="CO27" s="278"/>
      <c r="CP27" s="268"/>
      <c r="CQ27" s="268"/>
      <c r="CR27" s="267"/>
      <c r="CS27" s="267"/>
      <c r="CT27" s="267"/>
      <c r="CU27" s="267"/>
      <c r="CV27" s="267"/>
      <c r="CW27" s="267"/>
      <c r="CX27" s="267"/>
      <c r="CY27" s="267"/>
      <c r="CZ27" s="267"/>
      <c r="DA27" s="267"/>
    </row>
    <row r="28" spans="1:105" ht="41.45" customHeight="1">
      <c r="A28" s="264">
        <v>12</v>
      </c>
      <c r="B28" s="264" t="s">
        <v>1532</v>
      </c>
      <c r="C28" s="264" t="s">
        <v>176</v>
      </c>
      <c r="D28" s="264" t="s">
        <v>1561</v>
      </c>
      <c r="E28" s="264" t="s">
        <v>1562</v>
      </c>
      <c r="F28" s="264"/>
      <c r="G28" s="264" t="s">
        <v>1562</v>
      </c>
      <c r="H28" s="264" t="s">
        <v>492</v>
      </c>
      <c r="I28" s="264" t="s">
        <v>1536</v>
      </c>
      <c r="BA28" s="264">
        <v>1</v>
      </c>
      <c r="BB28" s="264">
        <v>1</v>
      </c>
      <c r="BC28" s="264"/>
      <c r="BD28" s="264">
        <v>1</v>
      </c>
      <c r="BE28" s="287"/>
      <c r="BF28" s="287"/>
      <c r="BG28" s="287"/>
      <c r="BH28" s="287"/>
      <c r="BI28" s="287"/>
      <c r="BJ28" s="264">
        <v>9</v>
      </c>
      <c r="BK28" s="264">
        <f t="shared" si="0"/>
        <v>3</v>
      </c>
      <c r="BL28" s="265">
        <f t="shared" si="1"/>
        <v>0.33333333333333331</v>
      </c>
      <c r="BR28" s="81" t="s">
        <v>1537</v>
      </c>
      <c r="BS28" s="340"/>
      <c r="BT28" s="340"/>
      <c r="CJ28" s="278"/>
      <c r="CK28" s="278"/>
      <c r="CL28" s="278"/>
      <c r="CM28" s="278"/>
      <c r="CN28" s="278"/>
      <c r="CO28" s="278"/>
      <c r="CP28" s="268"/>
      <c r="CQ28" s="268"/>
      <c r="CR28" s="267"/>
      <c r="CS28" s="267"/>
      <c r="CT28" s="267"/>
      <c r="CU28" s="267"/>
      <c r="CV28" s="267"/>
      <c r="CW28" s="267"/>
      <c r="CX28" s="267"/>
      <c r="CY28" s="267"/>
      <c r="CZ28" s="267"/>
      <c r="DA28" s="267"/>
    </row>
    <row r="29" spans="1:105" ht="41.45" customHeight="1">
      <c r="A29" s="264">
        <v>13</v>
      </c>
      <c r="B29" s="264" t="s">
        <v>1532</v>
      </c>
      <c r="C29" s="264" t="s">
        <v>176</v>
      </c>
      <c r="D29" s="264" t="s">
        <v>1563</v>
      </c>
      <c r="E29" s="264" t="s">
        <v>1564</v>
      </c>
      <c r="F29" s="264"/>
      <c r="G29" s="264" t="s">
        <v>1564</v>
      </c>
      <c r="H29" s="264" t="s">
        <v>492</v>
      </c>
      <c r="I29" s="264" t="s">
        <v>1536</v>
      </c>
      <c r="BA29" s="264">
        <v>1</v>
      </c>
      <c r="BB29" s="264">
        <v>1</v>
      </c>
      <c r="BC29" s="264"/>
      <c r="BD29" s="264">
        <v>1</v>
      </c>
      <c r="BE29" s="264"/>
      <c r="BF29" s="264"/>
      <c r="BG29" s="264"/>
      <c r="BH29" s="264"/>
      <c r="BI29" s="264"/>
      <c r="BJ29" s="264">
        <v>9</v>
      </c>
      <c r="BK29" s="264">
        <f t="shared" si="0"/>
        <v>3</v>
      </c>
      <c r="BL29" s="265">
        <f t="shared" si="1"/>
        <v>0.33333333333333331</v>
      </c>
      <c r="BR29" s="81" t="s">
        <v>1537</v>
      </c>
      <c r="BS29" s="340"/>
      <c r="BT29" s="340"/>
      <c r="CJ29" s="278"/>
      <c r="CK29" s="278"/>
      <c r="CL29" s="278"/>
      <c r="CM29" s="278"/>
      <c r="CN29" s="278"/>
      <c r="CO29" s="278"/>
      <c r="CP29" s="268"/>
      <c r="CQ29" s="268"/>
      <c r="CR29" s="267"/>
      <c r="CS29" s="267"/>
      <c r="CT29" s="267"/>
      <c r="CU29" s="267"/>
      <c r="CV29" s="267"/>
      <c r="CW29" s="267"/>
      <c r="CX29" s="267"/>
      <c r="CY29" s="267"/>
      <c r="CZ29" s="267"/>
      <c r="DA29" s="267"/>
    </row>
    <row r="30" spans="1:105" ht="41.45" customHeight="1">
      <c r="A30" s="264">
        <v>14</v>
      </c>
      <c r="B30" s="264" t="s">
        <v>1532</v>
      </c>
      <c r="C30" s="264" t="s">
        <v>176</v>
      </c>
      <c r="D30" s="264" t="s">
        <v>1565</v>
      </c>
      <c r="E30" s="264" t="s">
        <v>1566</v>
      </c>
      <c r="F30" s="264"/>
      <c r="G30" s="264" t="s">
        <v>1566</v>
      </c>
      <c r="H30" s="264" t="s">
        <v>492</v>
      </c>
      <c r="I30" s="264" t="s">
        <v>1536</v>
      </c>
      <c r="BA30" s="264">
        <v>1</v>
      </c>
      <c r="BB30" s="264">
        <v>1</v>
      </c>
      <c r="BC30" s="264"/>
      <c r="BD30" s="264">
        <v>1</v>
      </c>
      <c r="BE30" s="287"/>
      <c r="BF30" s="287"/>
      <c r="BG30" s="287"/>
      <c r="BH30" s="287"/>
      <c r="BI30" s="287"/>
      <c r="BJ30" s="264">
        <v>9</v>
      </c>
      <c r="BK30" s="264">
        <f t="shared" si="0"/>
        <v>3</v>
      </c>
      <c r="BL30" s="265">
        <f t="shared" si="1"/>
        <v>0.33333333333333331</v>
      </c>
      <c r="BR30" s="81" t="s">
        <v>1537</v>
      </c>
      <c r="BS30" s="340"/>
      <c r="BT30" s="340"/>
      <c r="CJ30" s="278"/>
      <c r="CK30" s="278"/>
      <c r="CL30" s="278"/>
      <c r="CM30" s="278"/>
      <c r="CN30" s="278"/>
      <c r="CO30" s="278"/>
      <c r="CP30" s="268"/>
      <c r="CQ30" s="268"/>
      <c r="CR30" s="267"/>
      <c r="CS30" s="267"/>
      <c r="CT30" s="267"/>
      <c r="CU30" s="267"/>
      <c r="CV30" s="267"/>
      <c r="CW30" s="267"/>
      <c r="CX30" s="267"/>
      <c r="CY30" s="267"/>
      <c r="CZ30" s="267"/>
      <c r="DA30" s="267"/>
    </row>
    <row r="31" spans="1:105" ht="41.45" customHeight="1">
      <c r="A31" s="264">
        <v>15</v>
      </c>
      <c r="B31" s="264" t="s">
        <v>1532</v>
      </c>
      <c r="C31" s="264" t="s">
        <v>176</v>
      </c>
      <c r="D31" s="264" t="s">
        <v>1567</v>
      </c>
      <c r="E31" s="264" t="s">
        <v>1568</v>
      </c>
      <c r="F31" s="264"/>
      <c r="G31" s="264" t="s">
        <v>1568</v>
      </c>
      <c r="H31" s="264" t="s">
        <v>492</v>
      </c>
      <c r="I31" s="264" t="s">
        <v>1536</v>
      </c>
      <c r="BA31" s="264">
        <v>1</v>
      </c>
      <c r="BB31" s="264">
        <v>1</v>
      </c>
      <c r="BC31" s="264"/>
      <c r="BD31" s="264">
        <v>1</v>
      </c>
      <c r="BE31" s="264"/>
      <c r="BF31" s="264"/>
      <c r="BG31" s="264"/>
      <c r="BH31" s="264"/>
      <c r="BI31" s="264"/>
      <c r="BJ31" s="264">
        <v>9</v>
      </c>
      <c r="BK31" s="264">
        <f t="shared" si="0"/>
        <v>3</v>
      </c>
      <c r="BL31" s="265">
        <f t="shared" si="1"/>
        <v>0.33333333333333331</v>
      </c>
      <c r="BR31" s="81" t="s">
        <v>1537</v>
      </c>
      <c r="BS31" s="340"/>
      <c r="BT31" s="340"/>
      <c r="CJ31" s="278"/>
      <c r="CK31" s="278"/>
      <c r="CL31" s="278"/>
      <c r="CM31" s="278"/>
      <c r="CN31" s="278"/>
      <c r="CO31" s="278"/>
      <c r="CP31" s="268"/>
      <c r="CQ31" s="268"/>
      <c r="CR31" s="267"/>
      <c r="CS31" s="267"/>
      <c r="CT31" s="267"/>
      <c r="CU31" s="267"/>
      <c r="CV31" s="267"/>
      <c r="CW31" s="267"/>
      <c r="CX31" s="267"/>
      <c r="CY31" s="267"/>
      <c r="CZ31" s="267"/>
      <c r="DA31" s="267"/>
    </row>
    <row r="32" spans="1:105" ht="41.45" customHeight="1">
      <c r="A32" s="264">
        <v>16</v>
      </c>
      <c r="B32" s="264" t="s">
        <v>1532</v>
      </c>
      <c r="C32" s="264" t="s">
        <v>176</v>
      </c>
      <c r="D32" s="264" t="s">
        <v>1569</v>
      </c>
      <c r="E32" s="264" t="s">
        <v>1570</v>
      </c>
      <c r="F32" s="264"/>
      <c r="G32" s="264" t="s">
        <v>1570</v>
      </c>
      <c r="H32" s="264" t="s">
        <v>492</v>
      </c>
      <c r="I32" s="264" t="s">
        <v>1536</v>
      </c>
      <c r="BA32" s="264">
        <v>1</v>
      </c>
      <c r="BB32" s="264">
        <v>1</v>
      </c>
      <c r="BC32" s="264"/>
      <c r="BD32" s="264">
        <v>1</v>
      </c>
      <c r="BE32" s="287"/>
      <c r="BF32" s="287"/>
      <c r="BG32" s="287"/>
      <c r="BH32" s="287"/>
      <c r="BI32" s="287"/>
      <c r="BJ32" s="264">
        <v>9</v>
      </c>
      <c r="BK32" s="264">
        <f t="shared" si="0"/>
        <v>3</v>
      </c>
      <c r="BL32" s="265">
        <f t="shared" si="1"/>
        <v>0.33333333333333331</v>
      </c>
      <c r="BR32" s="81" t="s">
        <v>1537</v>
      </c>
      <c r="BS32" s="340"/>
      <c r="BT32" s="340"/>
      <c r="CJ32" s="278"/>
      <c r="CK32" s="278"/>
      <c r="CL32" s="278"/>
      <c r="CM32" s="278"/>
      <c r="CN32" s="278"/>
      <c r="CO32" s="278"/>
      <c r="CP32" s="268"/>
      <c r="CQ32" s="268"/>
      <c r="CR32" s="267"/>
      <c r="CS32" s="267"/>
      <c r="CT32" s="267"/>
      <c r="CU32" s="267"/>
      <c r="CV32" s="267"/>
      <c r="CW32" s="267"/>
      <c r="CX32" s="267"/>
      <c r="CY32" s="267"/>
      <c r="CZ32" s="267"/>
      <c r="DA32" s="267"/>
    </row>
    <row r="33" spans="1:105" ht="41.45" customHeight="1">
      <c r="A33" s="264">
        <v>17</v>
      </c>
      <c r="B33" s="264" t="s">
        <v>1532</v>
      </c>
      <c r="C33" s="264" t="s">
        <v>176</v>
      </c>
      <c r="D33" s="264" t="s">
        <v>1571</v>
      </c>
      <c r="E33" s="264" t="s">
        <v>1572</v>
      </c>
      <c r="F33" s="264"/>
      <c r="G33" s="264" t="s">
        <v>1572</v>
      </c>
      <c r="H33" s="264" t="s">
        <v>492</v>
      </c>
      <c r="I33" s="264" t="s">
        <v>1536</v>
      </c>
      <c r="BA33" s="264">
        <v>1</v>
      </c>
      <c r="BB33" s="264">
        <v>1</v>
      </c>
      <c r="BC33" s="264"/>
      <c r="BD33" s="264">
        <v>1</v>
      </c>
      <c r="BE33" s="264"/>
      <c r="BF33" s="264"/>
      <c r="BG33" s="264"/>
      <c r="BH33" s="264"/>
      <c r="BI33" s="264"/>
      <c r="BJ33" s="264">
        <v>9</v>
      </c>
      <c r="BK33" s="264">
        <f t="shared" si="0"/>
        <v>3</v>
      </c>
      <c r="BL33" s="265">
        <f t="shared" si="1"/>
        <v>0.33333333333333331</v>
      </c>
      <c r="BR33" s="81" t="s">
        <v>1537</v>
      </c>
      <c r="BS33" s="340"/>
      <c r="BT33" s="340"/>
      <c r="CJ33" s="278"/>
      <c r="CK33" s="278"/>
      <c r="CL33" s="278"/>
      <c r="CM33" s="278"/>
      <c r="CN33" s="278"/>
      <c r="CO33" s="278"/>
      <c r="CP33" s="268"/>
      <c r="CQ33" s="268"/>
      <c r="CR33" s="267"/>
      <c r="CS33" s="267"/>
      <c r="CT33" s="267"/>
      <c r="CU33" s="267"/>
      <c r="CV33" s="267"/>
      <c r="CW33" s="267"/>
      <c r="CX33" s="267"/>
      <c r="CY33" s="267"/>
      <c r="CZ33" s="267"/>
      <c r="DA33" s="267"/>
    </row>
    <row r="34" spans="1:105" ht="41.45" customHeight="1">
      <c r="A34" s="264">
        <v>18</v>
      </c>
      <c r="B34" s="264" t="s">
        <v>1532</v>
      </c>
      <c r="C34" s="264" t="s">
        <v>176</v>
      </c>
      <c r="D34" s="264" t="s">
        <v>1573</v>
      </c>
      <c r="E34" s="264" t="s">
        <v>1574</v>
      </c>
      <c r="F34" s="264"/>
      <c r="G34" s="264" t="s">
        <v>1574</v>
      </c>
      <c r="H34" s="264" t="s">
        <v>492</v>
      </c>
      <c r="I34" s="264" t="s">
        <v>1536</v>
      </c>
      <c r="BA34" s="264">
        <v>1</v>
      </c>
      <c r="BB34" s="264">
        <v>1</v>
      </c>
      <c r="BC34" s="264"/>
      <c r="BD34" s="264">
        <v>1</v>
      </c>
      <c r="BE34" s="287"/>
      <c r="BF34" s="287"/>
      <c r="BG34" s="287"/>
      <c r="BH34" s="287"/>
      <c r="BI34" s="287"/>
      <c r="BJ34" s="264">
        <v>9</v>
      </c>
      <c r="BK34" s="264">
        <f t="shared" si="0"/>
        <v>3</v>
      </c>
      <c r="BL34" s="265">
        <f t="shared" si="1"/>
        <v>0.33333333333333331</v>
      </c>
      <c r="BR34" s="81" t="s">
        <v>1537</v>
      </c>
      <c r="BS34" s="340"/>
      <c r="BT34" s="340"/>
      <c r="CJ34" s="278"/>
      <c r="CK34" s="278"/>
      <c r="CL34" s="278"/>
      <c r="CM34" s="278"/>
      <c r="CN34" s="278"/>
      <c r="CO34" s="278"/>
      <c r="CP34" s="268"/>
      <c r="CQ34" s="268"/>
      <c r="CR34" s="267"/>
      <c r="CS34" s="267"/>
      <c r="CT34" s="267"/>
      <c r="CU34" s="267"/>
      <c r="CV34" s="267"/>
      <c r="CW34" s="267"/>
      <c r="CX34" s="267"/>
      <c r="CY34" s="267"/>
      <c r="CZ34" s="267"/>
      <c r="DA34" s="267"/>
    </row>
    <row r="35" spans="1:105" ht="41.45" customHeight="1">
      <c r="A35" s="264">
        <v>19</v>
      </c>
      <c r="B35" s="264" t="s">
        <v>1532</v>
      </c>
      <c r="C35" s="264" t="s">
        <v>176</v>
      </c>
      <c r="D35" s="264" t="s">
        <v>1575</v>
      </c>
      <c r="E35" s="264" t="s">
        <v>1576</v>
      </c>
      <c r="F35" s="264"/>
      <c r="G35" s="264" t="s">
        <v>1576</v>
      </c>
      <c r="H35" s="264" t="s">
        <v>492</v>
      </c>
      <c r="I35" s="264" t="s">
        <v>1536</v>
      </c>
      <c r="BA35" s="264">
        <v>1</v>
      </c>
      <c r="BB35" s="264">
        <v>1</v>
      </c>
      <c r="BC35" s="264"/>
      <c r="BD35" s="264">
        <v>1</v>
      </c>
      <c r="BE35" s="264"/>
      <c r="BF35" s="264"/>
      <c r="BG35" s="264"/>
      <c r="BH35" s="264"/>
      <c r="BI35" s="264"/>
      <c r="BJ35" s="264">
        <v>9</v>
      </c>
      <c r="BK35" s="264">
        <f t="shared" si="0"/>
        <v>3</v>
      </c>
      <c r="BL35" s="265">
        <f t="shared" si="1"/>
        <v>0.33333333333333331</v>
      </c>
      <c r="BR35" s="81" t="s">
        <v>1537</v>
      </c>
      <c r="BS35" s="340"/>
      <c r="BT35" s="340"/>
      <c r="CJ35" s="278"/>
      <c r="CK35" s="278"/>
      <c r="CL35" s="278"/>
      <c r="CM35" s="278"/>
      <c r="CN35" s="278"/>
      <c r="CO35" s="278"/>
      <c r="CP35" s="268"/>
      <c r="CQ35" s="268"/>
      <c r="CR35" s="267"/>
      <c r="CS35" s="267"/>
      <c r="CT35" s="267"/>
      <c r="CU35" s="267"/>
      <c r="CV35" s="267"/>
      <c r="CW35" s="267"/>
      <c r="CX35" s="267"/>
      <c r="CY35" s="267"/>
      <c r="CZ35" s="267"/>
      <c r="DA35" s="267"/>
    </row>
    <row r="36" spans="1:105" ht="41.45" customHeight="1">
      <c r="A36" s="264">
        <v>20</v>
      </c>
      <c r="B36" s="264" t="s">
        <v>1532</v>
      </c>
      <c r="C36" s="264" t="s">
        <v>176</v>
      </c>
      <c r="D36" s="264" t="s">
        <v>1577</v>
      </c>
      <c r="E36" s="264" t="s">
        <v>1578</v>
      </c>
      <c r="F36" s="264"/>
      <c r="G36" s="264" t="s">
        <v>1578</v>
      </c>
      <c r="H36" s="264" t="s">
        <v>492</v>
      </c>
      <c r="I36" s="264" t="s">
        <v>1536</v>
      </c>
      <c r="BA36" s="264">
        <v>1</v>
      </c>
      <c r="BB36" s="264">
        <v>1</v>
      </c>
      <c r="BC36" s="264"/>
      <c r="BD36" s="264">
        <v>1</v>
      </c>
      <c r="BE36" s="287"/>
      <c r="BF36" s="287"/>
      <c r="BG36" s="287"/>
      <c r="BH36" s="287"/>
      <c r="BI36" s="287"/>
      <c r="BJ36" s="264">
        <v>9</v>
      </c>
      <c r="BK36" s="264">
        <f t="shared" si="0"/>
        <v>3</v>
      </c>
      <c r="BL36" s="265">
        <f t="shared" si="1"/>
        <v>0.33333333333333331</v>
      </c>
      <c r="BR36" s="81" t="s">
        <v>1537</v>
      </c>
      <c r="BS36" s="340"/>
      <c r="BT36" s="340"/>
      <c r="CJ36" s="278"/>
      <c r="CK36" s="278"/>
      <c r="CL36" s="278"/>
      <c r="CM36" s="278"/>
      <c r="CN36" s="278"/>
      <c r="CO36" s="278"/>
      <c r="CP36" s="268"/>
      <c r="CQ36" s="268"/>
      <c r="CR36" s="267"/>
      <c r="CS36" s="267"/>
      <c r="CT36" s="267"/>
      <c r="CU36" s="267"/>
      <c r="CV36" s="267"/>
      <c r="CW36" s="267"/>
      <c r="CX36" s="267"/>
      <c r="CY36" s="267"/>
      <c r="CZ36" s="267"/>
      <c r="DA36" s="267"/>
    </row>
    <row r="37" spans="1:105" ht="41.45" customHeight="1">
      <c r="A37" s="264">
        <v>21</v>
      </c>
      <c r="B37" s="264" t="s">
        <v>1532</v>
      </c>
      <c r="C37" s="264" t="s">
        <v>176</v>
      </c>
      <c r="D37" s="264" t="s">
        <v>1579</v>
      </c>
      <c r="E37" s="264" t="s">
        <v>1580</v>
      </c>
      <c r="F37" s="264"/>
      <c r="G37" s="264" t="s">
        <v>1580</v>
      </c>
      <c r="H37" s="264"/>
      <c r="I37" s="264" t="s">
        <v>1536</v>
      </c>
      <c r="BA37" s="264">
        <v>1</v>
      </c>
      <c r="BB37" s="264">
        <v>1</v>
      </c>
      <c r="BC37" s="264"/>
      <c r="BD37" s="264">
        <v>1</v>
      </c>
      <c r="BE37" s="264"/>
      <c r="BF37" s="264"/>
      <c r="BG37" s="264"/>
      <c r="BH37" s="264"/>
      <c r="BI37" s="264"/>
      <c r="BJ37" s="264">
        <v>9</v>
      </c>
      <c r="BK37" s="264">
        <f t="shared" si="0"/>
        <v>3</v>
      </c>
      <c r="BL37" s="265">
        <f t="shared" si="1"/>
        <v>0.33333333333333331</v>
      </c>
      <c r="BR37" s="81" t="s">
        <v>1537</v>
      </c>
      <c r="BS37" s="340"/>
      <c r="BT37" s="340"/>
      <c r="CJ37" s="278"/>
      <c r="CK37" s="278"/>
      <c r="CL37" s="278"/>
      <c r="CM37" s="278"/>
      <c r="CN37" s="278"/>
      <c r="CO37" s="278"/>
      <c r="CP37" s="268"/>
      <c r="CQ37" s="268"/>
      <c r="CR37" s="267"/>
      <c r="CS37" s="267"/>
      <c r="CT37" s="267"/>
      <c r="CU37" s="267"/>
      <c r="CV37" s="267"/>
      <c r="CW37" s="267"/>
      <c r="CX37" s="267"/>
      <c r="CY37" s="267"/>
      <c r="CZ37" s="267"/>
      <c r="DA37" s="267"/>
    </row>
    <row r="38" spans="1:105" ht="41.45" customHeight="1">
      <c r="A38" s="264">
        <v>22</v>
      </c>
      <c r="B38" s="264" t="s">
        <v>1532</v>
      </c>
      <c r="C38" s="264" t="s">
        <v>176</v>
      </c>
      <c r="D38" s="264" t="s">
        <v>1581</v>
      </c>
      <c r="E38" s="264" t="s">
        <v>1582</v>
      </c>
      <c r="F38" s="264"/>
      <c r="G38" s="264" t="s">
        <v>1582</v>
      </c>
      <c r="H38" s="264"/>
      <c r="I38" s="264" t="s">
        <v>1536</v>
      </c>
      <c r="BA38" s="264">
        <v>1</v>
      </c>
      <c r="BB38" s="264">
        <v>1</v>
      </c>
      <c r="BC38" s="264"/>
      <c r="BD38" s="264">
        <v>1</v>
      </c>
      <c r="BE38" s="287"/>
      <c r="BF38" s="287"/>
      <c r="BG38" s="287"/>
      <c r="BH38" s="287"/>
      <c r="BI38" s="287"/>
      <c r="BJ38" s="264">
        <v>9</v>
      </c>
      <c r="BK38" s="264">
        <f t="shared" si="0"/>
        <v>3</v>
      </c>
      <c r="BL38" s="265">
        <f t="shared" si="1"/>
        <v>0.33333333333333331</v>
      </c>
      <c r="BR38" s="81" t="s">
        <v>1537</v>
      </c>
      <c r="BS38" s="340"/>
      <c r="BT38" s="340"/>
      <c r="CJ38" s="278"/>
      <c r="CK38" s="278"/>
      <c r="CL38" s="278"/>
      <c r="CM38" s="278"/>
      <c r="CN38" s="278"/>
      <c r="CO38" s="278"/>
      <c r="CP38" s="268"/>
      <c r="CQ38" s="268"/>
      <c r="CR38" s="267"/>
      <c r="CS38" s="267"/>
      <c r="CT38" s="267"/>
      <c r="CU38" s="267"/>
      <c r="CV38" s="267"/>
      <c r="CW38" s="267"/>
      <c r="CX38" s="267"/>
      <c r="CY38" s="267"/>
      <c r="CZ38" s="267"/>
      <c r="DA38" s="267"/>
    </row>
    <row r="39" spans="1:105" ht="41.45" customHeight="1">
      <c r="A39" s="264">
        <v>23</v>
      </c>
      <c r="B39" s="264" t="s">
        <v>1532</v>
      </c>
      <c r="C39" s="264" t="s">
        <v>176</v>
      </c>
      <c r="D39" s="264" t="s">
        <v>1583</v>
      </c>
      <c r="E39" s="264" t="s">
        <v>1584</v>
      </c>
      <c r="F39" s="264"/>
      <c r="G39" s="264" t="s">
        <v>1584</v>
      </c>
      <c r="H39" s="264" t="s">
        <v>228</v>
      </c>
      <c r="I39" s="264" t="s">
        <v>1585</v>
      </c>
      <c r="BA39" s="264">
        <v>1</v>
      </c>
      <c r="BB39" s="264">
        <v>1</v>
      </c>
      <c r="BC39" s="264"/>
      <c r="BD39" s="264">
        <v>1</v>
      </c>
      <c r="BE39" s="264"/>
      <c r="BF39" s="264"/>
      <c r="BG39" s="264"/>
      <c r="BH39" s="264"/>
      <c r="BI39" s="264"/>
      <c r="BJ39" s="264">
        <v>9</v>
      </c>
      <c r="BK39" s="264">
        <f t="shared" si="0"/>
        <v>3</v>
      </c>
      <c r="BL39" s="265">
        <f t="shared" si="1"/>
        <v>0.33333333333333331</v>
      </c>
      <c r="BR39" s="81" t="s">
        <v>1537</v>
      </c>
      <c r="BS39" s="340"/>
      <c r="BT39" s="340"/>
      <c r="CJ39" s="278"/>
      <c r="CK39" s="278"/>
      <c r="CL39" s="278"/>
      <c r="CM39" s="278"/>
      <c r="CN39" s="278"/>
      <c r="CO39" s="278"/>
      <c r="CP39" s="268"/>
      <c r="CQ39" s="268"/>
      <c r="CR39" s="267"/>
      <c r="CS39" s="267"/>
      <c r="CT39" s="267"/>
      <c r="CU39" s="267"/>
      <c r="CV39" s="267"/>
      <c r="CW39" s="267"/>
      <c r="CX39" s="267"/>
      <c r="CY39" s="267"/>
      <c r="CZ39" s="267"/>
      <c r="DA39" s="267"/>
    </row>
    <row r="40" spans="1:105" ht="41.45" customHeight="1">
      <c r="A40" s="264">
        <v>24</v>
      </c>
      <c r="B40" s="264" t="s">
        <v>1532</v>
      </c>
      <c r="C40" s="264" t="s">
        <v>176</v>
      </c>
      <c r="D40" s="264" t="s">
        <v>1586</v>
      </c>
      <c r="E40" s="264" t="s">
        <v>1587</v>
      </c>
      <c r="F40" s="264"/>
      <c r="G40" s="264" t="s">
        <v>1587</v>
      </c>
      <c r="H40" s="264" t="s">
        <v>80</v>
      </c>
      <c r="I40" s="264" t="s">
        <v>1585</v>
      </c>
      <c r="BA40" s="264">
        <v>1</v>
      </c>
      <c r="BB40" s="264">
        <v>1</v>
      </c>
      <c r="BC40" s="264"/>
      <c r="BD40" s="264">
        <v>1</v>
      </c>
      <c r="BE40" s="287"/>
      <c r="BF40" s="287"/>
      <c r="BG40" s="287"/>
      <c r="BH40" s="287"/>
      <c r="BI40" s="287"/>
      <c r="BJ40" s="264">
        <v>9</v>
      </c>
      <c r="BK40" s="264">
        <f t="shared" si="0"/>
        <v>3</v>
      </c>
      <c r="BL40" s="265">
        <f t="shared" si="1"/>
        <v>0.33333333333333331</v>
      </c>
      <c r="BR40" s="81" t="s">
        <v>1537</v>
      </c>
      <c r="BS40" s="340"/>
      <c r="BT40" s="340"/>
      <c r="CJ40" s="278"/>
      <c r="CK40" s="278"/>
      <c r="CL40" s="278"/>
      <c r="CM40" s="278"/>
      <c r="CN40" s="278"/>
      <c r="CO40" s="278"/>
      <c r="CP40" s="268"/>
      <c r="CQ40" s="268"/>
      <c r="CR40" s="267"/>
      <c r="CS40" s="267"/>
      <c r="CT40" s="267"/>
      <c r="CU40" s="267"/>
      <c r="CV40" s="267"/>
      <c r="CW40" s="267"/>
      <c r="CX40" s="267"/>
      <c r="CY40" s="267"/>
      <c r="CZ40" s="267"/>
      <c r="DA40" s="267"/>
    </row>
    <row r="41" spans="1:105" ht="41.45" customHeight="1">
      <c r="A41" s="264">
        <v>25</v>
      </c>
      <c r="B41" s="264" t="s">
        <v>1532</v>
      </c>
      <c r="C41" s="264" t="s">
        <v>176</v>
      </c>
      <c r="D41" s="264" t="s">
        <v>1588</v>
      </c>
      <c r="E41" s="264" t="s">
        <v>1589</v>
      </c>
      <c r="F41" s="264"/>
      <c r="G41" s="264" t="s">
        <v>1589</v>
      </c>
      <c r="H41" s="264" t="s">
        <v>492</v>
      </c>
      <c r="I41" s="264" t="s">
        <v>1585</v>
      </c>
      <c r="BA41" s="264">
        <v>1</v>
      </c>
      <c r="BB41" s="264">
        <v>1</v>
      </c>
      <c r="BC41" s="264"/>
      <c r="BD41" s="264">
        <v>1</v>
      </c>
      <c r="BE41" s="264"/>
      <c r="BF41" s="264"/>
      <c r="BG41" s="264"/>
      <c r="BH41" s="264"/>
      <c r="BI41" s="264"/>
      <c r="BJ41" s="264">
        <v>9</v>
      </c>
      <c r="BK41" s="264">
        <f t="shared" si="0"/>
        <v>3</v>
      </c>
      <c r="BL41" s="265">
        <f t="shared" si="1"/>
        <v>0.33333333333333331</v>
      </c>
      <c r="BR41" s="81" t="s">
        <v>1537</v>
      </c>
      <c r="BS41" s="340"/>
      <c r="BT41" s="340"/>
      <c r="CJ41" s="278"/>
      <c r="CK41" s="278"/>
      <c r="CL41" s="278"/>
      <c r="CM41" s="278"/>
      <c r="CN41" s="278"/>
      <c r="CO41" s="278"/>
      <c r="CP41" s="268"/>
      <c r="CQ41" s="268"/>
      <c r="CR41" s="267"/>
      <c r="CS41" s="267"/>
      <c r="CT41" s="267"/>
      <c r="CU41" s="267"/>
      <c r="CV41" s="267"/>
      <c r="CW41" s="267"/>
      <c r="CX41" s="267"/>
      <c r="CY41" s="267"/>
      <c r="CZ41" s="267"/>
      <c r="DA41" s="267"/>
    </row>
    <row r="42" spans="1:105" ht="41.45" customHeight="1">
      <c r="A42" s="264">
        <v>26</v>
      </c>
      <c r="B42" s="264" t="s">
        <v>1532</v>
      </c>
      <c r="C42" s="264" t="s">
        <v>176</v>
      </c>
      <c r="D42" s="264" t="s">
        <v>1590</v>
      </c>
      <c r="E42" s="264" t="s">
        <v>1591</v>
      </c>
      <c r="F42" s="264"/>
      <c r="G42" s="264" t="s">
        <v>1591</v>
      </c>
      <c r="H42" s="264" t="s">
        <v>654</v>
      </c>
      <c r="I42" s="264" t="s">
        <v>1585</v>
      </c>
      <c r="BA42" s="264">
        <v>1</v>
      </c>
      <c r="BB42" s="264">
        <v>1</v>
      </c>
      <c r="BC42" s="264"/>
      <c r="BD42" s="264">
        <v>1</v>
      </c>
      <c r="BE42" s="287"/>
      <c r="BF42" s="287"/>
      <c r="BG42" s="287"/>
      <c r="BH42" s="287"/>
      <c r="BI42" s="287"/>
      <c r="BJ42" s="264">
        <v>9</v>
      </c>
      <c r="BK42" s="264">
        <f t="shared" si="0"/>
        <v>3</v>
      </c>
      <c r="BL42" s="265">
        <f t="shared" si="1"/>
        <v>0.33333333333333331</v>
      </c>
      <c r="BR42" s="81" t="s">
        <v>1537</v>
      </c>
      <c r="BS42" s="340"/>
      <c r="BT42" s="340"/>
      <c r="CJ42" s="278"/>
      <c r="CK42" s="278"/>
      <c r="CL42" s="278"/>
      <c r="CM42" s="278"/>
      <c r="CN42" s="278"/>
      <c r="CO42" s="278"/>
      <c r="CP42" s="268"/>
      <c r="CQ42" s="268"/>
      <c r="CR42" s="267"/>
      <c r="CS42" s="267"/>
      <c r="CT42" s="267"/>
      <c r="CU42" s="267"/>
      <c r="CV42" s="267"/>
      <c r="CW42" s="267"/>
      <c r="CX42" s="267"/>
      <c r="CY42" s="267"/>
      <c r="CZ42" s="267"/>
      <c r="DA42" s="267"/>
    </row>
    <row r="43" spans="1:105" ht="41.45" customHeight="1">
      <c r="A43" s="264">
        <v>27</v>
      </c>
      <c r="B43" s="264" t="s">
        <v>1532</v>
      </c>
      <c r="C43" s="264" t="s">
        <v>176</v>
      </c>
      <c r="D43" s="264" t="s">
        <v>1592</v>
      </c>
      <c r="E43" s="264" t="s">
        <v>1593</v>
      </c>
      <c r="F43" s="264"/>
      <c r="G43" s="264" t="s">
        <v>1593</v>
      </c>
      <c r="H43" s="264" t="s">
        <v>1594</v>
      </c>
      <c r="I43" s="264" t="s">
        <v>1585</v>
      </c>
      <c r="BA43" s="264">
        <v>1</v>
      </c>
      <c r="BB43" s="264">
        <v>1</v>
      </c>
      <c r="BC43" s="264"/>
      <c r="BD43" s="264">
        <v>1</v>
      </c>
      <c r="BE43" s="264"/>
      <c r="BF43" s="264"/>
      <c r="BG43" s="264"/>
      <c r="BH43" s="264"/>
      <c r="BI43" s="264"/>
      <c r="BJ43" s="264">
        <v>9</v>
      </c>
      <c r="BK43" s="264">
        <f t="shared" si="0"/>
        <v>3</v>
      </c>
      <c r="BL43" s="265">
        <f t="shared" si="1"/>
        <v>0.33333333333333331</v>
      </c>
      <c r="BR43" s="81" t="s">
        <v>1537</v>
      </c>
      <c r="BS43" s="340"/>
      <c r="BT43" s="340"/>
      <c r="CJ43" s="278"/>
      <c r="CK43" s="278"/>
      <c r="CL43" s="278"/>
      <c r="CM43" s="278"/>
      <c r="CN43" s="278"/>
      <c r="CO43" s="278"/>
      <c r="CP43" s="268"/>
      <c r="CQ43" s="268"/>
      <c r="CR43" s="267"/>
      <c r="CS43" s="267"/>
      <c r="CT43" s="267"/>
      <c r="CU43" s="267"/>
      <c r="CV43" s="267"/>
      <c r="CW43" s="267"/>
      <c r="CX43" s="267"/>
      <c r="CY43" s="267"/>
      <c r="CZ43" s="267"/>
      <c r="DA43" s="267"/>
    </row>
    <row r="44" spans="1:105" ht="41.45" customHeight="1">
      <c r="A44" s="264">
        <v>28</v>
      </c>
      <c r="B44" s="264" t="s">
        <v>1532</v>
      </c>
      <c r="C44" s="264" t="s">
        <v>176</v>
      </c>
      <c r="D44" s="264" t="s">
        <v>1595</v>
      </c>
      <c r="E44" s="264" t="s">
        <v>1596</v>
      </c>
      <c r="F44" s="264"/>
      <c r="G44" s="264" t="s">
        <v>1596</v>
      </c>
      <c r="H44" s="264" t="s">
        <v>1597</v>
      </c>
      <c r="I44" s="264" t="s">
        <v>1585</v>
      </c>
      <c r="BA44" s="264">
        <v>1</v>
      </c>
      <c r="BB44" s="264">
        <v>1</v>
      </c>
      <c r="BC44" s="264"/>
      <c r="BD44" s="264">
        <v>1</v>
      </c>
      <c r="BE44" s="287"/>
      <c r="BF44" s="287"/>
      <c r="BG44" s="287"/>
      <c r="BH44" s="287"/>
      <c r="BI44" s="287"/>
      <c r="BJ44" s="264">
        <v>9</v>
      </c>
      <c r="BK44" s="264">
        <f t="shared" si="0"/>
        <v>3</v>
      </c>
      <c r="BL44" s="265">
        <f t="shared" si="1"/>
        <v>0.33333333333333331</v>
      </c>
      <c r="BR44" s="81" t="s">
        <v>1537</v>
      </c>
      <c r="BS44" s="340"/>
      <c r="BT44" s="340"/>
      <c r="CJ44" s="278"/>
      <c r="CK44" s="278"/>
      <c r="CL44" s="278"/>
      <c r="CM44" s="278"/>
      <c r="CN44" s="278"/>
      <c r="CO44" s="278"/>
      <c r="CP44" s="268"/>
      <c r="CQ44" s="268"/>
      <c r="CR44" s="341"/>
      <c r="CS44" s="341"/>
      <c r="CT44" s="341"/>
      <c r="CU44" s="341"/>
      <c r="CV44" s="341"/>
      <c r="CW44" s="341"/>
      <c r="CX44" s="341"/>
      <c r="CY44" s="341"/>
      <c r="CZ44" s="341"/>
      <c r="DA44" s="341"/>
    </row>
    <row r="45" spans="1:105" ht="41.45" customHeight="1">
      <c r="A45" s="264">
        <v>29</v>
      </c>
      <c r="B45" s="264" t="s">
        <v>1532</v>
      </c>
      <c r="C45" s="264" t="s">
        <v>176</v>
      </c>
      <c r="D45" s="264" t="s">
        <v>1598</v>
      </c>
      <c r="E45" s="264" t="s">
        <v>1599</v>
      </c>
      <c r="F45" s="264"/>
      <c r="G45" s="264" t="s">
        <v>1599</v>
      </c>
      <c r="H45" s="264" t="s">
        <v>80</v>
      </c>
      <c r="I45" s="264" t="s">
        <v>1585</v>
      </c>
      <c r="BA45" s="264">
        <v>1</v>
      </c>
      <c r="BB45" s="264">
        <v>1</v>
      </c>
      <c r="BC45" s="264"/>
      <c r="BD45" s="264">
        <v>1</v>
      </c>
      <c r="BE45" s="264"/>
      <c r="BF45" s="264"/>
      <c r="BG45" s="264"/>
      <c r="BH45" s="264"/>
      <c r="BI45" s="264"/>
      <c r="BJ45" s="264">
        <v>9</v>
      </c>
      <c r="BK45" s="264">
        <f t="shared" si="0"/>
        <v>3</v>
      </c>
      <c r="BL45" s="265">
        <f t="shared" si="1"/>
        <v>0.33333333333333331</v>
      </c>
      <c r="BR45" s="81" t="s">
        <v>1537</v>
      </c>
      <c r="BS45" s="340"/>
      <c r="BT45" s="340"/>
      <c r="CJ45" s="278"/>
      <c r="CK45" s="278"/>
      <c r="CL45" s="278"/>
      <c r="CM45" s="278"/>
      <c r="CN45" s="278"/>
      <c r="CO45" s="278"/>
      <c r="CP45" s="268"/>
      <c r="CQ45" s="268"/>
      <c r="CR45" s="267"/>
      <c r="CS45" s="267"/>
      <c r="CT45" s="267"/>
      <c r="CU45" s="267"/>
      <c r="CV45" s="267"/>
      <c r="CW45" s="267"/>
      <c r="CX45" s="267"/>
      <c r="CY45" s="267"/>
      <c r="CZ45" s="267"/>
      <c r="DA45" s="267"/>
    </row>
    <row r="46" spans="1:105" ht="41.45" customHeight="1">
      <c r="A46" s="264">
        <v>30</v>
      </c>
      <c r="B46" s="264" t="s">
        <v>1532</v>
      </c>
      <c r="C46" s="264" t="s">
        <v>176</v>
      </c>
      <c r="D46" s="264" t="s">
        <v>1600</v>
      </c>
      <c r="E46" s="264" t="s">
        <v>1601</v>
      </c>
      <c r="F46" s="264"/>
      <c r="G46" s="264" t="s">
        <v>1601</v>
      </c>
      <c r="H46" s="264" t="s">
        <v>80</v>
      </c>
      <c r="I46" s="264" t="s">
        <v>1585</v>
      </c>
      <c r="BA46" s="264">
        <v>1</v>
      </c>
      <c r="BB46" s="264">
        <v>1</v>
      </c>
      <c r="BC46" s="264"/>
      <c r="BD46" s="264">
        <v>1</v>
      </c>
      <c r="BE46" s="287"/>
      <c r="BF46" s="287"/>
      <c r="BG46" s="287"/>
      <c r="BH46" s="287"/>
      <c r="BI46" s="287"/>
      <c r="BJ46" s="264">
        <v>9</v>
      </c>
      <c r="BK46" s="264">
        <f t="shared" si="0"/>
        <v>3</v>
      </c>
      <c r="BL46" s="265">
        <f t="shared" si="1"/>
        <v>0.33333333333333331</v>
      </c>
      <c r="BR46" s="81" t="s">
        <v>1537</v>
      </c>
      <c r="BS46" s="340"/>
      <c r="BT46" s="340"/>
      <c r="CJ46" s="278"/>
      <c r="CK46" s="278"/>
      <c r="CL46" s="278"/>
      <c r="CM46" s="278"/>
      <c r="CN46" s="278"/>
      <c r="CO46" s="278"/>
      <c r="CP46" s="268"/>
      <c r="CQ46" s="268"/>
      <c r="CR46" s="267"/>
      <c r="CS46" s="267"/>
      <c r="CT46" s="267"/>
      <c r="CU46" s="267"/>
      <c r="CV46" s="267"/>
      <c r="CW46" s="267"/>
      <c r="CX46" s="267"/>
      <c r="CY46" s="267"/>
      <c r="CZ46" s="267"/>
      <c r="DA46" s="267"/>
    </row>
    <row r="47" spans="1:105" ht="41.45" customHeight="1">
      <c r="A47" s="264">
        <v>31</v>
      </c>
      <c r="B47" s="264" t="s">
        <v>1532</v>
      </c>
      <c r="C47" s="264" t="s">
        <v>176</v>
      </c>
      <c r="D47" s="264" t="s">
        <v>1602</v>
      </c>
      <c r="E47" s="264" t="s">
        <v>1603</v>
      </c>
      <c r="F47" s="264"/>
      <c r="G47" s="264" t="s">
        <v>1603</v>
      </c>
      <c r="H47" s="264" t="s">
        <v>280</v>
      </c>
      <c r="I47" s="264" t="s">
        <v>1585</v>
      </c>
      <c r="BA47" s="264">
        <v>1</v>
      </c>
      <c r="BB47" s="264">
        <v>1</v>
      </c>
      <c r="BC47" s="264"/>
      <c r="BD47" s="264">
        <v>1</v>
      </c>
      <c r="BE47" s="264"/>
      <c r="BF47" s="264"/>
      <c r="BG47" s="264"/>
      <c r="BH47" s="264"/>
      <c r="BI47" s="264"/>
      <c r="BJ47" s="264">
        <v>9</v>
      </c>
      <c r="BK47" s="264">
        <f t="shared" si="0"/>
        <v>3</v>
      </c>
      <c r="BL47" s="265">
        <f t="shared" si="1"/>
        <v>0.33333333333333331</v>
      </c>
      <c r="BR47" s="81" t="s">
        <v>1537</v>
      </c>
      <c r="BS47" s="340"/>
      <c r="BT47" s="340"/>
      <c r="CJ47" s="278"/>
      <c r="CK47" s="278"/>
      <c r="CL47" s="278"/>
      <c r="CM47" s="278"/>
      <c r="CN47" s="278"/>
      <c r="CO47" s="278"/>
      <c r="CP47" s="268"/>
      <c r="CQ47" s="268"/>
      <c r="CR47" s="267"/>
      <c r="CS47" s="267"/>
      <c r="CT47" s="267"/>
      <c r="CU47" s="267"/>
      <c r="CV47" s="267"/>
      <c r="CW47" s="267"/>
      <c r="CX47" s="267"/>
      <c r="CY47" s="267"/>
      <c r="CZ47" s="267"/>
      <c r="DA47" s="267"/>
    </row>
    <row r="48" spans="1:105" ht="41.45" customHeight="1">
      <c r="A48" s="264">
        <v>32</v>
      </c>
      <c r="B48" s="264" t="s">
        <v>1532</v>
      </c>
      <c r="C48" s="264" t="s">
        <v>176</v>
      </c>
      <c r="D48" s="264" t="s">
        <v>1604</v>
      </c>
      <c r="E48" s="264" t="s">
        <v>1605</v>
      </c>
      <c r="F48" s="264"/>
      <c r="G48" s="264" t="s">
        <v>1605</v>
      </c>
      <c r="H48" s="264" t="s">
        <v>499</v>
      </c>
      <c r="I48" s="264" t="s">
        <v>1585</v>
      </c>
      <c r="BA48" s="264">
        <v>1</v>
      </c>
      <c r="BB48" s="264">
        <v>1</v>
      </c>
      <c r="BC48" s="264"/>
      <c r="BD48" s="264">
        <v>1</v>
      </c>
      <c r="BE48" s="287"/>
      <c r="BF48" s="287"/>
      <c r="BG48" s="287"/>
      <c r="BH48" s="287"/>
      <c r="BI48" s="287"/>
      <c r="BJ48" s="264">
        <v>9</v>
      </c>
      <c r="BK48" s="264">
        <f t="shared" si="0"/>
        <v>3</v>
      </c>
      <c r="BL48" s="265">
        <f t="shared" si="1"/>
        <v>0.33333333333333331</v>
      </c>
      <c r="BR48" s="81" t="s">
        <v>1537</v>
      </c>
      <c r="BS48" s="340"/>
      <c r="BT48" s="340"/>
      <c r="CJ48" s="278"/>
      <c r="CK48" s="278"/>
      <c r="CL48" s="278"/>
      <c r="CM48" s="278"/>
      <c r="CN48" s="278"/>
      <c r="CO48" s="278"/>
      <c r="CP48" s="268"/>
      <c r="CQ48" s="268"/>
      <c r="CR48" s="267"/>
      <c r="CS48" s="267"/>
      <c r="CT48" s="267"/>
      <c r="CU48" s="267"/>
      <c r="CV48" s="267"/>
      <c r="CW48" s="267"/>
      <c r="CX48" s="267"/>
      <c r="CY48" s="267"/>
      <c r="CZ48" s="267"/>
      <c r="DA48" s="267"/>
    </row>
    <row r="49" spans="1:105" ht="41.45" customHeight="1">
      <c r="A49" s="264">
        <v>33</v>
      </c>
      <c r="B49" s="264" t="s">
        <v>1532</v>
      </c>
      <c r="C49" s="264" t="s">
        <v>176</v>
      </c>
      <c r="D49" s="264" t="s">
        <v>1606</v>
      </c>
      <c r="E49" s="264" t="s">
        <v>1607</v>
      </c>
      <c r="F49" s="264"/>
      <c r="G49" s="264" t="s">
        <v>1607</v>
      </c>
      <c r="H49" s="264" t="s">
        <v>492</v>
      </c>
      <c r="I49" s="264" t="s">
        <v>1585</v>
      </c>
      <c r="BA49" s="264">
        <v>1</v>
      </c>
      <c r="BB49" s="264">
        <v>1</v>
      </c>
      <c r="BC49" s="264"/>
      <c r="BD49" s="264">
        <v>1</v>
      </c>
      <c r="BE49" s="264"/>
      <c r="BF49" s="264"/>
      <c r="BG49" s="264"/>
      <c r="BH49" s="264"/>
      <c r="BI49" s="264"/>
      <c r="BJ49" s="264">
        <v>9</v>
      </c>
      <c r="BK49" s="264">
        <f t="shared" si="0"/>
        <v>3</v>
      </c>
      <c r="BL49" s="265">
        <f t="shared" si="1"/>
        <v>0.33333333333333331</v>
      </c>
      <c r="BR49" s="81" t="s">
        <v>1537</v>
      </c>
      <c r="BS49" s="340"/>
      <c r="BT49" s="340"/>
      <c r="CJ49" s="278"/>
      <c r="CK49" s="278"/>
      <c r="CL49" s="278"/>
      <c r="CM49" s="278"/>
      <c r="CN49" s="278"/>
      <c r="CO49" s="278"/>
      <c r="CP49" s="268"/>
      <c r="CQ49" s="268"/>
      <c r="CR49" s="267"/>
      <c r="CS49" s="267"/>
      <c r="CT49" s="267"/>
      <c r="CU49" s="267"/>
      <c r="CV49" s="267"/>
      <c r="CW49" s="267"/>
      <c r="CX49" s="267"/>
      <c r="CY49" s="267"/>
      <c r="CZ49" s="267"/>
      <c r="DA49" s="267"/>
    </row>
    <row r="50" spans="1:105" ht="41.45" customHeight="1">
      <c r="A50" s="264">
        <v>34</v>
      </c>
      <c r="B50" s="264" t="s">
        <v>1532</v>
      </c>
      <c r="C50" s="264" t="s">
        <v>176</v>
      </c>
      <c r="D50" s="264" t="s">
        <v>1608</v>
      </c>
      <c r="E50" s="264" t="s">
        <v>1609</v>
      </c>
      <c r="F50" s="264"/>
      <c r="G50" s="264" t="s">
        <v>1609</v>
      </c>
      <c r="H50" s="264" t="s">
        <v>228</v>
      </c>
      <c r="I50" s="264" t="s">
        <v>1585</v>
      </c>
      <c r="BA50" s="264">
        <v>1</v>
      </c>
      <c r="BB50" s="264">
        <v>1</v>
      </c>
      <c r="BC50" s="264"/>
      <c r="BD50" s="264">
        <v>1</v>
      </c>
      <c r="BE50" s="287"/>
      <c r="BF50" s="287"/>
      <c r="BG50" s="287"/>
      <c r="BH50" s="287"/>
      <c r="BI50" s="287"/>
      <c r="BJ50" s="264">
        <v>9</v>
      </c>
      <c r="BK50" s="264">
        <f t="shared" si="0"/>
        <v>3</v>
      </c>
      <c r="BL50" s="265">
        <f t="shared" si="1"/>
        <v>0.33333333333333331</v>
      </c>
      <c r="BR50" s="81" t="s">
        <v>1537</v>
      </c>
      <c r="BS50" s="340"/>
      <c r="BT50" s="340"/>
      <c r="CJ50" s="278"/>
      <c r="CK50" s="278"/>
      <c r="CL50" s="278"/>
      <c r="CM50" s="278"/>
      <c r="CN50" s="278"/>
      <c r="CO50" s="278"/>
      <c r="CP50" s="268"/>
      <c r="CQ50" s="268"/>
      <c r="CR50" s="267"/>
      <c r="CS50" s="267"/>
      <c r="CT50" s="267"/>
      <c r="CU50" s="267"/>
      <c r="CV50" s="267"/>
      <c r="CW50" s="267"/>
      <c r="CX50" s="267"/>
      <c r="CY50" s="267"/>
      <c r="CZ50" s="267"/>
      <c r="DA50" s="267"/>
    </row>
    <row r="51" spans="1:105" ht="41.45" customHeight="1">
      <c r="A51" s="264">
        <v>35</v>
      </c>
      <c r="B51" s="264" t="s">
        <v>1532</v>
      </c>
      <c r="C51" s="264" t="s">
        <v>176</v>
      </c>
      <c r="D51" s="264" t="s">
        <v>1610</v>
      </c>
      <c r="E51" s="264" t="s">
        <v>1611</v>
      </c>
      <c r="F51" s="264"/>
      <c r="G51" s="264" t="s">
        <v>1611</v>
      </c>
      <c r="H51" s="264" t="s">
        <v>1612</v>
      </c>
      <c r="I51" s="264" t="s">
        <v>1585</v>
      </c>
      <c r="BA51" s="264">
        <v>1</v>
      </c>
      <c r="BB51" s="264">
        <v>1</v>
      </c>
      <c r="BC51" s="264"/>
      <c r="BD51" s="264">
        <v>1</v>
      </c>
      <c r="BE51" s="264"/>
      <c r="BF51" s="264"/>
      <c r="BG51" s="264"/>
      <c r="BH51" s="264"/>
      <c r="BI51" s="264"/>
      <c r="BJ51" s="264">
        <v>9</v>
      </c>
      <c r="BK51" s="264">
        <f t="shared" si="0"/>
        <v>3</v>
      </c>
      <c r="BL51" s="265">
        <f t="shared" si="1"/>
        <v>0.33333333333333331</v>
      </c>
      <c r="BR51" s="81" t="s">
        <v>1537</v>
      </c>
      <c r="BS51" s="340"/>
      <c r="BT51" s="340"/>
      <c r="CJ51" s="278"/>
      <c r="CK51" s="278"/>
      <c r="CL51" s="278"/>
      <c r="CM51" s="278"/>
      <c r="CN51" s="278"/>
      <c r="CO51" s="278"/>
      <c r="CP51" s="268"/>
      <c r="CQ51" s="268"/>
      <c r="CR51" s="267"/>
      <c r="CS51" s="267"/>
      <c r="CT51" s="267"/>
      <c r="CU51" s="267"/>
      <c r="CV51" s="267"/>
      <c r="CW51" s="267"/>
      <c r="CX51" s="267"/>
      <c r="CY51" s="267"/>
      <c r="CZ51" s="267"/>
      <c r="DA51" s="267"/>
    </row>
    <row r="52" spans="1:105" ht="41.45" customHeight="1">
      <c r="A52" s="264">
        <v>36</v>
      </c>
      <c r="B52" s="264" t="s">
        <v>1532</v>
      </c>
      <c r="C52" s="264" t="s">
        <v>176</v>
      </c>
      <c r="D52" s="264" t="s">
        <v>1613</v>
      </c>
      <c r="E52" s="264" t="s">
        <v>1614</v>
      </c>
      <c r="F52" s="264"/>
      <c r="G52" s="264" t="s">
        <v>1614</v>
      </c>
      <c r="H52" s="264" t="s">
        <v>1615</v>
      </c>
      <c r="I52" s="264" t="s">
        <v>1585</v>
      </c>
      <c r="BA52" s="264">
        <v>1</v>
      </c>
      <c r="BB52" s="264">
        <v>1</v>
      </c>
      <c r="BC52" s="264"/>
      <c r="BD52" s="264">
        <v>1</v>
      </c>
      <c r="BE52" s="287"/>
      <c r="BF52" s="287"/>
      <c r="BG52" s="287"/>
      <c r="BH52" s="287"/>
      <c r="BI52" s="287"/>
      <c r="BJ52" s="264">
        <v>9</v>
      </c>
      <c r="BK52" s="264">
        <f t="shared" si="0"/>
        <v>3</v>
      </c>
      <c r="BL52" s="265">
        <f t="shared" si="1"/>
        <v>0.33333333333333331</v>
      </c>
      <c r="BR52" s="81" t="s">
        <v>1537</v>
      </c>
      <c r="BS52" s="340"/>
      <c r="BT52" s="340"/>
      <c r="CJ52" s="278"/>
      <c r="CK52" s="278"/>
      <c r="CL52" s="278"/>
      <c r="CM52" s="278"/>
      <c r="CN52" s="278"/>
      <c r="CO52" s="278"/>
      <c r="CP52" s="268"/>
      <c r="CQ52" s="268"/>
      <c r="CR52" s="267"/>
      <c r="CS52" s="267"/>
      <c r="CT52" s="267"/>
      <c r="CU52" s="267"/>
      <c r="CV52" s="267"/>
      <c r="CW52" s="267"/>
      <c r="CX52" s="267"/>
      <c r="CY52" s="267"/>
      <c r="CZ52" s="267"/>
      <c r="DA52" s="267"/>
    </row>
    <row r="53" spans="1:105" ht="41.45" customHeight="1">
      <c r="A53" s="264">
        <v>37</v>
      </c>
      <c r="B53" s="264" t="s">
        <v>1532</v>
      </c>
      <c r="C53" s="264" t="s">
        <v>176</v>
      </c>
      <c r="D53" s="264" t="s">
        <v>1616</v>
      </c>
      <c r="E53" s="264" t="s">
        <v>1617</v>
      </c>
      <c r="F53" s="264"/>
      <c r="G53" s="264" t="s">
        <v>1617</v>
      </c>
      <c r="H53" s="264" t="s">
        <v>80</v>
      </c>
      <c r="I53" s="264" t="s">
        <v>1585</v>
      </c>
      <c r="BA53" s="264">
        <v>1</v>
      </c>
      <c r="BB53" s="264">
        <v>1</v>
      </c>
      <c r="BC53" s="264"/>
      <c r="BD53" s="264">
        <v>1</v>
      </c>
      <c r="BE53" s="264"/>
      <c r="BF53" s="264"/>
      <c r="BG53" s="264"/>
      <c r="BH53" s="264"/>
      <c r="BI53" s="264"/>
      <c r="BJ53" s="264">
        <v>9</v>
      </c>
      <c r="BK53" s="264">
        <f t="shared" si="0"/>
        <v>3</v>
      </c>
      <c r="BL53" s="265">
        <f t="shared" si="1"/>
        <v>0.33333333333333331</v>
      </c>
      <c r="BR53" s="81" t="s">
        <v>1537</v>
      </c>
      <c r="BS53" s="340"/>
      <c r="BT53" s="340"/>
      <c r="CJ53" s="278"/>
      <c r="CK53" s="278"/>
      <c r="CL53" s="278"/>
      <c r="CM53" s="278"/>
      <c r="CN53" s="278"/>
      <c r="CO53" s="278"/>
      <c r="CP53" s="268"/>
      <c r="CQ53" s="268"/>
      <c r="CR53" s="267"/>
      <c r="CS53" s="267"/>
      <c r="CT53" s="267"/>
      <c r="CU53" s="267"/>
      <c r="CV53" s="267"/>
      <c r="CW53" s="267"/>
      <c r="CX53" s="267"/>
      <c r="CY53" s="267"/>
      <c r="CZ53" s="267"/>
      <c r="DA53" s="267"/>
    </row>
    <row r="54" spans="1:105" ht="41.45" customHeight="1">
      <c r="A54" s="264">
        <v>38</v>
      </c>
      <c r="B54" s="264" t="s">
        <v>1532</v>
      </c>
      <c r="C54" s="264" t="s">
        <v>176</v>
      </c>
      <c r="D54" s="264" t="s">
        <v>1618</v>
      </c>
      <c r="E54" s="264" t="s">
        <v>1619</v>
      </c>
      <c r="F54" s="264"/>
      <c r="G54" s="264" t="s">
        <v>1619</v>
      </c>
      <c r="H54" s="264" t="s">
        <v>1549</v>
      </c>
      <c r="I54" s="264" t="s">
        <v>1585</v>
      </c>
      <c r="BA54" s="264">
        <v>1</v>
      </c>
      <c r="BB54" s="264">
        <v>1</v>
      </c>
      <c r="BC54" s="264"/>
      <c r="BD54" s="264">
        <v>1</v>
      </c>
      <c r="BE54" s="287"/>
      <c r="BF54" s="287"/>
      <c r="BG54" s="287"/>
      <c r="BH54" s="287"/>
      <c r="BI54" s="287"/>
      <c r="BJ54" s="264">
        <v>9</v>
      </c>
      <c r="BK54" s="264">
        <f t="shared" si="0"/>
        <v>3</v>
      </c>
      <c r="BL54" s="265">
        <f t="shared" si="1"/>
        <v>0.33333333333333331</v>
      </c>
      <c r="BR54" s="81" t="s">
        <v>1537</v>
      </c>
      <c r="BS54" s="340"/>
      <c r="BT54" s="340"/>
      <c r="CJ54" s="278"/>
      <c r="CK54" s="278"/>
      <c r="CL54" s="278"/>
      <c r="CM54" s="278"/>
      <c r="CN54" s="278"/>
      <c r="CO54" s="278"/>
      <c r="CP54" s="268"/>
      <c r="CQ54" s="268"/>
      <c r="CR54" s="267"/>
      <c r="CS54" s="267"/>
      <c r="CT54" s="267"/>
      <c r="CU54" s="267"/>
      <c r="CV54" s="267"/>
      <c r="CW54" s="267"/>
      <c r="CX54" s="267"/>
      <c r="CY54" s="267"/>
      <c r="CZ54" s="267"/>
      <c r="DA54" s="267"/>
    </row>
    <row r="55" spans="1:105" ht="41.45" customHeight="1">
      <c r="A55" s="264">
        <v>39</v>
      </c>
      <c r="B55" s="264" t="s">
        <v>1532</v>
      </c>
      <c r="C55" s="264" t="s">
        <v>176</v>
      </c>
      <c r="D55" s="264" t="s">
        <v>1620</v>
      </c>
      <c r="E55" s="264" t="s">
        <v>1621</v>
      </c>
      <c r="F55" s="264"/>
      <c r="G55" s="264" t="s">
        <v>1621</v>
      </c>
      <c r="H55" s="264" t="s">
        <v>1622</v>
      </c>
      <c r="I55" s="264" t="s">
        <v>1585</v>
      </c>
      <c r="BA55" s="264">
        <v>1</v>
      </c>
      <c r="BB55" s="264">
        <v>1</v>
      </c>
      <c r="BC55" s="264"/>
      <c r="BD55" s="264">
        <v>1</v>
      </c>
      <c r="BE55" s="264"/>
      <c r="BF55" s="264"/>
      <c r="BG55" s="264"/>
      <c r="BH55" s="264"/>
      <c r="BI55" s="264"/>
      <c r="BJ55" s="264">
        <v>9</v>
      </c>
      <c r="BK55" s="264">
        <f t="shared" si="0"/>
        <v>3</v>
      </c>
      <c r="BL55" s="265">
        <f t="shared" si="1"/>
        <v>0.33333333333333331</v>
      </c>
      <c r="BR55" s="81" t="s">
        <v>1537</v>
      </c>
      <c r="BS55" s="340"/>
      <c r="BT55" s="340"/>
      <c r="CJ55" s="278"/>
      <c r="CK55" s="278"/>
      <c r="CL55" s="278"/>
      <c r="CM55" s="278"/>
      <c r="CN55" s="278"/>
      <c r="CO55" s="278"/>
      <c r="CP55" s="268"/>
      <c r="CQ55" s="268"/>
      <c r="CR55" s="267"/>
      <c r="CS55" s="267"/>
      <c r="CT55" s="267"/>
      <c r="CU55" s="267"/>
      <c r="CV55" s="267"/>
      <c r="CW55" s="267"/>
      <c r="CX55" s="267"/>
      <c r="CY55" s="267"/>
      <c r="CZ55" s="267"/>
      <c r="DA55" s="267"/>
    </row>
    <row r="56" spans="1:105" ht="41.45" customHeight="1">
      <c r="A56" s="264">
        <v>40</v>
      </c>
      <c r="B56" s="264" t="s">
        <v>1532</v>
      </c>
      <c r="C56" s="264" t="s">
        <v>176</v>
      </c>
      <c r="D56" s="264" t="s">
        <v>1623</v>
      </c>
      <c r="E56" s="264" t="s">
        <v>1624</v>
      </c>
      <c r="F56" s="264"/>
      <c r="G56" s="264" t="s">
        <v>1624</v>
      </c>
      <c r="H56" s="264" t="s">
        <v>1625</v>
      </c>
      <c r="I56" s="264" t="s">
        <v>1585</v>
      </c>
      <c r="BA56" s="264">
        <v>1</v>
      </c>
      <c r="BB56" s="264">
        <v>1</v>
      </c>
      <c r="BC56" s="264"/>
      <c r="BD56" s="264">
        <v>1</v>
      </c>
      <c r="BE56" s="287"/>
      <c r="BF56" s="287"/>
      <c r="BG56" s="287"/>
      <c r="BH56" s="287"/>
      <c r="BI56" s="287"/>
      <c r="BJ56" s="264">
        <v>9</v>
      </c>
      <c r="BK56" s="264">
        <f t="shared" si="0"/>
        <v>3</v>
      </c>
      <c r="BL56" s="265">
        <f t="shared" si="1"/>
        <v>0.33333333333333331</v>
      </c>
      <c r="BR56" s="81" t="s">
        <v>1537</v>
      </c>
      <c r="BS56" s="340"/>
      <c r="BT56" s="340"/>
      <c r="CJ56" s="278"/>
      <c r="CK56" s="278"/>
      <c r="CL56" s="278"/>
      <c r="CM56" s="278"/>
      <c r="CN56" s="278"/>
      <c r="CO56" s="278"/>
      <c r="CP56" s="268"/>
      <c r="CQ56" s="268"/>
      <c r="CR56" s="267"/>
      <c r="CS56" s="267"/>
      <c r="CT56" s="267"/>
      <c r="CU56" s="267"/>
      <c r="CV56" s="267"/>
      <c r="CW56" s="267"/>
      <c r="CX56" s="267"/>
      <c r="CY56" s="267"/>
      <c r="CZ56" s="267"/>
      <c r="DA56" s="267"/>
    </row>
    <row r="57" spans="1:105" ht="41.45" customHeight="1">
      <c r="CJ57" s="278"/>
      <c r="CK57" s="278"/>
      <c r="CL57" s="278"/>
      <c r="CM57" s="278"/>
      <c r="CN57" s="278"/>
      <c r="CO57" s="278"/>
      <c r="CP57" s="268"/>
      <c r="CQ57" s="268"/>
      <c r="CR57" s="267"/>
      <c r="CS57" s="267"/>
      <c r="CT57" s="267"/>
      <c r="CU57" s="267"/>
      <c r="CV57" s="267"/>
      <c r="CW57" s="267"/>
      <c r="CX57" s="267"/>
      <c r="CY57" s="267"/>
      <c r="CZ57" s="267"/>
      <c r="DA57" s="267"/>
    </row>
    <row r="58" spans="1:105">
      <c r="CJ58" s="278"/>
      <c r="CK58" s="278"/>
      <c r="CL58" s="278"/>
      <c r="CM58" s="278"/>
      <c r="CN58" s="278"/>
      <c r="CO58" s="278"/>
      <c r="CP58" s="268"/>
      <c r="CQ58" s="268"/>
      <c r="CR58" s="267"/>
      <c r="CS58" s="267"/>
      <c r="CT58" s="267"/>
      <c r="CU58" s="267"/>
      <c r="CV58" s="267"/>
      <c r="CW58" s="267"/>
      <c r="CX58" s="267"/>
      <c r="CY58" s="267"/>
      <c r="CZ58" s="267"/>
      <c r="DA58" s="267"/>
    </row>
    <row r="59" spans="1:105">
      <c r="CJ59" s="278"/>
      <c r="CK59" s="278"/>
      <c r="CL59" s="278"/>
      <c r="CM59" s="278"/>
      <c r="CN59" s="278"/>
      <c r="CO59" s="278"/>
      <c r="CP59" s="268"/>
      <c r="CQ59" s="268"/>
      <c r="CR59" s="267"/>
      <c r="CS59" s="267"/>
      <c r="CT59" s="267"/>
      <c r="CU59" s="267"/>
      <c r="CV59" s="267"/>
      <c r="CW59" s="267"/>
      <c r="CX59" s="267"/>
      <c r="CY59" s="267"/>
      <c r="CZ59" s="267"/>
      <c r="DA59" s="267"/>
    </row>
    <row r="60" spans="1:105">
      <c r="CJ60" s="278"/>
      <c r="CK60" s="278"/>
      <c r="CL60" s="278"/>
      <c r="CM60" s="278"/>
      <c r="CN60" s="278"/>
      <c r="CO60" s="278"/>
      <c r="CP60" s="268"/>
      <c r="CQ60" s="268"/>
      <c r="CR60" s="267"/>
      <c r="CS60" s="267"/>
      <c r="CT60" s="267"/>
      <c r="CU60" s="267"/>
      <c r="CV60" s="267"/>
      <c r="CW60" s="267"/>
      <c r="CX60" s="267"/>
      <c r="CY60" s="267"/>
      <c r="CZ60" s="267"/>
      <c r="DA60" s="267"/>
    </row>
    <row r="61" spans="1:105">
      <c r="CJ61" s="278"/>
      <c r="CK61" s="278"/>
      <c r="CL61" s="278"/>
      <c r="CM61" s="278"/>
      <c r="CN61" s="278"/>
      <c r="CO61" s="278"/>
      <c r="CP61" s="268"/>
      <c r="CQ61" s="268"/>
      <c r="CR61" s="267"/>
      <c r="CS61" s="267"/>
      <c r="CT61" s="267"/>
      <c r="CU61" s="267"/>
      <c r="CV61" s="267"/>
      <c r="CW61" s="267"/>
      <c r="CX61" s="267"/>
      <c r="CY61" s="267"/>
      <c r="CZ61" s="267"/>
      <c r="DA61" s="267"/>
    </row>
    <row r="62" spans="1:105">
      <c r="CJ62" s="278"/>
      <c r="CK62" s="278"/>
      <c r="CL62" s="278"/>
      <c r="CM62" s="278"/>
      <c r="CN62" s="278"/>
      <c r="CO62" s="278"/>
      <c r="CP62" s="268"/>
      <c r="CQ62" s="268"/>
      <c r="CR62" s="267"/>
      <c r="CS62" s="267"/>
      <c r="CT62" s="267"/>
      <c r="CU62" s="267"/>
      <c r="CV62" s="267"/>
      <c r="CW62" s="267"/>
      <c r="CX62" s="267"/>
      <c r="CY62" s="267"/>
      <c r="CZ62" s="267"/>
      <c r="DA62" s="267"/>
    </row>
    <row r="63" spans="1:105">
      <c r="CJ63" s="278"/>
      <c r="CK63" s="278"/>
      <c r="CL63" s="278"/>
      <c r="CM63" s="278"/>
      <c r="CN63" s="278"/>
      <c r="CO63" s="278"/>
      <c r="CP63" s="268"/>
      <c r="CQ63" s="268"/>
      <c r="CR63" s="267"/>
      <c r="CS63" s="267"/>
      <c r="CT63" s="267"/>
      <c r="CU63" s="267"/>
      <c r="CV63" s="267"/>
      <c r="CW63" s="267"/>
      <c r="CX63" s="267"/>
      <c r="CY63" s="267"/>
      <c r="CZ63" s="267"/>
      <c r="DA63" s="267"/>
    </row>
    <row r="64" spans="1:105">
      <c r="CJ64" s="278"/>
      <c r="CK64" s="278"/>
      <c r="CL64" s="278"/>
      <c r="CM64" s="278"/>
      <c r="CN64" s="278"/>
      <c r="CO64" s="278"/>
      <c r="CP64" s="268"/>
      <c r="CQ64" s="268"/>
      <c r="CR64" s="267"/>
      <c r="CS64" s="267"/>
      <c r="CT64" s="267"/>
      <c r="CU64" s="267"/>
      <c r="CV64" s="267"/>
      <c r="CW64" s="267"/>
      <c r="CX64" s="267"/>
      <c r="CY64" s="267"/>
      <c r="CZ64" s="267"/>
      <c r="DA64" s="267"/>
    </row>
    <row r="65" spans="88:105">
      <c r="CJ65" s="278"/>
      <c r="CK65" s="278"/>
      <c r="CL65" s="278"/>
      <c r="CM65" s="278"/>
      <c r="CN65" s="278"/>
      <c r="CO65" s="278"/>
      <c r="CP65" s="268"/>
      <c r="CQ65" s="268"/>
      <c r="CR65" s="267"/>
      <c r="CS65" s="267"/>
      <c r="CT65" s="267"/>
      <c r="CU65" s="267"/>
      <c r="CV65" s="267"/>
      <c r="CW65" s="267"/>
      <c r="CX65" s="267"/>
      <c r="CY65" s="267"/>
      <c r="CZ65" s="267"/>
      <c r="DA65" s="267"/>
    </row>
    <row r="66" spans="88:105">
      <c r="CJ66" s="278"/>
      <c r="CK66" s="278"/>
      <c r="CL66" s="278"/>
      <c r="CM66" s="278"/>
      <c r="CN66" s="278"/>
      <c r="CO66" s="278"/>
      <c r="CP66" s="268"/>
      <c r="CQ66" s="268"/>
      <c r="CR66" s="267"/>
      <c r="CS66" s="267"/>
      <c r="CT66" s="267"/>
      <c r="CU66" s="267"/>
      <c r="CV66" s="267"/>
      <c r="CW66" s="267"/>
      <c r="CX66" s="267"/>
      <c r="CY66" s="267"/>
      <c r="CZ66" s="267"/>
      <c r="DA66" s="267"/>
    </row>
    <row r="67" spans="88:105">
      <c r="CJ67" s="278"/>
      <c r="CK67" s="278"/>
      <c r="CL67" s="278"/>
      <c r="CM67" s="278"/>
      <c r="CN67" s="278"/>
      <c r="CO67" s="278"/>
      <c r="CP67" s="268"/>
      <c r="CQ67" s="268"/>
      <c r="CR67" s="267"/>
      <c r="CS67" s="267"/>
      <c r="CT67" s="267"/>
      <c r="CU67" s="267"/>
      <c r="CV67" s="267"/>
      <c r="CW67" s="267"/>
      <c r="CX67" s="267"/>
      <c r="CY67" s="267"/>
      <c r="CZ67" s="267"/>
      <c r="DA67" s="267"/>
    </row>
    <row r="68" spans="88:105">
      <c r="CJ68" s="278"/>
      <c r="CK68" s="278"/>
      <c r="CL68" s="278"/>
      <c r="CM68" s="278"/>
      <c r="CN68" s="278"/>
      <c r="CO68" s="278"/>
      <c r="CP68" s="268"/>
      <c r="CQ68" s="268"/>
      <c r="CR68" s="267"/>
      <c r="CS68" s="267"/>
      <c r="CT68" s="267"/>
      <c r="CU68" s="267"/>
      <c r="CV68" s="267"/>
      <c r="CW68" s="267"/>
      <c r="CX68" s="267"/>
      <c r="CY68" s="267"/>
      <c r="CZ68" s="267"/>
      <c r="DA68" s="267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A68"/>
  <sheetViews>
    <sheetView topLeftCell="A2" zoomScale="40" zoomScaleNormal="40" workbookViewId="0">
      <pane xSplit="5" ySplit="16" topLeftCell="CQ18" activePane="bottomRight" state="frozen"/>
      <selection pane="bottomRight" activeCell="CS17" sqref="CS17"/>
      <selection pane="bottomLeft" activeCell="A18" sqref="A18"/>
      <selection pane="topRight" activeCell="F2" sqref="F2"/>
    </sheetView>
  </sheetViews>
  <sheetFormatPr defaultColWidth="11.5703125" defaultRowHeight="27.6"/>
  <cols>
    <col min="1" max="1" width="30.5703125" bestFit="1" customWidth="1"/>
    <col min="2" max="2" width="22.140625" bestFit="1" customWidth="1"/>
    <col min="3" max="3" width="31.140625" bestFit="1" customWidth="1"/>
    <col min="4" max="4" width="18.5703125" bestFit="1" customWidth="1"/>
    <col min="5" max="5" width="90.42578125" bestFit="1" customWidth="1"/>
    <col min="6" max="6" width="110.85546875" bestFit="1" customWidth="1"/>
    <col min="53" max="64" width="31.42578125" customWidth="1"/>
    <col min="69" max="71" width="34.140625" customWidth="1"/>
    <col min="88" max="93" width="35.42578125" style="279" customWidth="1"/>
    <col min="94" max="105" width="35.42578125" style="266" customWidth="1"/>
  </cols>
  <sheetData>
    <row r="1" spans="1:105" s="168" customFormat="1" ht="27.95">
      <c r="A1" s="8"/>
      <c r="B1" s="9" t="s">
        <v>13</v>
      </c>
      <c r="C1" s="169" t="s">
        <v>248</v>
      </c>
      <c r="D1" s="165"/>
      <c r="E1" s="165"/>
      <c r="F1" s="165"/>
      <c r="BA1" s="165"/>
      <c r="BB1" s="165"/>
      <c r="BC1" s="165"/>
      <c r="BD1" s="165"/>
      <c r="BE1" s="165"/>
      <c r="BF1" s="165"/>
      <c r="BG1" s="165"/>
      <c r="BH1" s="165"/>
      <c r="BI1" s="165"/>
      <c r="BJ1" s="165"/>
      <c r="BK1" s="165"/>
      <c r="BL1" s="165"/>
      <c r="CJ1" s="165"/>
      <c r="CK1" s="165"/>
      <c r="CL1" s="165"/>
      <c r="CM1" s="165"/>
      <c r="CN1" s="165"/>
      <c r="CO1" s="165"/>
      <c r="CP1" s="165"/>
      <c r="CQ1" s="165"/>
      <c r="CR1" s="165"/>
      <c r="CS1" s="165"/>
      <c r="CT1" s="165"/>
      <c r="CU1" s="165"/>
      <c r="CV1" s="165"/>
      <c r="CW1" s="165"/>
      <c r="CX1" s="165"/>
      <c r="CY1" s="165"/>
      <c r="CZ1" s="165"/>
      <c r="DA1" s="165"/>
    </row>
    <row r="2" spans="1:105" s="168" customFormat="1" ht="28.5">
      <c r="A2" s="396" t="s">
        <v>1626</v>
      </c>
      <c r="B2" s="396"/>
      <c r="C2" s="310"/>
      <c r="D2" s="165"/>
      <c r="E2" s="165"/>
      <c r="F2" s="165"/>
      <c r="BA2" s="165"/>
      <c r="BB2" s="165"/>
      <c r="BC2" s="165"/>
      <c r="BD2" s="165"/>
      <c r="BE2" s="165"/>
      <c r="BF2" s="165"/>
      <c r="BG2" s="165"/>
      <c r="BH2" s="165"/>
      <c r="BI2" s="165"/>
      <c r="BJ2" s="165"/>
      <c r="BK2" s="165"/>
      <c r="BL2" s="165"/>
      <c r="CJ2" s="165"/>
      <c r="CK2" s="165"/>
      <c r="CL2" s="165"/>
      <c r="CM2" s="165"/>
      <c r="CN2" s="165"/>
      <c r="CO2" s="165"/>
      <c r="CP2" s="165"/>
      <c r="CQ2" s="165"/>
      <c r="CR2" s="165"/>
      <c r="CS2" s="165"/>
      <c r="CT2" s="165"/>
      <c r="CU2" s="165"/>
      <c r="CV2" s="165"/>
      <c r="CW2" s="165"/>
      <c r="CX2" s="165"/>
      <c r="CY2" s="165"/>
      <c r="CZ2" s="165"/>
      <c r="DA2" s="165"/>
    </row>
    <row r="3" spans="1:105" s="168" customFormat="1" ht="28.5">
      <c r="A3" s="311" t="s">
        <v>254</v>
      </c>
      <c r="B3" s="335"/>
      <c r="C3" s="314"/>
      <c r="D3" s="165"/>
      <c r="E3" s="165"/>
      <c r="F3" s="165"/>
      <c r="BA3" s="165"/>
      <c r="BB3" s="165"/>
      <c r="BC3" s="165"/>
      <c r="BD3" s="165"/>
      <c r="BE3" s="165"/>
      <c r="BF3" s="165"/>
      <c r="BG3" s="165"/>
      <c r="BH3" s="165"/>
      <c r="BI3" s="165"/>
      <c r="BJ3" s="165"/>
      <c r="BK3" s="165"/>
      <c r="BL3" s="165"/>
      <c r="CJ3" s="165"/>
      <c r="CK3" s="165"/>
      <c r="CL3" s="165"/>
      <c r="CM3" s="165"/>
      <c r="CN3" s="165"/>
      <c r="CO3" s="165"/>
      <c r="CP3" s="165"/>
      <c r="CQ3" s="165"/>
      <c r="CR3" s="165"/>
      <c r="CS3" s="165"/>
      <c r="CT3" s="165"/>
      <c r="CU3" s="165"/>
      <c r="CV3" s="165"/>
      <c r="CW3" s="165"/>
      <c r="CX3" s="165"/>
      <c r="CY3" s="165"/>
      <c r="CZ3" s="165"/>
      <c r="DA3" s="165"/>
    </row>
    <row r="4" spans="1:105" s="168" customFormat="1" ht="28.5">
      <c r="A4" s="336" t="s">
        <v>1037</v>
      </c>
      <c r="B4" s="337"/>
      <c r="C4" s="338"/>
      <c r="D4" s="165"/>
      <c r="E4" s="165"/>
      <c r="F4" s="165"/>
      <c r="BA4" s="165"/>
      <c r="BB4" s="165"/>
      <c r="BC4" s="165"/>
      <c r="BD4" s="165"/>
      <c r="BE4" s="165"/>
      <c r="BF4" s="165"/>
      <c r="BG4" s="165"/>
      <c r="BH4" s="165"/>
      <c r="BI4" s="165"/>
      <c r="BJ4" s="165"/>
      <c r="BK4" s="165"/>
      <c r="BL4" s="165"/>
      <c r="CJ4" s="165"/>
      <c r="CK4" s="165"/>
      <c r="CL4" s="165"/>
      <c r="CM4" s="165"/>
      <c r="CN4" s="165"/>
      <c r="CO4" s="165"/>
      <c r="CP4" s="165"/>
      <c r="CQ4" s="165"/>
      <c r="CR4" s="165"/>
      <c r="CS4" s="165"/>
      <c r="CT4" s="165"/>
      <c r="CU4" s="165"/>
      <c r="CV4" s="165"/>
      <c r="CW4" s="165"/>
      <c r="CX4" s="165"/>
      <c r="CY4" s="165"/>
      <c r="CZ4" s="165"/>
      <c r="DA4" s="165"/>
    </row>
    <row r="5" spans="1:105" s="168" customFormat="1" ht="28.5">
      <c r="A5" s="311" t="s">
        <v>256</v>
      </c>
      <c r="B5" s="312"/>
      <c r="C5" s="314"/>
      <c r="D5" s="165"/>
      <c r="E5" s="165"/>
      <c r="F5" s="165"/>
      <c r="BA5" s="165"/>
      <c r="BB5" s="165"/>
      <c r="BC5" s="165"/>
      <c r="BD5" s="165"/>
      <c r="BE5" s="165"/>
      <c r="BF5" s="165"/>
      <c r="BG5" s="165"/>
      <c r="BH5" s="165"/>
      <c r="BI5" s="165"/>
      <c r="BJ5" s="165"/>
      <c r="BK5" s="165"/>
      <c r="BL5" s="165"/>
      <c r="CJ5" s="165"/>
      <c r="CK5" s="165"/>
      <c r="CL5" s="165"/>
      <c r="CM5" s="165"/>
      <c r="CN5" s="165"/>
      <c r="CO5" s="165"/>
      <c r="CP5" s="165"/>
      <c r="CQ5" s="165"/>
      <c r="CR5" s="165"/>
      <c r="CS5" s="165"/>
      <c r="CT5" s="165"/>
      <c r="CU5" s="165"/>
      <c r="CV5" s="165"/>
      <c r="CW5" s="165"/>
      <c r="CX5" s="165"/>
      <c r="CY5" s="165"/>
      <c r="CZ5" s="165"/>
      <c r="DA5" s="165"/>
    </row>
    <row r="6" spans="1:105" s="168" customFormat="1" ht="28.5">
      <c r="A6" s="311" t="s">
        <v>255</v>
      </c>
      <c r="B6" s="312"/>
      <c r="C6" s="314"/>
      <c r="D6" s="165"/>
      <c r="E6" s="165"/>
      <c r="F6" s="165"/>
      <c r="BA6" s="165"/>
      <c r="BB6" s="165"/>
      <c r="BC6" s="165"/>
      <c r="BD6" s="165"/>
      <c r="BE6" s="165"/>
      <c r="BF6" s="165"/>
      <c r="BG6" s="165"/>
      <c r="BH6" s="165"/>
      <c r="BI6" s="165"/>
      <c r="BJ6" s="165"/>
      <c r="BK6" s="165"/>
      <c r="BL6" s="165"/>
      <c r="CJ6" s="165"/>
      <c r="CK6" s="165"/>
      <c r="CL6" s="165"/>
      <c r="CM6" s="165"/>
      <c r="CN6" s="165"/>
      <c r="CO6" s="165"/>
      <c r="CP6" s="165"/>
      <c r="CQ6" s="165"/>
      <c r="CR6" s="165"/>
      <c r="CS6" s="165"/>
      <c r="CT6" s="165"/>
      <c r="CU6" s="165"/>
      <c r="CV6" s="165"/>
      <c r="CW6" s="165"/>
      <c r="CX6" s="165"/>
      <c r="CY6" s="165"/>
      <c r="CZ6" s="165"/>
      <c r="DA6" s="165"/>
    </row>
    <row r="7" spans="1:105" s="168" customFormat="1" ht="28.5">
      <c r="A7" s="311" t="s">
        <v>257</v>
      </c>
      <c r="B7" s="312"/>
      <c r="C7" s="314"/>
      <c r="D7" s="165"/>
      <c r="E7" s="165"/>
      <c r="F7" s="165"/>
      <c r="BA7" s="165"/>
      <c r="BB7" s="165"/>
      <c r="BC7" s="165"/>
      <c r="BD7" s="165"/>
      <c r="BE7" s="165"/>
      <c r="BF7" s="165"/>
      <c r="BG7" s="165"/>
      <c r="BH7" s="165"/>
      <c r="BI7" s="165"/>
      <c r="BJ7" s="165"/>
      <c r="BK7" s="165"/>
      <c r="BL7" s="165"/>
      <c r="CJ7" s="165"/>
      <c r="CK7" s="165"/>
      <c r="CL7" s="165"/>
      <c r="CM7" s="165"/>
      <c r="CN7" s="165"/>
      <c r="CO7" s="165"/>
      <c r="CP7" s="165"/>
      <c r="CQ7" s="165"/>
      <c r="CR7" s="165"/>
      <c r="CS7" s="165"/>
      <c r="CT7" s="165"/>
      <c r="CU7" s="165"/>
      <c r="CV7" s="165"/>
      <c r="CW7" s="165"/>
      <c r="CX7" s="165"/>
      <c r="CY7" s="165"/>
      <c r="CZ7" s="165"/>
      <c r="DA7" s="165"/>
    </row>
    <row r="8" spans="1:105" s="168" customFormat="1" ht="28.5">
      <c r="A8" s="315" t="s">
        <v>258</v>
      </c>
      <c r="B8" s="316"/>
      <c r="C8" s="339"/>
      <c r="D8" s="165"/>
      <c r="E8" s="165"/>
      <c r="F8" s="165"/>
      <c r="BA8" s="165"/>
      <c r="BB8" s="165"/>
      <c r="BC8" s="165"/>
      <c r="BD8" s="165"/>
      <c r="BE8" s="165"/>
      <c r="BF8" s="165"/>
      <c r="BG8" s="165"/>
      <c r="BH8" s="165"/>
      <c r="BI8" s="165"/>
      <c r="BJ8" s="165"/>
      <c r="BK8" s="165"/>
      <c r="BL8" s="165"/>
      <c r="CJ8" s="165"/>
      <c r="CK8" s="165"/>
      <c r="CL8" s="165"/>
      <c r="CM8" s="165"/>
      <c r="CN8" s="165"/>
      <c r="CO8" s="165"/>
      <c r="CP8" s="165"/>
      <c r="CQ8" s="165"/>
      <c r="CR8" s="165"/>
      <c r="CS8" s="165"/>
      <c r="CT8" s="165"/>
      <c r="CU8" s="165"/>
      <c r="CV8" s="165"/>
      <c r="CW8" s="165"/>
      <c r="CX8" s="165"/>
      <c r="CY8" s="165"/>
      <c r="CZ8" s="165"/>
      <c r="DA8" s="165"/>
    </row>
    <row r="9" spans="1:105" s="206" customFormat="1" ht="27.95">
      <c r="A9" s="165"/>
      <c r="B9" s="165"/>
      <c r="C9" s="165"/>
      <c r="D9" s="165"/>
      <c r="E9" s="165"/>
      <c r="F9" s="165"/>
      <c r="BA9" s="165"/>
      <c r="BB9" s="165"/>
      <c r="BC9" s="165"/>
      <c r="BD9" s="165"/>
      <c r="BE9" s="165"/>
      <c r="BF9" s="165"/>
      <c r="BG9" s="165"/>
      <c r="BH9" s="165"/>
      <c r="BI9" s="165"/>
      <c r="BJ9" s="165"/>
      <c r="BK9" s="165"/>
      <c r="BL9" s="165"/>
      <c r="CJ9" s="165"/>
      <c r="CK9" s="165"/>
      <c r="CL9" s="165"/>
      <c r="CM9" s="165"/>
      <c r="CN9" s="165"/>
      <c r="CO9" s="165"/>
      <c r="CP9" s="165"/>
      <c r="CQ9" s="165"/>
      <c r="CR9" s="165"/>
      <c r="CS9" s="165"/>
      <c r="CT9" s="165"/>
      <c r="CU9" s="165"/>
      <c r="CV9" s="165"/>
      <c r="CW9" s="165"/>
      <c r="CX9" s="165"/>
      <c r="CY9" s="165"/>
      <c r="CZ9" s="165"/>
      <c r="DA9" s="165"/>
    </row>
    <row r="10" spans="1:105" s="206" customFormat="1" ht="27.95">
      <c r="A10" s="165"/>
      <c r="B10" s="165"/>
      <c r="C10" s="165"/>
      <c r="D10" s="165"/>
      <c r="E10" s="165"/>
      <c r="F10" s="165"/>
      <c r="BA10" s="165"/>
      <c r="BB10" s="165"/>
      <c r="BC10" s="165"/>
      <c r="BD10" s="165"/>
      <c r="BE10" s="165"/>
      <c r="BF10" s="165"/>
      <c r="BG10" s="165"/>
      <c r="BH10" s="165"/>
      <c r="BI10" s="165"/>
      <c r="BJ10" s="165"/>
      <c r="BK10" s="165"/>
      <c r="BL10" s="165"/>
      <c r="CJ10" s="165"/>
      <c r="CK10" s="165"/>
      <c r="CL10" s="165"/>
      <c r="CM10" s="165"/>
      <c r="CN10" s="165"/>
      <c r="CO10" s="165"/>
      <c r="CP10" s="165"/>
      <c r="CQ10" s="165"/>
      <c r="CR10" s="165"/>
      <c r="CS10" s="165"/>
      <c r="CT10" s="165"/>
      <c r="CU10" s="165"/>
      <c r="CV10" s="165"/>
      <c r="CW10" s="165"/>
      <c r="CX10" s="165"/>
      <c r="CY10" s="165"/>
      <c r="CZ10" s="165"/>
      <c r="DA10" s="165"/>
    </row>
    <row r="11" spans="1:105" s="206" customFormat="1" ht="27.95">
      <c r="A11" s="165"/>
      <c r="B11" s="165"/>
      <c r="C11" s="165"/>
      <c r="D11" s="165"/>
      <c r="E11" s="165"/>
      <c r="F11" s="165"/>
      <c r="BA11" s="165"/>
      <c r="BB11" s="165"/>
      <c r="BC11" s="165"/>
      <c r="BD11" s="165"/>
      <c r="BE11" s="165"/>
      <c r="BF11" s="165"/>
      <c r="BG11" s="165"/>
      <c r="BH11" s="165"/>
      <c r="BI11" s="165"/>
      <c r="BJ11" s="165"/>
      <c r="BK11" s="165"/>
      <c r="BL11" s="165"/>
      <c r="CJ11" s="165"/>
      <c r="CK11" s="165"/>
      <c r="CL11" s="165"/>
      <c r="CM11" s="165"/>
      <c r="CN11" s="165"/>
      <c r="CO11" s="165"/>
      <c r="CP11" s="165"/>
      <c r="CQ11" s="165"/>
      <c r="CR11" s="165"/>
      <c r="CS11" s="165"/>
      <c r="CT11" s="165"/>
      <c r="CU11" s="165"/>
      <c r="CV11" s="165"/>
      <c r="CW11" s="165"/>
      <c r="CX11" s="165"/>
      <c r="CY11" s="165"/>
      <c r="CZ11" s="165"/>
      <c r="DA11" s="165"/>
    </row>
    <row r="12" spans="1:105" s="206" customFormat="1" ht="27.95">
      <c r="A12" s="165"/>
      <c r="B12" s="165"/>
      <c r="C12" s="165"/>
      <c r="D12" s="165"/>
      <c r="E12" s="165"/>
      <c r="F12" s="165"/>
      <c r="BA12" s="165"/>
      <c r="BB12" s="165"/>
      <c r="BC12" s="165"/>
      <c r="BD12" s="165"/>
      <c r="BE12" s="165"/>
      <c r="BF12" s="165"/>
      <c r="BG12" s="165"/>
      <c r="BH12" s="165"/>
      <c r="BI12" s="165"/>
      <c r="BJ12" s="165"/>
      <c r="BK12" s="165"/>
      <c r="BL12" s="165"/>
      <c r="CJ12" s="165"/>
      <c r="CK12" s="165"/>
      <c r="CL12" s="165"/>
      <c r="CM12" s="165"/>
      <c r="CN12" s="165"/>
      <c r="CO12" s="165"/>
      <c r="CP12" s="165"/>
      <c r="CQ12" s="165"/>
      <c r="CR12" s="165"/>
      <c r="CS12" s="165"/>
      <c r="CT12" s="165"/>
      <c r="CU12" s="165"/>
      <c r="CV12" s="165"/>
      <c r="CW12" s="165"/>
      <c r="CX12" s="165"/>
      <c r="CY12" s="165"/>
      <c r="CZ12" s="165"/>
      <c r="DA12" s="165"/>
    </row>
    <row r="13" spans="1:105" s="206" customFormat="1" ht="27.95">
      <c r="A13" s="165"/>
      <c r="B13" s="165"/>
      <c r="C13" s="165"/>
      <c r="D13" s="165"/>
      <c r="E13" s="165"/>
      <c r="F13" s="165"/>
      <c r="BA13" s="165"/>
      <c r="BB13" s="165"/>
      <c r="BC13" s="165"/>
      <c r="BD13" s="165"/>
      <c r="BE13" s="165"/>
      <c r="BF13" s="165"/>
      <c r="BG13" s="165"/>
      <c r="BH13" s="165"/>
      <c r="BI13" s="165"/>
      <c r="BJ13" s="165"/>
      <c r="BK13" s="165"/>
      <c r="BL13" s="165"/>
      <c r="CJ13" s="168"/>
      <c r="CK13" s="168"/>
      <c r="CL13" s="168"/>
      <c r="CM13" s="168"/>
      <c r="CN13" s="168"/>
      <c r="CO13" s="168"/>
      <c r="CP13" s="168"/>
      <c r="CQ13" s="168"/>
      <c r="CR13" s="168"/>
      <c r="CS13" s="168"/>
      <c r="CT13" s="168"/>
      <c r="CU13" s="168"/>
      <c r="CV13" s="168"/>
      <c r="CW13" s="168"/>
      <c r="CX13" s="168"/>
      <c r="CY13" s="168"/>
      <c r="CZ13" s="168"/>
      <c r="DA13" s="168"/>
    </row>
    <row r="14" spans="1:105" s="206" customFormat="1" ht="35.1" customHeight="1">
      <c r="A14" s="165"/>
      <c r="B14" s="165"/>
      <c r="C14" s="165"/>
      <c r="D14" s="165"/>
      <c r="E14" s="165"/>
      <c r="F14" s="165"/>
      <c r="BA14" s="165"/>
      <c r="BB14" s="165"/>
      <c r="BC14" s="165"/>
      <c r="BD14" s="165"/>
      <c r="BE14" s="165"/>
      <c r="BF14" s="165"/>
      <c r="BG14" s="165"/>
      <c r="BH14" s="165"/>
      <c r="BI14" s="165"/>
      <c r="BJ14" s="165"/>
      <c r="BK14" s="165"/>
      <c r="BL14" s="165"/>
      <c r="CJ14" s="394" t="s">
        <v>0</v>
      </c>
      <c r="CK14" s="395"/>
      <c r="CL14" s="395"/>
      <c r="CM14" s="395"/>
      <c r="CN14" s="395"/>
      <c r="CO14" s="395"/>
      <c r="CP14" s="395"/>
      <c r="CQ14" s="395"/>
      <c r="CR14" s="395"/>
      <c r="CS14" s="395"/>
      <c r="CT14" s="395"/>
      <c r="CU14" s="395"/>
      <c r="CV14" s="395"/>
      <c r="CW14" s="395"/>
      <c r="CX14" s="395"/>
      <c r="CY14" s="395"/>
      <c r="CZ14" s="395"/>
      <c r="DA14" s="395"/>
    </row>
    <row r="15" spans="1:105" s="206" customFormat="1" ht="56.1">
      <c r="A15" s="165"/>
      <c r="B15" s="165"/>
      <c r="C15" s="165"/>
      <c r="D15" s="165"/>
      <c r="E15" s="165"/>
      <c r="F15" s="165"/>
      <c r="BA15" s="165"/>
      <c r="BB15" s="165"/>
      <c r="BC15" s="165"/>
      <c r="BD15" s="165"/>
      <c r="BE15" s="165"/>
      <c r="BF15" s="165"/>
      <c r="BG15" s="165"/>
      <c r="BH15" s="165"/>
      <c r="BI15" s="165"/>
      <c r="BJ15" s="165"/>
      <c r="BK15" s="165"/>
      <c r="BL15" s="165"/>
      <c r="CJ15" s="356" t="s">
        <v>1</v>
      </c>
      <c r="CK15" s="356"/>
      <c r="CL15" s="356" t="s">
        <v>2</v>
      </c>
      <c r="CM15" s="356"/>
      <c r="CN15" s="356" t="s">
        <v>3</v>
      </c>
      <c r="CO15" s="356"/>
      <c r="CP15" s="356" t="s">
        <v>4</v>
      </c>
      <c r="CQ15" s="356"/>
      <c r="CR15" s="356" t="s">
        <v>5</v>
      </c>
      <c r="CS15" s="356"/>
      <c r="CT15" s="356" t="s">
        <v>6</v>
      </c>
      <c r="CU15" s="356"/>
      <c r="CV15" s="356" t="s">
        <v>7</v>
      </c>
      <c r="CW15" s="356"/>
      <c r="CX15" s="356" t="s">
        <v>8</v>
      </c>
      <c r="CY15" s="356"/>
      <c r="CZ15" s="356" t="s">
        <v>9</v>
      </c>
      <c r="DA15" s="356"/>
    </row>
    <row r="16" spans="1:105" s="206" customFormat="1" ht="56.1">
      <c r="A16" s="162" t="s">
        <v>10</v>
      </c>
      <c r="B16" s="162" t="s">
        <v>1627</v>
      </c>
      <c r="C16" s="162" t="s">
        <v>1628</v>
      </c>
      <c r="D16" s="162" t="s">
        <v>1629</v>
      </c>
      <c r="E16" s="162" t="s">
        <v>1630</v>
      </c>
      <c r="F16" s="162" t="s">
        <v>1631</v>
      </c>
      <c r="G16" s="205"/>
      <c r="H16" s="205"/>
      <c r="I16" s="205"/>
      <c r="J16" s="205"/>
      <c r="K16" s="205"/>
      <c r="L16" s="205"/>
      <c r="M16" s="205"/>
      <c r="N16" s="205"/>
      <c r="O16" s="205"/>
      <c r="P16" s="205"/>
      <c r="Q16" s="205"/>
      <c r="R16" s="205"/>
      <c r="S16" s="205"/>
      <c r="T16" s="205"/>
      <c r="U16" s="205"/>
      <c r="V16" s="205"/>
      <c r="W16" s="205"/>
      <c r="X16" s="205"/>
      <c r="Y16" s="205"/>
      <c r="Z16" s="205"/>
      <c r="AA16" s="205"/>
      <c r="AB16" s="205"/>
      <c r="AC16" s="205"/>
      <c r="AD16" s="205"/>
      <c r="AE16" s="205"/>
      <c r="AF16" s="205"/>
      <c r="AG16" s="205"/>
      <c r="AH16" s="205"/>
      <c r="AI16" s="205"/>
      <c r="AJ16" s="205"/>
      <c r="AK16" s="205"/>
      <c r="AL16" s="205"/>
      <c r="AM16" s="205"/>
      <c r="AN16" s="205"/>
      <c r="AO16" s="205"/>
      <c r="AP16" s="205"/>
      <c r="AQ16" s="205"/>
      <c r="AR16" s="205"/>
      <c r="AS16" s="205"/>
      <c r="AT16" s="205"/>
      <c r="AU16" s="205"/>
      <c r="AV16" s="205"/>
      <c r="AW16" s="205"/>
      <c r="AX16" s="205"/>
      <c r="AY16" s="205"/>
      <c r="AZ16" s="205"/>
      <c r="BA16" s="162" t="s">
        <v>40</v>
      </c>
      <c r="BB16" s="162" t="s">
        <v>41</v>
      </c>
      <c r="BC16" s="162" t="s">
        <v>42</v>
      </c>
      <c r="BD16" s="162" t="s">
        <v>43</v>
      </c>
      <c r="BE16" s="162" t="s">
        <v>44</v>
      </c>
      <c r="BF16" s="162" t="s">
        <v>45</v>
      </c>
      <c r="BG16" s="162" t="s">
        <v>46</v>
      </c>
      <c r="BH16" s="1" t="s">
        <v>47</v>
      </c>
      <c r="BI16" s="162" t="s">
        <v>48</v>
      </c>
      <c r="BJ16" s="162" t="s">
        <v>49</v>
      </c>
      <c r="BK16" s="162" t="s">
        <v>13</v>
      </c>
      <c r="BL16" s="162" t="s">
        <v>50</v>
      </c>
      <c r="BM16" s="205"/>
      <c r="BN16" s="205"/>
      <c r="BO16" s="205"/>
      <c r="BP16" s="205"/>
      <c r="BQ16" s="333" t="s">
        <v>38</v>
      </c>
      <c r="BR16" s="333" t="s">
        <v>39</v>
      </c>
      <c r="BS16" s="333" t="s">
        <v>53</v>
      </c>
      <c r="CJ16" s="357" t="s">
        <v>54</v>
      </c>
      <c r="CK16" s="357" t="s">
        <v>55</v>
      </c>
      <c r="CL16" s="357" t="s">
        <v>54</v>
      </c>
      <c r="CM16" s="357" t="s">
        <v>55</v>
      </c>
      <c r="CN16" s="357" t="s">
        <v>54</v>
      </c>
      <c r="CO16" s="357" t="s">
        <v>55</v>
      </c>
      <c r="CP16" s="357" t="s">
        <v>54</v>
      </c>
      <c r="CQ16" s="357" t="s">
        <v>55</v>
      </c>
      <c r="CR16" s="357" t="s">
        <v>54</v>
      </c>
      <c r="CS16" s="357" t="s">
        <v>55</v>
      </c>
      <c r="CT16" s="357" t="s">
        <v>54</v>
      </c>
      <c r="CU16" s="357" t="s">
        <v>55</v>
      </c>
      <c r="CV16" s="357" t="s">
        <v>54</v>
      </c>
      <c r="CW16" s="357" t="s">
        <v>55</v>
      </c>
      <c r="CX16" s="357" t="s">
        <v>54</v>
      </c>
      <c r="CY16" s="357" t="s">
        <v>55</v>
      </c>
      <c r="CZ16" s="357" t="s">
        <v>54</v>
      </c>
      <c r="DA16" s="357" t="s">
        <v>55</v>
      </c>
    </row>
    <row r="17" spans="1:105" s="205" customFormat="1" ht="162.6">
      <c r="A17" s="3">
        <v>2</v>
      </c>
      <c r="B17" s="3" t="s">
        <v>1532</v>
      </c>
      <c r="C17" s="3">
        <v>7502327990741</v>
      </c>
      <c r="D17" s="3" t="s">
        <v>1632</v>
      </c>
      <c r="E17" s="3" t="s">
        <v>1633</v>
      </c>
      <c r="F17" s="3" t="s">
        <v>1634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 s="3">
        <v>1</v>
      </c>
      <c r="BB17" s="3">
        <v>1</v>
      </c>
      <c r="BC17" s="3">
        <v>1</v>
      </c>
      <c r="BD17" s="3">
        <v>1</v>
      </c>
      <c r="BE17" s="3"/>
      <c r="BF17" s="3"/>
      <c r="BG17" s="3"/>
      <c r="BH17" s="3"/>
      <c r="BI17" s="3"/>
      <c r="BJ17" s="3">
        <v>8</v>
      </c>
      <c r="BK17" s="3">
        <f t="shared" ref="BK17:BK55" si="0">SUM(BA17:BI17)</f>
        <v>4</v>
      </c>
      <c r="BL17" s="4">
        <f t="shared" ref="BL17:BL55" si="1">+BK17/BJ17</f>
        <v>0.5</v>
      </c>
      <c r="BM17"/>
      <c r="BN17"/>
      <c r="BO17"/>
      <c r="BP17"/>
      <c r="BQ17" s="81" t="s">
        <v>1635</v>
      </c>
      <c r="BR17" s="81"/>
      <c r="BS17" s="81" t="s">
        <v>150</v>
      </c>
      <c r="CJ17" s="358">
        <v>45809</v>
      </c>
      <c r="CK17" s="358">
        <v>45809</v>
      </c>
      <c r="CL17" s="278"/>
      <c r="CM17" s="278"/>
      <c r="CN17" s="278"/>
      <c r="CO17" s="278"/>
      <c r="CP17" s="268"/>
      <c r="CQ17" s="268"/>
      <c r="CR17" s="267"/>
      <c r="CS17" s="267"/>
      <c r="CT17" s="267"/>
      <c r="CU17" s="267"/>
      <c r="CV17" s="267"/>
      <c r="CW17" s="267"/>
      <c r="CX17" s="267"/>
      <c r="CY17" s="267"/>
      <c r="CZ17" s="267"/>
      <c r="DA17" s="267"/>
    </row>
    <row r="18" spans="1:105" ht="65.099999999999994">
      <c r="A18" s="3">
        <v>3</v>
      </c>
      <c r="B18" s="3" t="s">
        <v>1532</v>
      </c>
      <c r="C18" s="3" t="s">
        <v>176</v>
      </c>
      <c r="D18" s="3" t="s">
        <v>1636</v>
      </c>
      <c r="E18" s="3" t="s">
        <v>1637</v>
      </c>
      <c r="F18" s="3" t="s">
        <v>1638</v>
      </c>
      <c r="BA18" s="3">
        <v>1</v>
      </c>
      <c r="BB18" s="3">
        <v>1</v>
      </c>
      <c r="BC18" s="3">
        <v>1</v>
      </c>
      <c r="BD18" s="3">
        <v>1</v>
      </c>
      <c r="BE18" s="123"/>
      <c r="BF18" s="123"/>
      <c r="BG18" s="123"/>
      <c r="BH18" s="123"/>
      <c r="BI18" s="123"/>
      <c r="BJ18" s="3">
        <v>9</v>
      </c>
      <c r="BK18" s="3">
        <f t="shared" si="0"/>
        <v>4</v>
      </c>
      <c r="BL18" s="4">
        <f t="shared" si="1"/>
        <v>0.44444444444444442</v>
      </c>
      <c r="BQ18" s="81" t="s">
        <v>1639</v>
      </c>
      <c r="BR18" s="318"/>
      <c r="BS18" s="81" t="s">
        <v>262</v>
      </c>
      <c r="CJ18" s="278"/>
      <c r="CK18" s="278"/>
      <c r="CL18" s="278"/>
      <c r="CM18" s="278"/>
      <c r="CN18" s="278"/>
      <c r="CO18" s="278"/>
      <c r="CP18" s="268"/>
      <c r="CQ18" s="268"/>
      <c r="CR18" s="267"/>
      <c r="CS18" s="267"/>
      <c r="CT18" s="267"/>
      <c r="CU18" s="267"/>
      <c r="CV18" s="267"/>
      <c r="CW18" s="267"/>
      <c r="CX18" s="267"/>
      <c r="CY18" s="267"/>
      <c r="CZ18" s="267"/>
      <c r="DA18" s="267"/>
    </row>
    <row r="19" spans="1:105" ht="65.099999999999994">
      <c r="A19" s="3">
        <v>4</v>
      </c>
      <c r="B19" s="3" t="s">
        <v>1532</v>
      </c>
      <c r="C19" s="3" t="s">
        <v>176</v>
      </c>
      <c r="D19" s="3" t="s">
        <v>1640</v>
      </c>
      <c r="E19" s="3" t="s">
        <v>1637</v>
      </c>
      <c r="F19" s="3" t="s">
        <v>1641</v>
      </c>
      <c r="BA19" s="3">
        <v>1</v>
      </c>
      <c r="BB19" s="3">
        <v>1</v>
      </c>
      <c r="BC19" s="3">
        <v>1</v>
      </c>
      <c r="BD19" s="3">
        <v>1</v>
      </c>
      <c r="BE19" s="123"/>
      <c r="BF19" s="123"/>
      <c r="BG19" s="123"/>
      <c r="BH19" s="123"/>
      <c r="BI19" s="123"/>
      <c r="BJ19" s="3">
        <v>9</v>
      </c>
      <c r="BK19" s="3">
        <f t="shared" si="0"/>
        <v>4</v>
      </c>
      <c r="BL19" s="4">
        <f t="shared" si="1"/>
        <v>0.44444444444444442</v>
      </c>
      <c r="BQ19" s="81" t="s">
        <v>1639</v>
      </c>
      <c r="BR19" s="318"/>
      <c r="BS19" s="81" t="s">
        <v>262</v>
      </c>
      <c r="CJ19" s="278"/>
      <c r="CK19" s="278"/>
      <c r="CL19" s="278"/>
      <c r="CM19" s="278"/>
      <c r="CN19" s="278"/>
      <c r="CO19" s="278"/>
      <c r="CP19" s="268"/>
      <c r="CQ19" s="268"/>
      <c r="CR19" s="267"/>
      <c r="CS19" s="267"/>
      <c r="CT19" s="267"/>
      <c r="CU19" s="267"/>
      <c r="CV19" s="267"/>
      <c r="CW19" s="267"/>
      <c r="CX19" s="267"/>
      <c r="CY19" s="267"/>
      <c r="CZ19" s="267"/>
      <c r="DA19" s="267"/>
    </row>
    <row r="20" spans="1:105" ht="65.099999999999994">
      <c r="A20" s="3">
        <v>5</v>
      </c>
      <c r="B20" s="3" t="s">
        <v>1532</v>
      </c>
      <c r="C20" s="3" t="s">
        <v>176</v>
      </c>
      <c r="D20" s="3" t="s">
        <v>1642</v>
      </c>
      <c r="E20" s="3" t="s">
        <v>1637</v>
      </c>
      <c r="F20" s="3" t="s">
        <v>1643</v>
      </c>
      <c r="BA20" s="3">
        <v>1</v>
      </c>
      <c r="BB20" s="3">
        <v>1</v>
      </c>
      <c r="BC20" s="3">
        <v>1</v>
      </c>
      <c r="BD20" s="3">
        <v>1</v>
      </c>
      <c r="BE20" s="123"/>
      <c r="BF20" s="123"/>
      <c r="BG20" s="123"/>
      <c r="BH20" s="123"/>
      <c r="BI20" s="123"/>
      <c r="BJ20" s="3">
        <v>9</v>
      </c>
      <c r="BK20" s="3">
        <f t="shared" si="0"/>
        <v>4</v>
      </c>
      <c r="BL20" s="4">
        <f t="shared" si="1"/>
        <v>0.44444444444444442</v>
      </c>
      <c r="BQ20" s="81" t="s">
        <v>1639</v>
      </c>
      <c r="BR20" s="318"/>
      <c r="BS20" s="81" t="s">
        <v>262</v>
      </c>
      <c r="CJ20" s="278"/>
      <c r="CK20" s="278"/>
      <c r="CL20" s="278"/>
      <c r="CM20" s="278"/>
      <c r="CN20" s="278"/>
      <c r="CO20" s="278"/>
      <c r="CP20" s="268"/>
      <c r="CQ20" s="268"/>
      <c r="CR20" s="267"/>
      <c r="CS20" s="267"/>
      <c r="CT20" s="267"/>
      <c r="CU20" s="267"/>
      <c r="CV20" s="267"/>
      <c r="CW20" s="267"/>
      <c r="CX20" s="267"/>
      <c r="CY20" s="267"/>
      <c r="CZ20" s="267"/>
      <c r="DA20" s="267"/>
    </row>
    <row r="21" spans="1:105" ht="97.5">
      <c r="A21" s="3">
        <v>7</v>
      </c>
      <c r="B21" s="3" t="s">
        <v>1532</v>
      </c>
      <c r="C21" s="3" t="s">
        <v>176</v>
      </c>
      <c r="D21" s="3" t="s">
        <v>1644</v>
      </c>
      <c r="E21" s="3" t="s">
        <v>1645</v>
      </c>
      <c r="F21" s="3" t="s">
        <v>1646</v>
      </c>
      <c r="BA21" s="3">
        <v>1</v>
      </c>
      <c r="BB21" s="3">
        <v>1</v>
      </c>
      <c r="BC21" s="3">
        <v>1</v>
      </c>
      <c r="BD21" s="3">
        <v>1</v>
      </c>
      <c r="BE21" s="123"/>
      <c r="BF21" s="123"/>
      <c r="BG21" s="123"/>
      <c r="BH21" s="123"/>
      <c r="BI21" s="123"/>
      <c r="BJ21" s="3">
        <v>9</v>
      </c>
      <c r="BK21" s="3">
        <f t="shared" si="0"/>
        <v>4</v>
      </c>
      <c r="BL21" s="4">
        <f t="shared" si="1"/>
        <v>0.44444444444444442</v>
      </c>
      <c r="BQ21" s="81" t="s">
        <v>1647</v>
      </c>
      <c r="BR21" s="318"/>
      <c r="BS21" s="81" t="s">
        <v>1440</v>
      </c>
      <c r="CJ21" s="278"/>
      <c r="CK21" s="278"/>
      <c r="CL21" s="278"/>
      <c r="CM21" s="278"/>
      <c r="CN21" s="278"/>
      <c r="CO21" s="278"/>
      <c r="CP21" s="268"/>
      <c r="CQ21" s="268"/>
      <c r="CR21" s="267"/>
      <c r="CS21" s="267"/>
      <c r="CT21" s="267"/>
      <c r="CU21" s="267"/>
      <c r="CV21" s="267"/>
      <c r="CW21" s="267"/>
      <c r="CX21" s="267"/>
      <c r="CY21" s="267"/>
      <c r="CZ21" s="267"/>
      <c r="DA21" s="267"/>
    </row>
    <row r="22" spans="1:105" ht="97.5">
      <c r="A22" s="3">
        <v>8</v>
      </c>
      <c r="B22" s="3" t="s">
        <v>1532</v>
      </c>
      <c r="C22" s="3" t="s">
        <v>176</v>
      </c>
      <c r="D22" s="3" t="s">
        <v>1648</v>
      </c>
      <c r="E22" s="3" t="s">
        <v>1645</v>
      </c>
      <c r="F22" s="3" t="s">
        <v>1649</v>
      </c>
      <c r="BA22" s="3">
        <v>1</v>
      </c>
      <c r="BB22" s="3">
        <v>1</v>
      </c>
      <c r="BC22" s="3">
        <v>1</v>
      </c>
      <c r="BD22" s="3">
        <v>1</v>
      </c>
      <c r="BE22" s="123"/>
      <c r="BF22" s="123"/>
      <c r="BG22" s="123"/>
      <c r="BH22" s="123"/>
      <c r="BI22" s="123"/>
      <c r="BJ22" s="3">
        <v>9</v>
      </c>
      <c r="BK22" s="3">
        <f t="shared" si="0"/>
        <v>4</v>
      </c>
      <c r="BL22" s="4">
        <f t="shared" si="1"/>
        <v>0.44444444444444442</v>
      </c>
      <c r="BQ22" s="81" t="s">
        <v>1647</v>
      </c>
      <c r="BR22" s="318"/>
      <c r="BS22" s="81" t="s">
        <v>1440</v>
      </c>
      <c r="CJ22" s="278"/>
      <c r="CK22" s="278"/>
      <c r="CL22" s="278"/>
      <c r="CM22" s="278"/>
      <c r="CN22" s="278"/>
      <c r="CO22" s="278"/>
      <c r="CP22" s="268"/>
      <c r="CQ22" s="268"/>
      <c r="CR22" s="267"/>
      <c r="CS22" s="267"/>
      <c r="CT22" s="267"/>
      <c r="CU22" s="267"/>
      <c r="CV22" s="267"/>
      <c r="CW22" s="267"/>
      <c r="CX22" s="267"/>
      <c r="CY22" s="267"/>
      <c r="CZ22" s="267"/>
      <c r="DA22" s="267"/>
    </row>
    <row r="23" spans="1:105" ht="97.5">
      <c r="A23" s="3">
        <v>9</v>
      </c>
      <c r="B23" s="3" t="s">
        <v>1532</v>
      </c>
      <c r="C23" s="3" t="s">
        <v>176</v>
      </c>
      <c r="D23" s="3" t="s">
        <v>1650</v>
      </c>
      <c r="E23" s="3" t="s">
        <v>1645</v>
      </c>
      <c r="F23" s="3" t="s">
        <v>1651</v>
      </c>
      <c r="BA23" s="3">
        <v>1</v>
      </c>
      <c r="BB23" s="3">
        <v>1</v>
      </c>
      <c r="BC23" s="3">
        <v>1</v>
      </c>
      <c r="BD23" s="3">
        <v>1</v>
      </c>
      <c r="BE23" s="123"/>
      <c r="BF23" s="123"/>
      <c r="BG23" s="123"/>
      <c r="BH23" s="123"/>
      <c r="BI23" s="123"/>
      <c r="BJ23" s="3">
        <v>9</v>
      </c>
      <c r="BK23" s="3">
        <f t="shared" si="0"/>
        <v>4</v>
      </c>
      <c r="BL23" s="4">
        <f t="shared" si="1"/>
        <v>0.44444444444444442</v>
      </c>
      <c r="BQ23" s="81" t="s">
        <v>1647</v>
      </c>
      <c r="BR23" s="318"/>
      <c r="BS23" s="81" t="s">
        <v>1440</v>
      </c>
      <c r="CJ23" s="278"/>
      <c r="CK23" s="278"/>
      <c r="CL23" s="278"/>
      <c r="CM23" s="278"/>
      <c r="CN23" s="278"/>
      <c r="CO23" s="278"/>
      <c r="CP23" s="268"/>
      <c r="CQ23" s="268"/>
      <c r="CR23" s="267"/>
      <c r="CS23" s="267"/>
      <c r="CT23" s="267"/>
      <c r="CU23" s="267"/>
      <c r="CV23" s="267"/>
      <c r="CW23" s="267"/>
      <c r="CX23" s="267"/>
      <c r="CY23" s="267"/>
      <c r="CZ23" s="267"/>
      <c r="DA23" s="267"/>
    </row>
    <row r="24" spans="1:105" ht="97.5">
      <c r="A24" s="3">
        <v>10</v>
      </c>
      <c r="B24" s="3" t="s">
        <v>1532</v>
      </c>
      <c r="C24" s="3" t="s">
        <v>176</v>
      </c>
      <c r="D24" s="3" t="s">
        <v>1652</v>
      </c>
      <c r="E24" s="3" t="s">
        <v>1645</v>
      </c>
      <c r="F24" s="3" t="s">
        <v>1653</v>
      </c>
      <c r="BA24" s="3">
        <v>1</v>
      </c>
      <c r="BB24" s="3">
        <v>1</v>
      </c>
      <c r="BC24" s="3">
        <v>1</v>
      </c>
      <c r="BD24" s="3">
        <v>1</v>
      </c>
      <c r="BE24" s="123"/>
      <c r="BF24" s="123"/>
      <c r="BG24" s="123"/>
      <c r="BH24" s="123"/>
      <c r="BI24" s="123"/>
      <c r="BJ24" s="3">
        <v>9</v>
      </c>
      <c r="BK24" s="3">
        <f t="shared" si="0"/>
        <v>4</v>
      </c>
      <c r="BL24" s="4">
        <f t="shared" si="1"/>
        <v>0.44444444444444442</v>
      </c>
      <c r="BQ24" s="81" t="s">
        <v>1647</v>
      </c>
      <c r="BR24" s="318"/>
      <c r="BS24" s="81" t="s">
        <v>262</v>
      </c>
      <c r="CJ24" s="278"/>
      <c r="CK24" s="278"/>
      <c r="CL24" s="278"/>
      <c r="CM24" s="278"/>
      <c r="CN24" s="278"/>
      <c r="CO24" s="278"/>
      <c r="CP24" s="268"/>
      <c r="CQ24" s="268"/>
      <c r="CR24" s="267"/>
      <c r="CS24" s="267"/>
      <c r="CT24" s="267"/>
      <c r="CU24" s="267"/>
      <c r="CV24" s="267"/>
      <c r="CW24" s="267"/>
      <c r="CX24" s="267"/>
      <c r="CY24" s="267"/>
      <c r="CZ24" s="267"/>
      <c r="DA24" s="267"/>
    </row>
    <row r="25" spans="1:105" ht="65.099999999999994">
      <c r="A25" s="3">
        <v>11</v>
      </c>
      <c r="B25" s="3" t="s">
        <v>1532</v>
      </c>
      <c r="C25" s="3" t="s">
        <v>176</v>
      </c>
      <c r="D25" s="3" t="s">
        <v>1654</v>
      </c>
      <c r="E25" s="3" t="s">
        <v>1655</v>
      </c>
      <c r="F25" s="3" t="s">
        <v>1656</v>
      </c>
      <c r="BA25" s="3">
        <v>1</v>
      </c>
      <c r="BB25" s="3">
        <v>1</v>
      </c>
      <c r="BC25" s="3">
        <v>1</v>
      </c>
      <c r="BD25" s="3">
        <v>1</v>
      </c>
      <c r="BE25" s="123"/>
      <c r="BF25" s="123"/>
      <c r="BG25" s="123"/>
      <c r="BH25" s="123"/>
      <c r="BI25" s="123"/>
      <c r="BJ25" s="3">
        <v>9</v>
      </c>
      <c r="BK25" s="3">
        <f t="shared" si="0"/>
        <v>4</v>
      </c>
      <c r="BL25" s="4">
        <f t="shared" si="1"/>
        <v>0.44444444444444442</v>
      </c>
      <c r="BQ25" s="81" t="s">
        <v>1639</v>
      </c>
      <c r="BR25" s="318"/>
      <c r="BS25" s="81" t="s">
        <v>262</v>
      </c>
      <c r="CJ25" s="278"/>
      <c r="CK25" s="278"/>
      <c r="CL25" s="278"/>
      <c r="CM25" s="278"/>
      <c r="CN25" s="278"/>
      <c r="CO25" s="278"/>
      <c r="CP25" s="268"/>
      <c r="CQ25" s="268"/>
      <c r="CR25" s="267"/>
      <c r="CS25" s="267"/>
      <c r="CT25" s="267"/>
      <c r="CU25" s="267"/>
      <c r="CV25" s="267"/>
      <c r="CW25" s="267"/>
      <c r="CX25" s="267"/>
      <c r="CY25" s="267"/>
      <c r="CZ25" s="267"/>
      <c r="DA25" s="267"/>
    </row>
    <row r="26" spans="1:105" ht="65.099999999999994">
      <c r="A26" s="3">
        <v>12</v>
      </c>
      <c r="B26" s="3" t="s">
        <v>1532</v>
      </c>
      <c r="C26" s="3" t="s">
        <v>176</v>
      </c>
      <c r="D26" s="3" t="s">
        <v>1657</v>
      </c>
      <c r="E26" s="3" t="s">
        <v>1658</v>
      </c>
      <c r="F26" s="3" t="s">
        <v>1659</v>
      </c>
      <c r="BA26" s="3">
        <v>1</v>
      </c>
      <c r="BB26" s="3">
        <v>1</v>
      </c>
      <c r="BC26" s="3">
        <v>1</v>
      </c>
      <c r="BD26" s="3">
        <v>1</v>
      </c>
      <c r="BE26" s="123"/>
      <c r="BF26" s="123"/>
      <c r="BG26" s="123"/>
      <c r="BH26" s="123"/>
      <c r="BI26" s="123"/>
      <c r="BJ26" s="3">
        <v>9</v>
      </c>
      <c r="BK26" s="3">
        <f t="shared" si="0"/>
        <v>4</v>
      </c>
      <c r="BL26" s="4">
        <f t="shared" si="1"/>
        <v>0.44444444444444442</v>
      </c>
      <c r="BQ26" s="81" t="s">
        <v>1639</v>
      </c>
      <c r="BR26" s="318"/>
      <c r="BS26" s="81" t="s">
        <v>262</v>
      </c>
      <c r="CJ26" s="278"/>
      <c r="CK26" s="278"/>
      <c r="CL26" s="278"/>
      <c r="CM26" s="278"/>
      <c r="CN26" s="278"/>
      <c r="CO26" s="278"/>
      <c r="CP26" s="268"/>
      <c r="CQ26" s="268"/>
      <c r="CR26" s="267"/>
      <c r="CS26" s="267"/>
      <c r="CT26" s="267"/>
      <c r="CU26" s="267"/>
      <c r="CV26" s="267"/>
      <c r="CW26" s="267"/>
      <c r="CX26" s="267"/>
      <c r="CY26" s="267"/>
      <c r="CZ26" s="267"/>
      <c r="DA26" s="267"/>
    </row>
    <row r="27" spans="1:105" ht="97.5">
      <c r="A27" s="3">
        <v>13</v>
      </c>
      <c r="B27" s="3" t="s">
        <v>1532</v>
      </c>
      <c r="C27" s="3" t="s">
        <v>176</v>
      </c>
      <c r="D27" s="3" t="s">
        <v>1660</v>
      </c>
      <c r="E27" s="3" t="s">
        <v>1661</v>
      </c>
      <c r="F27" s="3" t="s">
        <v>1662</v>
      </c>
      <c r="BA27" s="3">
        <v>1</v>
      </c>
      <c r="BB27" s="3">
        <v>1</v>
      </c>
      <c r="BC27" s="3">
        <v>1</v>
      </c>
      <c r="BD27" s="3">
        <v>1</v>
      </c>
      <c r="BE27" s="123"/>
      <c r="BF27" s="123"/>
      <c r="BG27" s="123"/>
      <c r="BH27" s="123"/>
      <c r="BI27" s="123"/>
      <c r="BJ27" s="3">
        <v>9</v>
      </c>
      <c r="BK27" s="3">
        <f t="shared" si="0"/>
        <v>4</v>
      </c>
      <c r="BL27" s="4">
        <f t="shared" si="1"/>
        <v>0.44444444444444442</v>
      </c>
      <c r="BQ27" s="81" t="s">
        <v>1647</v>
      </c>
      <c r="BR27" s="318"/>
      <c r="BS27" s="81" t="s">
        <v>1440</v>
      </c>
      <c r="CJ27" s="278"/>
      <c r="CK27" s="278"/>
      <c r="CL27" s="278"/>
      <c r="CM27" s="278"/>
      <c r="CN27" s="278"/>
      <c r="CO27" s="278"/>
      <c r="CP27" s="268"/>
      <c r="CQ27" s="268"/>
      <c r="CR27" s="267"/>
      <c r="CS27" s="267"/>
      <c r="CT27" s="267"/>
      <c r="CU27" s="267"/>
      <c r="CV27" s="267"/>
      <c r="CW27" s="267"/>
      <c r="CX27" s="267"/>
      <c r="CY27" s="267"/>
      <c r="CZ27" s="267"/>
      <c r="DA27" s="267"/>
    </row>
    <row r="28" spans="1:105" ht="97.5">
      <c r="A28" s="3">
        <v>14</v>
      </c>
      <c r="B28" s="3" t="s">
        <v>1532</v>
      </c>
      <c r="C28" s="3" t="s">
        <v>176</v>
      </c>
      <c r="D28" s="3" t="s">
        <v>1663</v>
      </c>
      <c r="E28" s="3" t="s">
        <v>1661</v>
      </c>
      <c r="F28" s="3" t="s">
        <v>1664</v>
      </c>
      <c r="BA28" s="3">
        <v>1</v>
      </c>
      <c r="BB28" s="3">
        <v>1</v>
      </c>
      <c r="BC28" s="3">
        <v>1</v>
      </c>
      <c r="BD28" s="3">
        <v>1</v>
      </c>
      <c r="BE28" s="123"/>
      <c r="BF28" s="123"/>
      <c r="BG28" s="123"/>
      <c r="BH28" s="123"/>
      <c r="BI28" s="123"/>
      <c r="BJ28" s="3">
        <v>9</v>
      </c>
      <c r="BK28" s="3">
        <f t="shared" si="0"/>
        <v>4</v>
      </c>
      <c r="BL28" s="4">
        <f t="shared" si="1"/>
        <v>0.44444444444444442</v>
      </c>
      <c r="BQ28" s="81" t="s">
        <v>1647</v>
      </c>
      <c r="BR28" s="318"/>
      <c r="BS28" s="81" t="s">
        <v>1440</v>
      </c>
      <c r="CJ28" s="278"/>
      <c r="CK28" s="278"/>
      <c r="CL28" s="278"/>
      <c r="CM28" s="278"/>
      <c r="CN28" s="278"/>
      <c r="CO28" s="278"/>
      <c r="CP28" s="268"/>
      <c r="CQ28" s="268"/>
      <c r="CR28" s="267"/>
      <c r="CS28" s="267"/>
      <c r="CT28" s="267"/>
      <c r="CU28" s="267"/>
      <c r="CV28" s="267"/>
      <c r="CW28" s="267"/>
      <c r="CX28" s="267"/>
      <c r="CY28" s="267"/>
      <c r="CZ28" s="267"/>
      <c r="DA28" s="267"/>
    </row>
    <row r="29" spans="1:105" ht="97.5">
      <c r="A29" s="3">
        <v>15</v>
      </c>
      <c r="B29" s="3" t="s">
        <v>1532</v>
      </c>
      <c r="C29" s="3" t="s">
        <v>176</v>
      </c>
      <c r="D29" s="3" t="s">
        <v>1665</v>
      </c>
      <c r="E29" s="3" t="s">
        <v>1661</v>
      </c>
      <c r="F29" s="3" t="s">
        <v>1666</v>
      </c>
      <c r="BA29" s="3">
        <v>1</v>
      </c>
      <c r="BB29" s="3">
        <v>1</v>
      </c>
      <c r="BC29" s="3">
        <v>1</v>
      </c>
      <c r="BD29" s="3">
        <v>1</v>
      </c>
      <c r="BE29" s="123"/>
      <c r="BF29" s="123"/>
      <c r="BG29" s="123"/>
      <c r="BH29" s="123"/>
      <c r="BI29" s="123"/>
      <c r="BJ29" s="3">
        <v>9</v>
      </c>
      <c r="BK29" s="3">
        <f t="shared" si="0"/>
        <v>4</v>
      </c>
      <c r="BL29" s="4">
        <f t="shared" si="1"/>
        <v>0.44444444444444442</v>
      </c>
      <c r="BQ29" s="81" t="s">
        <v>1647</v>
      </c>
      <c r="BR29" s="318"/>
      <c r="BS29" s="81" t="s">
        <v>1440</v>
      </c>
      <c r="CJ29" s="278"/>
      <c r="CK29" s="278"/>
      <c r="CL29" s="278"/>
      <c r="CM29" s="278"/>
      <c r="CN29" s="278"/>
      <c r="CO29" s="278"/>
      <c r="CP29" s="268"/>
      <c r="CQ29" s="268"/>
      <c r="CR29" s="267"/>
      <c r="CS29" s="267"/>
      <c r="CT29" s="267"/>
      <c r="CU29" s="267"/>
      <c r="CV29" s="267"/>
      <c r="CW29" s="267"/>
      <c r="CX29" s="267"/>
      <c r="CY29" s="267"/>
      <c r="CZ29" s="267"/>
      <c r="DA29" s="267"/>
    </row>
    <row r="30" spans="1:105" ht="65.099999999999994">
      <c r="A30" s="3">
        <v>16</v>
      </c>
      <c r="B30" s="3" t="s">
        <v>1532</v>
      </c>
      <c r="C30" s="3" t="s">
        <v>176</v>
      </c>
      <c r="D30" s="3" t="s">
        <v>1667</v>
      </c>
      <c r="E30" s="3" t="s">
        <v>1668</v>
      </c>
      <c r="F30" s="3" t="s">
        <v>1669</v>
      </c>
      <c r="BA30" s="3">
        <v>1</v>
      </c>
      <c r="BB30" s="3">
        <v>1</v>
      </c>
      <c r="BC30" s="3">
        <v>1</v>
      </c>
      <c r="BD30" s="3">
        <v>1</v>
      </c>
      <c r="BE30" s="123"/>
      <c r="BF30" s="123"/>
      <c r="BG30" s="123"/>
      <c r="BH30" s="123"/>
      <c r="BI30" s="123"/>
      <c r="BJ30" s="3">
        <v>9</v>
      </c>
      <c r="BK30" s="3">
        <f t="shared" si="0"/>
        <v>4</v>
      </c>
      <c r="BL30" s="4">
        <f t="shared" si="1"/>
        <v>0.44444444444444442</v>
      </c>
      <c r="BQ30" s="81" t="s">
        <v>1639</v>
      </c>
      <c r="BR30" s="318"/>
      <c r="BS30" s="81" t="s">
        <v>262</v>
      </c>
      <c r="CJ30" s="278"/>
      <c r="CK30" s="278"/>
      <c r="CL30" s="278"/>
      <c r="CM30" s="278"/>
      <c r="CN30" s="278"/>
      <c r="CO30" s="278"/>
      <c r="CP30" s="268"/>
      <c r="CQ30" s="268"/>
      <c r="CR30" s="267"/>
      <c r="CS30" s="267"/>
      <c r="CT30" s="267"/>
      <c r="CU30" s="267"/>
      <c r="CV30" s="267"/>
      <c r="CW30" s="267"/>
      <c r="CX30" s="267"/>
      <c r="CY30" s="267"/>
      <c r="CZ30" s="267"/>
      <c r="DA30" s="267"/>
    </row>
    <row r="31" spans="1:105" ht="97.5">
      <c r="A31" s="3">
        <v>17</v>
      </c>
      <c r="B31" s="3" t="s">
        <v>1532</v>
      </c>
      <c r="C31" s="3" t="s">
        <v>176</v>
      </c>
      <c r="D31" s="3" t="s">
        <v>1670</v>
      </c>
      <c r="E31" s="3" t="s">
        <v>1671</v>
      </c>
      <c r="F31" s="3" t="s">
        <v>1672</v>
      </c>
      <c r="BA31" s="3">
        <v>1</v>
      </c>
      <c r="BB31" s="3">
        <v>1</v>
      </c>
      <c r="BC31" s="3">
        <v>1</v>
      </c>
      <c r="BD31" s="3">
        <v>1</v>
      </c>
      <c r="BE31" s="123"/>
      <c r="BF31" s="123"/>
      <c r="BG31" s="123"/>
      <c r="BH31" s="123"/>
      <c r="BI31" s="123"/>
      <c r="BJ31" s="3">
        <v>9</v>
      </c>
      <c r="BK31" s="3">
        <f t="shared" si="0"/>
        <v>4</v>
      </c>
      <c r="BL31" s="4">
        <f t="shared" si="1"/>
        <v>0.44444444444444442</v>
      </c>
      <c r="BQ31" s="81" t="s">
        <v>1647</v>
      </c>
      <c r="BR31" s="318"/>
      <c r="BS31" s="81" t="s">
        <v>1440</v>
      </c>
      <c r="CJ31" s="278"/>
      <c r="CK31" s="278"/>
      <c r="CL31" s="278"/>
      <c r="CM31" s="278"/>
      <c r="CN31" s="278"/>
      <c r="CO31" s="278"/>
      <c r="CP31" s="268"/>
      <c r="CQ31" s="268"/>
      <c r="CR31" s="267"/>
      <c r="CS31" s="267"/>
      <c r="CT31" s="267"/>
      <c r="CU31" s="267"/>
      <c r="CV31" s="267"/>
      <c r="CW31" s="267"/>
      <c r="CX31" s="267"/>
      <c r="CY31" s="267"/>
      <c r="CZ31" s="267"/>
      <c r="DA31" s="267"/>
    </row>
    <row r="32" spans="1:105" ht="97.5">
      <c r="A32" s="3">
        <v>18</v>
      </c>
      <c r="B32" s="3" t="s">
        <v>1532</v>
      </c>
      <c r="C32" s="3" t="s">
        <v>176</v>
      </c>
      <c r="D32" s="3" t="s">
        <v>1673</v>
      </c>
      <c r="E32" s="3" t="s">
        <v>1671</v>
      </c>
      <c r="F32" s="3" t="s">
        <v>1674</v>
      </c>
      <c r="BA32" s="3">
        <v>1</v>
      </c>
      <c r="BB32" s="3">
        <v>1</v>
      </c>
      <c r="BC32" s="3">
        <v>1</v>
      </c>
      <c r="BD32" s="3">
        <v>1</v>
      </c>
      <c r="BE32" s="123"/>
      <c r="BF32" s="123"/>
      <c r="BG32" s="123"/>
      <c r="BH32" s="123"/>
      <c r="BI32" s="123"/>
      <c r="BJ32" s="3">
        <v>9</v>
      </c>
      <c r="BK32" s="3">
        <f t="shared" si="0"/>
        <v>4</v>
      </c>
      <c r="BL32" s="4">
        <f t="shared" si="1"/>
        <v>0.44444444444444442</v>
      </c>
      <c r="BQ32" s="81" t="s">
        <v>1647</v>
      </c>
      <c r="BR32" s="318"/>
      <c r="BS32" s="81" t="s">
        <v>1440</v>
      </c>
      <c r="CJ32" s="278"/>
      <c r="CK32" s="278"/>
      <c r="CL32" s="278"/>
      <c r="CM32" s="278"/>
      <c r="CN32" s="278"/>
      <c r="CO32" s="278"/>
      <c r="CP32" s="268"/>
      <c r="CQ32" s="268"/>
      <c r="CR32" s="267"/>
      <c r="CS32" s="267"/>
      <c r="CT32" s="267"/>
      <c r="CU32" s="267"/>
      <c r="CV32" s="267"/>
      <c r="CW32" s="267"/>
      <c r="CX32" s="267"/>
      <c r="CY32" s="267"/>
      <c r="CZ32" s="267"/>
      <c r="DA32" s="267"/>
    </row>
    <row r="33" spans="1:105" ht="97.5">
      <c r="A33" s="3">
        <v>19</v>
      </c>
      <c r="B33" s="3" t="s">
        <v>1532</v>
      </c>
      <c r="C33" s="3" t="s">
        <v>176</v>
      </c>
      <c r="D33" s="3" t="s">
        <v>1675</v>
      </c>
      <c r="E33" s="3" t="s">
        <v>1671</v>
      </c>
      <c r="F33" s="3" t="s">
        <v>1676</v>
      </c>
      <c r="BA33" s="3">
        <v>1</v>
      </c>
      <c r="BB33" s="3">
        <v>1</v>
      </c>
      <c r="BC33" s="3">
        <v>1</v>
      </c>
      <c r="BD33" s="3">
        <v>1</v>
      </c>
      <c r="BE33" s="123"/>
      <c r="BF33" s="123"/>
      <c r="BG33" s="123"/>
      <c r="BH33" s="123"/>
      <c r="BI33" s="123"/>
      <c r="BJ33" s="3">
        <v>9</v>
      </c>
      <c r="BK33" s="3">
        <f t="shared" si="0"/>
        <v>4</v>
      </c>
      <c r="BL33" s="4">
        <f t="shared" si="1"/>
        <v>0.44444444444444442</v>
      </c>
      <c r="BQ33" s="81" t="s">
        <v>1647</v>
      </c>
      <c r="BR33" s="318"/>
      <c r="BS33" s="81" t="s">
        <v>1440</v>
      </c>
      <c r="CJ33" s="278"/>
      <c r="CK33" s="278"/>
      <c r="CL33" s="278"/>
      <c r="CM33" s="278"/>
      <c r="CN33" s="278"/>
      <c r="CO33" s="278"/>
      <c r="CP33" s="268"/>
      <c r="CQ33" s="268"/>
      <c r="CR33" s="267"/>
      <c r="CS33" s="267"/>
      <c r="CT33" s="267"/>
      <c r="CU33" s="267"/>
      <c r="CV33" s="267"/>
      <c r="CW33" s="267"/>
      <c r="CX33" s="267"/>
      <c r="CY33" s="267"/>
      <c r="CZ33" s="267"/>
      <c r="DA33" s="267"/>
    </row>
    <row r="34" spans="1:105" ht="34.5">
      <c r="A34" s="3">
        <v>20</v>
      </c>
      <c r="B34" s="3" t="s">
        <v>1532</v>
      </c>
      <c r="C34" s="3" t="s">
        <v>176</v>
      </c>
      <c r="D34" s="3" t="s">
        <v>1677</v>
      </c>
      <c r="E34" s="3" t="s">
        <v>1678</v>
      </c>
      <c r="F34" s="3" t="s">
        <v>1679</v>
      </c>
      <c r="BA34" s="3">
        <v>1</v>
      </c>
      <c r="BB34" s="3">
        <v>1</v>
      </c>
      <c r="BC34" s="3">
        <v>1</v>
      </c>
      <c r="BD34" s="3">
        <v>1</v>
      </c>
      <c r="BE34" s="123"/>
      <c r="BF34" s="123"/>
      <c r="BG34" s="123"/>
      <c r="BH34" s="123"/>
      <c r="BI34" s="123"/>
      <c r="BJ34" s="3">
        <v>9</v>
      </c>
      <c r="BK34" s="3">
        <f t="shared" si="0"/>
        <v>4</v>
      </c>
      <c r="BL34" s="4">
        <f t="shared" si="1"/>
        <v>0.44444444444444442</v>
      </c>
      <c r="BQ34" s="81" t="s">
        <v>1680</v>
      </c>
      <c r="BR34" s="318"/>
      <c r="BS34" s="81" t="s">
        <v>262</v>
      </c>
      <c r="CJ34" s="278"/>
      <c r="CK34" s="278"/>
      <c r="CL34" s="278"/>
      <c r="CM34" s="278"/>
      <c r="CN34" s="278"/>
      <c r="CO34" s="278"/>
      <c r="CP34" s="268"/>
      <c r="CQ34" s="268"/>
      <c r="CR34" s="267"/>
      <c r="CS34" s="267"/>
      <c r="CT34" s="267"/>
      <c r="CU34" s="267"/>
      <c r="CV34" s="267"/>
      <c r="CW34" s="267"/>
      <c r="CX34" s="267"/>
      <c r="CY34" s="267"/>
      <c r="CZ34" s="267"/>
      <c r="DA34" s="267"/>
    </row>
    <row r="35" spans="1:105" ht="65.099999999999994">
      <c r="A35" s="3">
        <v>21</v>
      </c>
      <c r="B35" s="3" t="s">
        <v>1532</v>
      </c>
      <c r="C35" s="3" t="s">
        <v>176</v>
      </c>
      <c r="D35" s="3" t="s">
        <v>1681</v>
      </c>
      <c r="E35" s="3" t="s">
        <v>1682</v>
      </c>
      <c r="F35" s="3" t="s">
        <v>1683</v>
      </c>
      <c r="BA35" s="3">
        <v>1</v>
      </c>
      <c r="BB35" s="3">
        <v>1</v>
      </c>
      <c r="BC35" s="3">
        <v>1</v>
      </c>
      <c r="BD35" s="3">
        <v>1</v>
      </c>
      <c r="BE35" s="123"/>
      <c r="BF35" s="123"/>
      <c r="BG35" s="123"/>
      <c r="BH35" s="123"/>
      <c r="BI35" s="123"/>
      <c r="BJ35" s="3">
        <v>9</v>
      </c>
      <c r="BK35" s="3">
        <f t="shared" si="0"/>
        <v>4</v>
      </c>
      <c r="BL35" s="4">
        <f t="shared" si="1"/>
        <v>0.44444444444444442</v>
      </c>
      <c r="BQ35" s="81" t="s">
        <v>1639</v>
      </c>
      <c r="BR35" s="318"/>
      <c r="BS35" s="81" t="s">
        <v>262</v>
      </c>
      <c r="CJ35" s="278"/>
      <c r="CK35" s="278"/>
      <c r="CL35" s="278"/>
      <c r="CM35" s="278"/>
      <c r="CN35" s="278"/>
      <c r="CO35" s="278"/>
      <c r="CP35" s="268"/>
      <c r="CQ35" s="268"/>
      <c r="CR35" s="267"/>
      <c r="CS35" s="267"/>
      <c r="CT35" s="267"/>
      <c r="CU35" s="267"/>
      <c r="CV35" s="267"/>
      <c r="CW35" s="267"/>
      <c r="CX35" s="267"/>
      <c r="CY35" s="267"/>
      <c r="CZ35" s="267"/>
      <c r="DA35" s="267"/>
    </row>
    <row r="36" spans="1:105" ht="65.099999999999994">
      <c r="A36" s="3">
        <v>22</v>
      </c>
      <c r="B36" s="3" t="s">
        <v>1532</v>
      </c>
      <c r="C36" s="3" t="s">
        <v>176</v>
      </c>
      <c r="D36" s="3" t="s">
        <v>1684</v>
      </c>
      <c r="E36" s="3" t="s">
        <v>1682</v>
      </c>
      <c r="F36" s="3" t="s">
        <v>1685</v>
      </c>
      <c r="BA36" s="3">
        <v>1</v>
      </c>
      <c r="BB36" s="3">
        <v>1</v>
      </c>
      <c r="BC36" s="3">
        <v>1</v>
      </c>
      <c r="BD36" s="3">
        <v>1</v>
      </c>
      <c r="BE36" s="123"/>
      <c r="BF36" s="123"/>
      <c r="BG36" s="123"/>
      <c r="BH36" s="123"/>
      <c r="BI36" s="123"/>
      <c r="BJ36" s="3">
        <v>9</v>
      </c>
      <c r="BK36" s="3">
        <f t="shared" si="0"/>
        <v>4</v>
      </c>
      <c r="BL36" s="4">
        <f t="shared" si="1"/>
        <v>0.44444444444444442</v>
      </c>
      <c r="BQ36" s="81" t="s">
        <v>1639</v>
      </c>
      <c r="BR36" s="318"/>
      <c r="BS36" s="81" t="s">
        <v>262</v>
      </c>
      <c r="CJ36" s="278"/>
      <c r="CK36" s="278"/>
      <c r="CL36" s="278"/>
      <c r="CM36" s="278"/>
      <c r="CN36" s="278"/>
      <c r="CO36" s="278"/>
      <c r="CP36" s="268"/>
      <c r="CQ36" s="268"/>
      <c r="CR36" s="267"/>
      <c r="CS36" s="267"/>
      <c r="CT36" s="267"/>
      <c r="CU36" s="267"/>
      <c r="CV36" s="267"/>
      <c r="CW36" s="267"/>
      <c r="CX36" s="267"/>
      <c r="CY36" s="267"/>
      <c r="CZ36" s="267"/>
      <c r="DA36" s="267"/>
    </row>
    <row r="37" spans="1:105" ht="65.099999999999994">
      <c r="A37" s="3">
        <v>23</v>
      </c>
      <c r="B37" s="3" t="s">
        <v>1532</v>
      </c>
      <c r="C37" s="3" t="s">
        <v>176</v>
      </c>
      <c r="D37" s="3" t="s">
        <v>1686</v>
      </c>
      <c r="E37" s="3" t="s">
        <v>1682</v>
      </c>
      <c r="F37" s="3" t="s">
        <v>1687</v>
      </c>
      <c r="BA37" s="3">
        <v>1</v>
      </c>
      <c r="BB37" s="3">
        <v>1</v>
      </c>
      <c r="BC37" s="3">
        <v>1</v>
      </c>
      <c r="BD37" s="3">
        <v>1</v>
      </c>
      <c r="BE37" s="123"/>
      <c r="BF37" s="123"/>
      <c r="BG37" s="123"/>
      <c r="BH37" s="123"/>
      <c r="BI37" s="123"/>
      <c r="BJ37" s="3">
        <v>9</v>
      </c>
      <c r="BK37" s="3">
        <f t="shared" si="0"/>
        <v>4</v>
      </c>
      <c r="BL37" s="4">
        <f t="shared" si="1"/>
        <v>0.44444444444444442</v>
      </c>
      <c r="BQ37" s="81" t="s">
        <v>1639</v>
      </c>
      <c r="BR37" s="318"/>
      <c r="BS37" s="81" t="s">
        <v>262</v>
      </c>
      <c r="CJ37" s="278"/>
      <c r="CK37" s="278"/>
      <c r="CL37" s="278"/>
      <c r="CM37" s="278"/>
      <c r="CN37" s="278"/>
      <c r="CO37" s="278"/>
      <c r="CP37" s="268"/>
      <c r="CQ37" s="268"/>
      <c r="CR37" s="267"/>
      <c r="CS37" s="267"/>
      <c r="CT37" s="267"/>
      <c r="CU37" s="267"/>
      <c r="CV37" s="267"/>
      <c r="CW37" s="267"/>
      <c r="CX37" s="267"/>
      <c r="CY37" s="267"/>
      <c r="CZ37" s="267"/>
      <c r="DA37" s="267"/>
    </row>
    <row r="38" spans="1:105" ht="97.5">
      <c r="A38" s="3">
        <v>24</v>
      </c>
      <c r="B38" s="3" t="s">
        <v>1532</v>
      </c>
      <c r="C38" s="3" t="s">
        <v>176</v>
      </c>
      <c r="D38" s="3" t="s">
        <v>1688</v>
      </c>
      <c r="E38" s="3" t="s">
        <v>1689</v>
      </c>
      <c r="F38" s="3" t="s">
        <v>1690</v>
      </c>
      <c r="BA38" s="3">
        <v>1</v>
      </c>
      <c r="BB38" s="3">
        <v>1</v>
      </c>
      <c r="BC38" s="3">
        <v>1</v>
      </c>
      <c r="BD38" s="3">
        <v>1</v>
      </c>
      <c r="BE38" s="123"/>
      <c r="BF38" s="123"/>
      <c r="BG38" s="123"/>
      <c r="BH38" s="123"/>
      <c r="BI38" s="123"/>
      <c r="BJ38" s="3">
        <v>9</v>
      </c>
      <c r="BK38" s="3">
        <f t="shared" si="0"/>
        <v>4</v>
      </c>
      <c r="BL38" s="4">
        <f t="shared" si="1"/>
        <v>0.44444444444444442</v>
      </c>
      <c r="BQ38" s="81" t="s">
        <v>1647</v>
      </c>
      <c r="BR38" s="318"/>
      <c r="BS38" s="81" t="s">
        <v>1440</v>
      </c>
      <c r="CJ38" s="278"/>
      <c r="CK38" s="278"/>
      <c r="CL38" s="278"/>
      <c r="CM38" s="278"/>
      <c r="CN38" s="278"/>
      <c r="CO38" s="278"/>
      <c r="CP38" s="268"/>
      <c r="CQ38" s="268"/>
      <c r="CR38" s="267"/>
      <c r="CS38" s="267"/>
      <c r="CT38" s="267"/>
      <c r="CU38" s="267"/>
      <c r="CV38" s="267"/>
      <c r="CW38" s="267"/>
      <c r="CX38" s="267"/>
      <c r="CY38" s="267"/>
      <c r="CZ38" s="267"/>
      <c r="DA38" s="267"/>
    </row>
    <row r="39" spans="1:105" ht="97.5">
      <c r="A39" s="3">
        <v>25</v>
      </c>
      <c r="B39" s="3" t="s">
        <v>1532</v>
      </c>
      <c r="C39" s="3" t="s">
        <v>176</v>
      </c>
      <c r="D39" s="3" t="s">
        <v>1691</v>
      </c>
      <c r="E39" s="3" t="s">
        <v>1689</v>
      </c>
      <c r="F39" s="3" t="s">
        <v>1692</v>
      </c>
      <c r="BA39" s="3">
        <v>1</v>
      </c>
      <c r="BB39" s="3">
        <v>1</v>
      </c>
      <c r="BC39" s="3">
        <v>1</v>
      </c>
      <c r="BD39" s="3">
        <v>1</v>
      </c>
      <c r="BE39" s="123"/>
      <c r="BF39" s="123"/>
      <c r="BG39" s="123"/>
      <c r="BH39" s="123"/>
      <c r="BI39" s="123"/>
      <c r="BJ39" s="3">
        <v>9</v>
      </c>
      <c r="BK39" s="3">
        <f t="shared" si="0"/>
        <v>4</v>
      </c>
      <c r="BL39" s="4">
        <f t="shared" si="1"/>
        <v>0.44444444444444442</v>
      </c>
      <c r="BQ39" s="81" t="s">
        <v>1647</v>
      </c>
      <c r="BR39" s="318"/>
      <c r="BS39" s="81" t="s">
        <v>1440</v>
      </c>
      <c r="CJ39" s="278"/>
      <c r="CK39" s="278"/>
      <c r="CL39" s="278"/>
      <c r="CM39" s="278"/>
      <c r="CN39" s="278"/>
      <c r="CO39" s="278"/>
      <c r="CP39" s="268"/>
      <c r="CQ39" s="268"/>
      <c r="CR39" s="267"/>
      <c r="CS39" s="267"/>
      <c r="CT39" s="267"/>
      <c r="CU39" s="267"/>
      <c r="CV39" s="267"/>
      <c r="CW39" s="267"/>
      <c r="CX39" s="267"/>
      <c r="CY39" s="267"/>
      <c r="CZ39" s="267"/>
      <c r="DA39" s="267"/>
    </row>
    <row r="40" spans="1:105" ht="97.5">
      <c r="A40" s="3">
        <v>26</v>
      </c>
      <c r="B40" s="3" t="s">
        <v>1532</v>
      </c>
      <c r="C40" s="3" t="s">
        <v>176</v>
      </c>
      <c r="D40" s="3" t="s">
        <v>1693</v>
      </c>
      <c r="E40" s="3" t="s">
        <v>1689</v>
      </c>
      <c r="F40" s="3" t="s">
        <v>1694</v>
      </c>
      <c r="BA40" s="3">
        <v>1</v>
      </c>
      <c r="BB40" s="3">
        <v>1</v>
      </c>
      <c r="BC40" s="3">
        <v>1</v>
      </c>
      <c r="BD40" s="3">
        <v>1</v>
      </c>
      <c r="BE40" s="123"/>
      <c r="BF40" s="123"/>
      <c r="BG40" s="123"/>
      <c r="BH40" s="123"/>
      <c r="BI40" s="123"/>
      <c r="BJ40" s="3">
        <v>9</v>
      </c>
      <c r="BK40" s="3">
        <f t="shared" si="0"/>
        <v>4</v>
      </c>
      <c r="BL40" s="4">
        <f t="shared" si="1"/>
        <v>0.44444444444444442</v>
      </c>
      <c r="BQ40" s="81" t="s">
        <v>1647</v>
      </c>
      <c r="BR40" s="318"/>
      <c r="BS40" s="81" t="s">
        <v>1440</v>
      </c>
      <c r="CJ40" s="278"/>
      <c r="CK40" s="278"/>
      <c r="CL40" s="278"/>
      <c r="CM40" s="278"/>
      <c r="CN40" s="278"/>
      <c r="CO40" s="278"/>
      <c r="CP40" s="268"/>
      <c r="CQ40" s="268"/>
      <c r="CR40" s="267"/>
      <c r="CS40" s="267"/>
      <c r="CT40" s="267"/>
      <c r="CU40" s="267"/>
      <c r="CV40" s="267"/>
      <c r="CW40" s="267"/>
      <c r="CX40" s="267"/>
      <c r="CY40" s="267"/>
      <c r="CZ40" s="267"/>
      <c r="DA40" s="267"/>
    </row>
    <row r="41" spans="1:105" ht="97.5">
      <c r="A41" s="3">
        <v>27</v>
      </c>
      <c r="B41" s="3" t="s">
        <v>1532</v>
      </c>
      <c r="C41" s="3" t="s">
        <v>176</v>
      </c>
      <c r="D41" s="3" t="s">
        <v>1695</v>
      </c>
      <c r="E41" s="3" t="s">
        <v>1696</v>
      </c>
      <c r="F41" s="3" t="s">
        <v>1697</v>
      </c>
      <c r="BA41" s="3">
        <v>1</v>
      </c>
      <c r="BB41" s="3">
        <v>1</v>
      </c>
      <c r="BC41" s="3">
        <v>1</v>
      </c>
      <c r="BD41" s="3">
        <v>1</v>
      </c>
      <c r="BE41" s="123"/>
      <c r="BF41" s="123"/>
      <c r="BG41" s="123"/>
      <c r="BH41" s="123"/>
      <c r="BI41" s="123"/>
      <c r="BJ41" s="3">
        <v>9</v>
      </c>
      <c r="BK41" s="3">
        <f t="shared" si="0"/>
        <v>4</v>
      </c>
      <c r="BL41" s="4">
        <f t="shared" si="1"/>
        <v>0.44444444444444442</v>
      </c>
      <c r="BQ41" s="81" t="s">
        <v>1647</v>
      </c>
      <c r="BR41" s="318"/>
      <c r="BS41" s="81" t="s">
        <v>1440</v>
      </c>
      <c r="CJ41" s="278"/>
      <c r="CK41" s="278"/>
      <c r="CL41" s="278"/>
      <c r="CM41" s="278"/>
      <c r="CN41" s="278"/>
      <c r="CO41" s="278"/>
      <c r="CP41" s="268"/>
      <c r="CQ41" s="268"/>
      <c r="CR41" s="267"/>
      <c r="CS41" s="267"/>
      <c r="CT41" s="267"/>
      <c r="CU41" s="267"/>
      <c r="CV41" s="267"/>
      <c r="CW41" s="267"/>
      <c r="CX41" s="267"/>
      <c r="CY41" s="267"/>
      <c r="CZ41" s="267"/>
      <c r="DA41" s="267"/>
    </row>
    <row r="42" spans="1:105" ht="97.5">
      <c r="A42" s="3">
        <v>28</v>
      </c>
      <c r="B42" s="3" t="s">
        <v>1532</v>
      </c>
      <c r="C42" s="3" t="s">
        <v>176</v>
      </c>
      <c r="D42" s="3" t="s">
        <v>1698</v>
      </c>
      <c r="E42" s="3" t="s">
        <v>1696</v>
      </c>
      <c r="F42" s="3" t="s">
        <v>1699</v>
      </c>
      <c r="BA42" s="3">
        <v>1</v>
      </c>
      <c r="BB42" s="3">
        <v>1</v>
      </c>
      <c r="BC42" s="3">
        <v>1</v>
      </c>
      <c r="BD42" s="3">
        <v>1</v>
      </c>
      <c r="BE42" s="123"/>
      <c r="BF42" s="123"/>
      <c r="BG42" s="123"/>
      <c r="BH42" s="123"/>
      <c r="BI42" s="123"/>
      <c r="BJ42" s="3">
        <v>9</v>
      </c>
      <c r="BK42" s="3">
        <f t="shared" si="0"/>
        <v>4</v>
      </c>
      <c r="BL42" s="4">
        <f t="shared" si="1"/>
        <v>0.44444444444444442</v>
      </c>
      <c r="BQ42" s="81" t="s">
        <v>1647</v>
      </c>
      <c r="BR42" s="318"/>
      <c r="BS42" s="81" t="s">
        <v>1440</v>
      </c>
      <c r="CJ42" s="278"/>
      <c r="CK42" s="278"/>
      <c r="CL42" s="278"/>
      <c r="CM42" s="278"/>
      <c r="CN42" s="278"/>
      <c r="CO42" s="278"/>
      <c r="CP42" s="268"/>
      <c r="CQ42" s="268"/>
      <c r="CR42" s="267"/>
      <c r="CS42" s="267"/>
      <c r="CT42" s="267"/>
      <c r="CU42" s="267"/>
      <c r="CV42" s="267"/>
      <c r="CW42" s="267"/>
      <c r="CX42" s="267"/>
      <c r="CY42" s="267"/>
      <c r="CZ42" s="267"/>
      <c r="DA42" s="267"/>
    </row>
    <row r="43" spans="1:105" ht="97.5">
      <c r="A43" s="3">
        <v>29</v>
      </c>
      <c r="B43" s="3" t="s">
        <v>1532</v>
      </c>
      <c r="C43" s="3" t="s">
        <v>176</v>
      </c>
      <c r="D43" s="3" t="s">
        <v>1700</v>
      </c>
      <c r="E43" s="3" t="s">
        <v>1696</v>
      </c>
      <c r="F43" s="3" t="s">
        <v>1701</v>
      </c>
      <c r="BA43" s="3">
        <v>1</v>
      </c>
      <c r="BB43" s="3">
        <v>1</v>
      </c>
      <c r="BC43" s="3">
        <v>1</v>
      </c>
      <c r="BD43" s="3">
        <v>1</v>
      </c>
      <c r="BE43" s="123"/>
      <c r="BF43" s="123"/>
      <c r="BG43" s="123"/>
      <c r="BH43" s="123"/>
      <c r="BI43" s="123"/>
      <c r="BJ43" s="3">
        <v>9</v>
      </c>
      <c r="BK43" s="3">
        <f t="shared" si="0"/>
        <v>4</v>
      </c>
      <c r="BL43" s="4">
        <f t="shared" si="1"/>
        <v>0.44444444444444442</v>
      </c>
      <c r="BQ43" s="81" t="s">
        <v>1647</v>
      </c>
      <c r="BR43" s="318"/>
      <c r="BS43" s="81" t="s">
        <v>1440</v>
      </c>
      <c r="CJ43" s="278"/>
      <c r="CK43" s="278"/>
      <c r="CL43" s="278"/>
      <c r="CM43" s="278"/>
      <c r="CN43" s="278"/>
      <c r="CO43" s="278"/>
      <c r="CP43" s="268"/>
      <c r="CQ43" s="268"/>
      <c r="CR43" s="267"/>
      <c r="CS43" s="267"/>
      <c r="CT43" s="267"/>
      <c r="CU43" s="267"/>
      <c r="CV43" s="267"/>
      <c r="CW43" s="267"/>
      <c r="CX43" s="267"/>
      <c r="CY43" s="267"/>
      <c r="CZ43" s="267"/>
      <c r="DA43" s="267"/>
    </row>
    <row r="44" spans="1:105" ht="97.5">
      <c r="A44" s="3">
        <v>30</v>
      </c>
      <c r="B44" s="3" t="s">
        <v>1532</v>
      </c>
      <c r="C44" s="3" t="s">
        <v>176</v>
      </c>
      <c r="D44" s="3" t="s">
        <v>1702</v>
      </c>
      <c r="E44" s="3" t="s">
        <v>1703</v>
      </c>
      <c r="F44" s="3" t="s">
        <v>1704</v>
      </c>
      <c r="BA44" s="3">
        <v>1</v>
      </c>
      <c r="BB44" s="3">
        <v>1</v>
      </c>
      <c r="BC44" s="3">
        <v>1</v>
      </c>
      <c r="BD44" s="3">
        <v>1</v>
      </c>
      <c r="BE44" s="123"/>
      <c r="BF44" s="123"/>
      <c r="BG44" s="123"/>
      <c r="BH44" s="123"/>
      <c r="BI44" s="123"/>
      <c r="BJ44" s="3">
        <v>9</v>
      </c>
      <c r="BK44" s="3">
        <f t="shared" si="0"/>
        <v>4</v>
      </c>
      <c r="BL44" s="4">
        <f t="shared" si="1"/>
        <v>0.44444444444444442</v>
      </c>
      <c r="BQ44" s="81" t="s">
        <v>1647</v>
      </c>
      <c r="BR44" s="318"/>
      <c r="BS44" s="81" t="s">
        <v>1440</v>
      </c>
      <c r="CJ44" s="278"/>
      <c r="CK44" s="278"/>
      <c r="CL44" s="278"/>
      <c r="CM44" s="278"/>
      <c r="CN44" s="278"/>
      <c r="CO44" s="278"/>
      <c r="CP44" s="268"/>
      <c r="CQ44" s="268"/>
      <c r="CR44" s="341"/>
      <c r="CS44" s="341"/>
      <c r="CT44" s="341"/>
      <c r="CU44" s="341"/>
      <c r="CV44" s="341"/>
      <c r="CW44" s="341"/>
      <c r="CX44" s="341"/>
      <c r="CY44" s="341"/>
      <c r="CZ44" s="341"/>
      <c r="DA44" s="341"/>
    </row>
    <row r="45" spans="1:105" ht="97.5">
      <c r="A45" s="3">
        <v>31</v>
      </c>
      <c r="B45" s="3" t="s">
        <v>1532</v>
      </c>
      <c r="C45" s="3" t="s">
        <v>176</v>
      </c>
      <c r="D45" s="3" t="s">
        <v>1705</v>
      </c>
      <c r="E45" s="3" t="s">
        <v>1706</v>
      </c>
      <c r="F45" s="3" t="s">
        <v>1707</v>
      </c>
      <c r="BA45" s="3">
        <v>1</v>
      </c>
      <c r="BB45" s="3">
        <v>1</v>
      </c>
      <c r="BC45" s="3">
        <v>1</v>
      </c>
      <c r="BD45" s="3">
        <v>1</v>
      </c>
      <c r="BE45" s="123"/>
      <c r="BF45" s="123"/>
      <c r="BG45" s="123"/>
      <c r="BH45" s="123"/>
      <c r="BI45" s="123"/>
      <c r="BJ45" s="3">
        <v>9</v>
      </c>
      <c r="BK45" s="3">
        <f t="shared" si="0"/>
        <v>4</v>
      </c>
      <c r="BL45" s="4">
        <f t="shared" si="1"/>
        <v>0.44444444444444442</v>
      </c>
      <c r="BQ45" s="81" t="s">
        <v>1647</v>
      </c>
      <c r="BR45" s="318"/>
      <c r="BS45" s="81" t="s">
        <v>1440</v>
      </c>
      <c r="CJ45" s="278"/>
      <c r="CK45" s="278"/>
      <c r="CL45" s="278"/>
      <c r="CM45" s="278"/>
      <c r="CN45" s="278"/>
      <c r="CO45" s="278"/>
      <c r="CP45" s="268"/>
      <c r="CQ45" s="268"/>
      <c r="CR45" s="267"/>
      <c r="CS45" s="267"/>
      <c r="CT45" s="267"/>
      <c r="CU45" s="267"/>
      <c r="CV45" s="267"/>
      <c r="CW45" s="267"/>
      <c r="CX45" s="267"/>
      <c r="CY45" s="267"/>
      <c r="CZ45" s="267"/>
      <c r="DA45" s="267"/>
    </row>
    <row r="46" spans="1:105" ht="97.5">
      <c r="A46" s="3">
        <v>32</v>
      </c>
      <c r="B46" s="3" t="s">
        <v>1532</v>
      </c>
      <c r="C46" s="3" t="s">
        <v>176</v>
      </c>
      <c r="D46" s="3" t="s">
        <v>1708</v>
      </c>
      <c r="E46" s="3" t="s">
        <v>1703</v>
      </c>
      <c r="F46" s="3" t="s">
        <v>1709</v>
      </c>
      <c r="BA46" s="3">
        <v>1</v>
      </c>
      <c r="BB46" s="3">
        <v>1</v>
      </c>
      <c r="BC46" s="3">
        <v>1</v>
      </c>
      <c r="BD46" s="3">
        <v>1</v>
      </c>
      <c r="BE46" s="123"/>
      <c r="BF46" s="123"/>
      <c r="BG46" s="123"/>
      <c r="BH46" s="123"/>
      <c r="BI46" s="123"/>
      <c r="BJ46" s="3">
        <v>9</v>
      </c>
      <c r="BK46" s="3">
        <f t="shared" si="0"/>
        <v>4</v>
      </c>
      <c r="BL46" s="4">
        <f t="shared" si="1"/>
        <v>0.44444444444444442</v>
      </c>
      <c r="BQ46" s="81" t="s">
        <v>1647</v>
      </c>
      <c r="BR46" s="318"/>
      <c r="BS46" s="81" t="s">
        <v>1440</v>
      </c>
      <c r="CJ46" s="278"/>
      <c r="CK46" s="278"/>
      <c r="CL46" s="278"/>
      <c r="CM46" s="278"/>
      <c r="CN46" s="278"/>
      <c r="CO46" s="278"/>
      <c r="CP46" s="268"/>
      <c r="CQ46" s="268"/>
      <c r="CR46" s="267"/>
      <c r="CS46" s="267"/>
      <c r="CT46" s="267"/>
      <c r="CU46" s="267"/>
      <c r="CV46" s="267"/>
      <c r="CW46" s="267"/>
      <c r="CX46" s="267"/>
      <c r="CY46" s="267"/>
      <c r="CZ46" s="267"/>
      <c r="DA46" s="267"/>
    </row>
    <row r="47" spans="1:105" ht="65.099999999999994">
      <c r="A47" s="3">
        <v>33</v>
      </c>
      <c r="B47" s="3" t="s">
        <v>1532</v>
      </c>
      <c r="C47" s="3" t="s">
        <v>176</v>
      </c>
      <c r="D47" s="3" t="s">
        <v>1710</v>
      </c>
      <c r="E47" s="3" t="s">
        <v>1711</v>
      </c>
      <c r="F47" s="3" t="s">
        <v>1712</v>
      </c>
      <c r="BA47" s="3">
        <v>1</v>
      </c>
      <c r="BB47" s="3">
        <v>1</v>
      </c>
      <c r="BC47" s="3">
        <v>1</v>
      </c>
      <c r="BD47" s="3">
        <v>1</v>
      </c>
      <c r="BE47" s="123"/>
      <c r="BF47" s="123"/>
      <c r="BG47" s="123"/>
      <c r="BH47" s="123"/>
      <c r="BI47" s="123"/>
      <c r="BJ47" s="3">
        <v>9</v>
      </c>
      <c r="BK47" s="3">
        <f t="shared" si="0"/>
        <v>4</v>
      </c>
      <c r="BL47" s="4">
        <f t="shared" si="1"/>
        <v>0.44444444444444442</v>
      </c>
      <c r="BQ47" s="81" t="s">
        <v>1639</v>
      </c>
      <c r="BR47" s="318"/>
      <c r="BS47" s="81" t="s">
        <v>262</v>
      </c>
      <c r="CJ47" s="278"/>
      <c r="CK47" s="278"/>
      <c r="CL47" s="278"/>
      <c r="CM47" s="278"/>
      <c r="CN47" s="278"/>
      <c r="CO47" s="278"/>
      <c r="CP47" s="268"/>
      <c r="CQ47" s="268"/>
      <c r="CR47" s="267"/>
      <c r="CS47" s="267"/>
      <c r="CT47" s="267"/>
      <c r="CU47" s="267"/>
      <c r="CV47" s="267"/>
      <c r="CW47" s="267"/>
      <c r="CX47" s="267"/>
      <c r="CY47" s="267"/>
      <c r="CZ47" s="267"/>
      <c r="DA47" s="267"/>
    </row>
    <row r="48" spans="1:105" ht="65.099999999999994">
      <c r="A48" s="3">
        <v>34</v>
      </c>
      <c r="B48" s="3" t="s">
        <v>1532</v>
      </c>
      <c r="C48" s="3" t="s">
        <v>176</v>
      </c>
      <c r="D48" s="3" t="s">
        <v>1713</v>
      </c>
      <c r="E48" s="3" t="s">
        <v>1711</v>
      </c>
      <c r="F48" s="3" t="s">
        <v>1714</v>
      </c>
      <c r="BA48" s="3">
        <v>1</v>
      </c>
      <c r="BB48" s="3">
        <v>1</v>
      </c>
      <c r="BC48" s="3">
        <v>1</v>
      </c>
      <c r="BD48" s="3">
        <v>1</v>
      </c>
      <c r="BE48" s="123"/>
      <c r="BF48" s="123"/>
      <c r="BG48" s="123"/>
      <c r="BH48" s="123"/>
      <c r="BI48" s="123"/>
      <c r="BJ48" s="3">
        <v>9</v>
      </c>
      <c r="BK48" s="3">
        <f t="shared" si="0"/>
        <v>4</v>
      </c>
      <c r="BL48" s="4">
        <f t="shared" si="1"/>
        <v>0.44444444444444442</v>
      </c>
      <c r="BQ48" s="81" t="s">
        <v>1639</v>
      </c>
      <c r="BR48" s="318"/>
      <c r="BS48" s="81" t="s">
        <v>262</v>
      </c>
      <c r="CJ48" s="278"/>
      <c r="CK48" s="278"/>
      <c r="CL48" s="278"/>
      <c r="CM48" s="278"/>
      <c r="CN48" s="278"/>
      <c r="CO48" s="278"/>
      <c r="CP48" s="268"/>
      <c r="CQ48" s="268"/>
      <c r="CR48" s="267"/>
      <c r="CS48" s="267"/>
      <c r="CT48" s="267"/>
      <c r="CU48" s="267"/>
      <c r="CV48" s="267"/>
      <c r="CW48" s="267"/>
      <c r="CX48" s="267"/>
      <c r="CY48" s="267"/>
      <c r="CZ48" s="267"/>
      <c r="DA48" s="267"/>
    </row>
    <row r="49" spans="1:105" ht="65.099999999999994">
      <c r="A49" s="3">
        <v>37</v>
      </c>
      <c r="B49" s="3" t="s">
        <v>1532</v>
      </c>
      <c r="C49" s="3" t="s">
        <v>176</v>
      </c>
      <c r="D49" s="3" t="s">
        <v>1715</v>
      </c>
      <c r="E49" s="3" t="s">
        <v>1716</v>
      </c>
      <c r="F49" s="3" t="s">
        <v>1717</v>
      </c>
      <c r="BA49" s="3">
        <v>1</v>
      </c>
      <c r="BB49" s="3">
        <v>1</v>
      </c>
      <c r="BC49" s="3">
        <v>1</v>
      </c>
      <c r="BD49" s="3">
        <v>1</v>
      </c>
      <c r="BE49" s="123"/>
      <c r="BF49" s="123"/>
      <c r="BG49" s="123"/>
      <c r="BH49" s="123"/>
      <c r="BI49" s="123"/>
      <c r="BJ49" s="3">
        <v>9</v>
      </c>
      <c r="BK49" s="3">
        <f t="shared" si="0"/>
        <v>4</v>
      </c>
      <c r="BL49" s="4">
        <f t="shared" si="1"/>
        <v>0.44444444444444442</v>
      </c>
      <c r="BQ49" s="81" t="s">
        <v>1639</v>
      </c>
      <c r="BR49" s="318"/>
      <c r="BS49" s="81" t="s">
        <v>262</v>
      </c>
      <c r="CJ49" s="278"/>
      <c r="CK49" s="278"/>
      <c r="CL49" s="278"/>
      <c r="CM49" s="278"/>
      <c r="CN49" s="278"/>
      <c r="CO49" s="278"/>
      <c r="CP49" s="268"/>
      <c r="CQ49" s="268"/>
      <c r="CR49" s="267"/>
      <c r="CS49" s="267"/>
      <c r="CT49" s="267"/>
      <c r="CU49" s="267"/>
      <c r="CV49" s="267"/>
      <c r="CW49" s="267"/>
      <c r="CX49" s="267"/>
      <c r="CY49" s="267"/>
      <c r="CZ49" s="267"/>
      <c r="DA49" s="267"/>
    </row>
    <row r="50" spans="1:105" ht="65.099999999999994">
      <c r="A50" s="3">
        <v>38</v>
      </c>
      <c r="B50" s="3" t="s">
        <v>1532</v>
      </c>
      <c r="C50" s="3" t="s">
        <v>176</v>
      </c>
      <c r="D50" s="3" t="s">
        <v>1718</v>
      </c>
      <c r="E50" s="3" t="s">
        <v>1719</v>
      </c>
      <c r="F50" s="3" t="s">
        <v>1720</v>
      </c>
      <c r="BA50" s="3">
        <v>1</v>
      </c>
      <c r="BB50" s="3">
        <v>1</v>
      </c>
      <c r="BC50" s="3">
        <v>1</v>
      </c>
      <c r="BD50" s="3">
        <v>1</v>
      </c>
      <c r="BE50" s="123"/>
      <c r="BF50" s="123"/>
      <c r="BG50" s="123"/>
      <c r="BH50" s="123"/>
      <c r="BI50" s="123"/>
      <c r="BJ50" s="3">
        <v>9</v>
      </c>
      <c r="BK50" s="3">
        <f t="shared" si="0"/>
        <v>4</v>
      </c>
      <c r="BL50" s="4">
        <f t="shared" si="1"/>
        <v>0.44444444444444442</v>
      </c>
      <c r="BQ50" s="81" t="s">
        <v>1639</v>
      </c>
      <c r="BR50" s="318"/>
      <c r="BS50" s="81" t="s">
        <v>262</v>
      </c>
      <c r="CJ50" s="278"/>
      <c r="CK50" s="278"/>
      <c r="CL50" s="278"/>
      <c r="CM50" s="278"/>
      <c r="CN50" s="278"/>
      <c r="CO50" s="278"/>
      <c r="CP50" s="268"/>
      <c r="CQ50" s="268"/>
      <c r="CR50" s="267"/>
      <c r="CS50" s="267"/>
      <c r="CT50" s="267"/>
      <c r="CU50" s="267"/>
      <c r="CV50" s="267"/>
      <c r="CW50" s="267"/>
      <c r="CX50" s="267"/>
      <c r="CY50" s="267"/>
      <c r="CZ50" s="267"/>
      <c r="DA50" s="267"/>
    </row>
    <row r="51" spans="1:105" ht="65.099999999999994">
      <c r="A51" s="3">
        <v>39</v>
      </c>
      <c r="B51" s="3" t="s">
        <v>1532</v>
      </c>
      <c r="C51" s="3" t="s">
        <v>176</v>
      </c>
      <c r="D51" s="3" t="s">
        <v>1721</v>
      </c>
      <c r="E51" s="3" t="s">
        <v>1722</v>
      </c>
      <c r="F51" s="3" t="s">
        <v>1723</v>
      </c>
      <c r="BA51" s="3">
        <v>1</v>
      </c>
      <c r="BB51" s="3">
        <v>1</v>
      </c>
      <c r="BC51" s="3">
        <v>1</v>
      </c>
      <c r="BD51" s="3">
        <v>1</v>
      </c>
      <c r="BE51" s="123"/>
      <c r="BF51" s="123"/>
      <c r="BG51" s="123"/>
      <c r="BH51" s="123"/>
      <c r="BI51" s="123"/>
      <c r="BJ51" s="3">
        <v>9</v>
      </c>
      <c r="BK51" s="3">
        <f t="shared" si="0"/>
        <v>4</v>
      </c>
      <c r="BL51" s="4">
        <f t="shared" si="1"/>
        <v>0.44444444444444442</v>
      </c>
      <c r="BQ51" s="81" t="s">
        <v>1639</v>
      </c>
      <c r="BR51" s="318"/>
      <c r="BS51" s="81" t="s">
        <v>262</v>
      </c>
      <c r="CJ51" s="278"/>
      <c r="CK51" s="278"/>
      <c r="CL51" s="278"/>
      <c r="CM51" s="278"/>
      <c r="CN51" s="278"/>
      <c r="CO51" s="278"/>
      <c r="CP51" s="268"/>
      <c r="CQ51" s="268"/>
      <c r="CR51" s="267"/>
      <c r="CS51" s="267"/>
      <c r="CT51" s="267"/>
      <c r="CU51" s="267"/>
      <c r="CV51" s="267"/>
      <c r="CW51" s="267"/>
      <c r="CX51" s="267"/>
      <c r="CY51" s="267"/>
      <c r="CZ51" s="267"/>
      <c r="DA51" s="267"/>
    </row>
    <row r="52" spans="1:105" ht="65.099999999999994">
      <c r="A52" s="3">
        <v>40</v>
      </c>
      <c r="B52" s="3" t="s">
        <v>1532</v>
      </c>
      <c r="C52" s="3" t="s">
        <v>176</v>
      </c>
      <c r="D52" s="3" t="s">
        <v>1724</v>
      </c>
      <c r="E52" s="3" t="s">
        <v>1725</v>
      </c>
      <c r="F52" s="3" t="s">
        <v>1726</v>
      </c>
      <c r="BA52" s="3">
        <v>1</v>
      </c>
      <c r="BB52" s="3">
        <v>1</v>
      </c>
      <c r="BC52" s="3">
        <v>1</v>
      </c>
      <c r="BD52" s="3">
        <v>1</v>
      </c>
      <c r="BE52" s="123"/>
      <c r="BF52" s="123"/>
      <c r="BG52" s="123"/>
      <c r="BH52" s="123"/>
      <c r="BI52" s="123"/>
      <c r="BJ52" s="3">
        <v>9</v>
      </c>
      <c r="BK52" s="3">
        <f t="shared" si="0"/>
        <v>4</v>
      </c>
      <c r="BL52" s="4">
        <f t="shared" si="1"/>
        <v>0.44444444444444442</v>
      </c>
      <c r="BQ52" s="81" t="s">
        <v>1639</v>
      </c>
      <c r="BR52" s="318"/>
      <c r="BS52" s="81" t="s">
        <v>262</v>
      </c>
      <c r="CJ52" s="278"/>
      <c r="CK52" s="278"/>
      <c r="CL52" s="278"/>
      <c r="CM52" s="278"/>
      <c r="CN52" s="278"/>
      <c r="CO52" s="278"/>
      <c r="CP52" s="268"/>
      <c r="CQ52" s="268"/>
      <c r="CR52" s="267"/>
      <c r="CS52" s="267"/>
      <c r="CT52" s="267"/>
      <c r="CU52" s="267"/>
      <c r="CV52" s="267"/>
      <c r="CW52" s="267"/>
      <c r="CX52" s="267"/>
      <c r="CY52" s="267"/>
      <c r="CZ52" s="267"/>
      <c r="DA52" s="267"/>
    </row>
    <row r="53" spans="1:105" ht="97.5">
      <c r="A53" s="3">
        <v>41</v>
      </c>
      <c r="B53" s="3" t="s">
        <v>1532</v>
      </c>
      <c r="C53" s="3" t="s">
        <v>176</v>
      </c>
      <c r="D53" s="3" t="s">
        <v>1727</v>
      </c>
      <c r="E53" s="3" t="s">
        <v>1728</v>
      </c>
      <c r="F53" s="3" t="s">
        <v>1729</v>
      </c>
      <c r="BA53" s="3">
        <v>1</v>
      </c>
      <c r="BB53" s="3">
        <v>1</v>
      </c>
      <c r="BC53" s="3">
        <v>1</v>
      </c>
      <c r="BD53" s="3">
        <v>1</v>
      </c>
      <c r="BE53" s="123"/>
      <c r="BF53" s="123"/>
      <c r="BG53" s="123"/>
      <c r="BH53" s="123"/>
      <c r="BI53" s="123"/>
      <c r="BJ53" s="3">
        <v>9</v>
      </c>
      <c r="BK53" s="3">
        <f t="shared" si="0"/>
        <v>4</v>
      </c>
      <c r="BL53" s="4">
        <f t="shared" si="1"/>
        <v>0.44444444444444442</v>
      </c>
      <c r="BQ53" s="81" t="s">
        <v>1647</v>
      </c>
      <c r="BR53" s="318"/>
      <c r="BS53" s="81" t="s">
        <v>1440</v>
      </c>
      <c r="CJ53" s="278"/>
      <c r="CK53" s="278"/>
      <c r="CL53" s="278"/>
      <c r="CM53" s="278"/>
      <c r="CN53" s="278"/>
      <c r="CO53" s="278"/>
      <c r="CP53" s="268"/>
      <c r="CQ53" s="268"/>
      <c r="CR53" s="267"/>
      <c r="CS53" s="267"/>
      <c r="CT53" s="267"/>
      <c r="CU53" s="267"/>
      <c r="CV53" s="267"/>
      <c r="CW53" s="267"/>
      <c r="CX53" s="267"/>
      <c r="CY53" s="267"/>
      <c r="CZ53" s="267"/>
      <c r="DA53" s="267"/>
    </row>
    <row r="54" spans="1:105" ht="97.5">
      <c r="A54" s="3">
        <v>42</v>
      </c>
      <c r="B54" s="3" t="s">
        <v>1532</v>
      </c>
      <c r="C54" s="3" t="s">
        <v>176</v>
      </c>
      <c r="D54" s="3" t="s">
        <v>1730</v>
      </c>
      <c r="E54" s="3" t="s">
        <v>1728</v>
      </c>
      <c r="F54" s="3" t="s">
        <v>1731</v>
      </c>
      <c r="BA54" s="3">
        <v>1</v>
      </c>
      <c r="BB54" s="3">
        <v>1</v>
      </c>
      <c r="BC54" s="3">
        <v>1</v>
      </c>
      <c r="BD54" s="3">
        <v>1</v>
      </c>
      <c r="BE54" s="123"/>
      <c r="BF54" s="123"/>
      <c r="BG54" s="123"/>
      <c r="BH54" s="123"/>
      <c r="BI54" s="123"/>
      <c r="BJ54" s="3">
        <v>9</v>
      </c>
      <c r="BK54" s="3">
        <f t="shared" si="0"/>
        <v>4</v>
      </c>
      <c r="BL54" s="4">
        <f t="shared" si="1"/>
        <v>0.44444444444444442</v>
      </c>
      <c r="BQ54" s="81" t="s">
        <v>1647</v>
      </c>
      <c r="BR54" s="318"/>
      <c r="BS54" s="81" t="s">
        <v>1440</v>
      </c>
      <c r="CJ54" s="278"/>
      <c r="CK54" s="278"/>
      <c r="CL54" s="278"/>
      <c r="CM54" s="278"/>
      <c r="CN54" s="278"/>
      <c r="CO54" s="278"/>
      <c r="CP54" s="268"/>
      <c r="CQ54" s="268"/>
      <c r="CR54" s="267"/>
      <c r="CS54" s="267"/>
      <c r="CT54" s="267"/>
      <c r="CU54" s="267"/>
      <c r="CV54" s="267"/>
      <c r="CW54" s="267"/>
      <c r="CX54" s="267"/>
      <c r="CY54" s="267"/>
      <c r="CZ54" s="267"/>
      <c r="DA54" s="267"/>
    </row>
    <row r="55" spans="1:105" ht="97.5">
      <c r="A55" s="3">
        <v>43</v>
      </c>
      <c r="B55" s="3" t="s">
        <v>1532</v>
      </c>
      <c r="C55" s="3" t="s">
        <v>176</v>
      </c>
      <c r="D55" s="3" t="s">
        <v>1732</v>
      </c>
      <c r="E55" s="3" t="s">
        <v>1728</v>
      </c>
      <c r="F55" s="3" t="s">
        <v>1733</v>
      </c>
      <c r="BA55" s="3">
        <v>1</v>
      </c>
      <c r="BB55" s="3">
        <v>1</v>
      </c>
      <c r="BC55" s="3">
        <v>1</v>
      </c>
      <c r="BD55" s="3">
        <v>1</v>
      </c>
      <c r="BE55" s="123"/>
      <c r="BF55" s="123"/>
      <c r="BG55" s="123"/>
      <c r="BH55" s="123"/>
      <c r="BI55" s="123"/>
      <c r="BJ55" s="3">
        <v>9</v>
      </c>
      <c r="BK55" s="3">
        <f t="shared" si="0"/>
        <v>4</v>
      </c>
      <c r="BL55" s="4">
        <f t="shared" si="1"/>
        <v>0.44444444444444442</v>
      </c>
      <c r="BQ55" s="81" t="s">
        <v>1647</v>
      </c>
      <c r="BR55" s="318"/>
      <c r="BS55" s="81" t="s">
        <v>1440</v>
      </c>
      <c r="CJ55" s="278"/>
      <c r="CK55" s="278"/>
      <c r="CL55" s="278"/>
      <c r="CM55" s="278"/>
      <c r="CN55" s="278"/>
      <c r="CO55" s="278"/>
      <c r="CP55" s="268"/>
      <c r="CQ55" s="268"/>
      <c r="CR55" s="267"/>
      <c r="CS55" s="267"/>
      <c r="CT55" s="267"/>
      <c r="CU55" s="267"/>
      <c r="CV55" s="267"/>
      <c r="CW55" s="267"/>
      <c r="CX55" s="267"/>
      <c r="CY55" s="267"/>
      <c r="CZ55" s="267"/>
      <c r="DA55" s="267"/>
    </row>
    <row r="56" spans="1:105">
      <c r="CJ56" s="278"/>
      <c r="CK56" s="278"/>
      <c r="CL56" s="278"/>
      <c r="CM56" s="278"/>
      <c r="CN56" s="278"/>
      <c r="CO56" s="278"/>
      <c r="CP56" s="268"/>
      <c r="CQ56" s="268"/>
      <c r="CR56" s="267"/>
      <c r="CS56" s="267"/>
      <c r="CT56" s="267"/>
      <c r="CU56" s="267"/>
      <c r="CV56" s="267"/>
      <c r="CW56" s="267"/>
      <c r="CX56" s="267"/>
      <c r="CY56" s="267"/>
      <c r="CZ56" s="267"/>
      <c r="DA56" s="267"/>
    </row>
    <row r="57" spans="1:105">
      <c r="CJ57" s="278"/>
      <c r="CK57" s="278"/>
      <c r="CL57" s="278"/>
      <c r="CM57" s="278"/>
      <c r="CN57" s="278"/>
      <c r="CO57" s="278"/>
      <c r="CP57" s="268"/>
      <c r="CQ57" s="268"/>
      <c r="CR57" s="267"/>
      <c r="CS57" s="267"/>
      <c r="CT57" s="267"/>
      <c r="CU57" s="267"/>
      <c r="CV57" s="267"/>
      <c r="CW57" s="267"/>
      <c r="CX57" s="267"/>
      <c r="CY57" s="267"/>
      <c r="CZ57" s="267"/>
      <c r="DA57" s="267"/>
    </row>
    <row r="58" spans="1:105">
      <c r="CJ58" s="278"/>
      <c r="CK58" s="278"/>
      <c r="CL58" s="278"/>
      <c r="CM58" s="278"/>
      <c r="CN58" s="278"/>
      <c r="CO58" s="278"/>
      <c r="CP58" s="268"/>
      <c r="CQ58" s="268"/>
      <c r="CR58" s="267"/>
      <c r="CS58" s="267"/>
      <c r="CT58" s="267"/>
      <c r="CU58" s="267"/>
      <c r="CV58" s="267"/>
      <c r="CW58" s="267"/>
      <c r="CX58" s="267"/>
      <c r="CY58" s="267"/>
      <c r="CZ58" s="267"/>
      <c r="DA58" s="267"/>
    </row>
    <row r="59" spans="1:105">
      <c r="CJ59" s="278"/>
      <c r="CK59" s="278"/>
      <c r="CL59" s="278"/>
      <c r="CM59" s="278"/>
      <c r="CN59" s="278"/>
      <c r="CO59" s="278"/>
      <c r="CP59" s="268"/>
      <c r="CQ59" s="268"/>
      <c r="CR59" s="267"/>
      <c r="CS59" s="267"/>
      <c r="CT59" s="267"/>
      <c r="CU59" s="267"/>
      <c r="CV59" s="267"/>
      <c r="CW59" s="267"/>
      <c r="CX59" s="267"/>
      <c r="CY59" s="267"/>
      <c r="CZ59" s="267"/>
      <c r="DA59" s="267"/>
    </row>
    <row r="60" spans="1:105">
      <c r="CJ60" s="278"/>
      <c r="CK60" s="278"/>
      <c r="CL60" s="278"/>
      <c r="CM60" s="278"/>
      <c r="CN60" s="278"/>
      <c r="CO60" s="278"/>
      <c r="CP60" s="268"/>
      <c r="CQ60" s="268"/>
      <c r="CR60" s="267"/>
      <c r="CS60" s="267"/>
      <c r="CT60" s="267"/>
      <c r="CU60" s="267"/>
      <c r="CV60" s="267"/>
      <c r="CW60" s="267"/>
      <c r="CX60" s="267"/>
      <c r="CY60" s="267"/>
      <c r="CZ60" s="267"/>
      <c r="DA60" s="267"/>
    </row>
    <row r="61" spans="1:105">
      <c r="CJ61" s="278"/>
      <c r="CK61" s="278"/>
      <c r="CL61" s="278"/>
      <c r="CM61" s="278"/>
      <c r="CN61" s="278"/>
      <c r="CO61" s="278"/>
      <c r="CP61" s="268"/>
      <c r="CQ61" s="268"/>
      <c r="CR61" s="267"/>
      <c r="CS61" s="267"/>
      <c r="CT61" s="267"/>
      <c r="CU61" s="267"/>
      <c r="CV61" s="267"/>
      <c r="CW61" s="267"/>
      <c r="CX61" s="267"/>
      <c r="CY61" s="267"/>
      <c r="CZ61" s="267"/>
      <c r="DA61" s="267"/>
    </row>
    <row r="62" spans="1:105">
      <c r="CJ62" s="278"/>
      <c r="CK62" s="278"/>
      <c r="CL62" s="278"/>
      <c r="CM62" s="278"/>
      <c r="CN62" s="278"/>
      <c r="CO62" s="278"/>
      <c r="CP62" s="268"/>
      <c r="CQ62" s="268"/>
      <c r="CR62" s="267"/>
      <c r="CS62" s="267"/>
      <c r="CT62" s="267"/>
      <c r="CU62" s="267"/>
      <c r="CV62" s="267"/>
      <c r="CW62" s="267"/>
      <c r="CX62" s="267"/>
      <c r="CY62" s="267"/>
      <c r="CZ62" s="267"/>
      <c r="DA62" s="267"/>
    </row>
    <row r="63" spans="1:105">
      <c r="CJ63" s="278"/>
      <c r="CK63" s="278"/>
      <c r="CL63" s="278"/>
      <c r="CM63" s="278"/>
      <c r="CN63" s="278"/>
      <c r="CO63" s="278"/>
      <c r="CP63" s="268"/>
      <c r="CQ63" s="268"/>
      <c r="CR63" s="267"/>
      <c r="CS63" s="267"/>
      <c r="CT63" s="267"/>
      <c r="CU63" s="267"/>
      <c r="CV63" s="267"/>
      <c r="CW63" s="267"/>
      <c r="CX63" s="267"/>
      <c r="CY63" s="267"/>
      <c r="CZ63" s="267"/>
      <c r="DA63" s="267"/>
    </row>
    <row r="64" spans="1:105">
      <c r="CJ64" s="278"/>
      <c r="CK64" s="278"/>
      <c r="CL64" s="278"/>
      <c r="CM64" s="278"/>
      <c r="CN64" s="278"/>
      <c r="CO64" s="278"/>
      <c r="CP64" s="268"/>
      <c r="CQ64" s="268"/>
      <c r="CR64" s="267"/>
      <c r="CS64" s="267"/>
      <c r="CT64" s="267"/>
      <c r="CU64" s="267"/>
      <c r="CV64" s="267"/>
      <c r="CW64" s="267"/>
      <c r="CX64" s="267"/>
      <c r="CY64" s="267"/>
      <c r="CZ64" s="267"/>
      <c r="DA64" s="267"/>
    </row>
    <row r="65" spans="88:105">
      <c r="CJ65" s="278"/>
      <c r="CK65" s="278"/>
      <c r="CL65" s="278"/>
      <c r="CM65" s="278"/>
      <c r="CN65" s="278"/>
      <c r="CO65" s="278"/>
      <c r="CP65" s="268"/>
      <c r="CQ65" s="268"/>
      <c r="CR65" s="267"/>
      <c r="CS65" s="267"/>
      <c r="CT65" s="267"/>
      <c r="CU65" s="267"/>
      <c r="CV65" s="267"/>
      <c r="CW65" s="267"/>
      <c r="CX65" s="267"/>
      <c r="CY65" s="267"/>
      <c r="CZ65" s="267"/>
      <c r="DA65" s="267"/>
    </row>
    <row r="66" spans="88:105">
      <c r="CJ66" s="278"/>
      <c r="CK66" s="278"/>
      <c r="CL66" s="278"/>
      <c r="CM66" s="278"/>
      <c r="CN66" s="278"/>
      <c r="CO66" s="278"/>
      <c r="CP66" s="268"/>
      <c r="CQ66" s="268"/>
      <c r="CR66" s="267"/>
      <c r="CS66" s="267"/>
      <c r="CT66" s="267"/>
      <c r="CU66" s="267"/>
      <c r="CV66" s="267"/>
      <c r="CW66" s="267"/>
      <c r="CX66" s="267"/>
      <c r="CY66" s="267"/>
      <c r="CZ66" s="267"/>
      <c r="DA66" s="267"/>
    </row>
    <row r="67" spans="88:105">
      <c r="CJ67" s="278"/>
      <c r="CK67" s="278"/>
      <c r="CL67" s="278"/>
      <c r="CM67" s="278"/>
      <c r="CN67" s="278"/>
      <c r="CO67" s="278"/>
      <c r="CP67" s="268"/>
      <c r="CQ67" s="268"/>
      <c r="CR67" s="267"/>
      <c r="CS67" s="267"/>
      <c r="CT67" s="267"/>
      <c r="CU67" s="267"/>
      <c r="CV67" s="267"/>
      <c r="CW67" s="267"/>
      <c r="CX67" s="267"/>
      <c r="CY67" s="267"/>
      <c r="CZ67" s="267"/>
      <c r="DA67" s="267"/>
    </row>
    <row r="68" spans="88:105">
      <c r="CJ68" s="278"/>
      <c r="CK68" s="278"/>
      <c r="CL68" s="278"/>
      <c r="CM68" s="278"/>
      <c r="CN68" s="278"/>
      <c r="CO68" s="278"/>
      <c r="CP68" s="268"/>
      <c r="CQ68" s="268"/>
      <c r="CR68" s="267"/>
      <c r="CS68" s="267"/>
      <c r="CT68" s="267"/>
      <c r="CU68" s="267"/>
      <c r="CV68" s="267"/>
      <c r="CW68" s="267"/>
      <c r="CX68" s="267"/>
      <c r="CY68" s="267"/>
      <c r="CZ68" s="267"/>
      <c r="DA68" s="267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Republic Desarrollos</cp:lastModifiedBy>
  <cp:revision>5</cp:revision>
  <dcterms:created xsi:type="dcterms:W3CDTF">2026-04-22T14:27:02Z</dcterms:created>
  <dcterms:modified xsi:type="dcterms:W3CDTF">2026-06-04T17:03:54Z</dcterms:modified>
  <cp:category/>
  <cp:contentStatus/>
</cp:coreProperties>
</file>