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0" documentId="13_ncr:1_{F2E02B59-63B3-4FF9-B948-122244E15C12}" xr6:coauthVersionLast="47" xr6:coauthVersionMax="47" xr10:uidLastSave="{00000000-0000-0000-0000-000000000000}"/>
  <bookViews>
    <workbookView xWindow="28680" yWindow="-120" windowWidth="29040" windowHeight="15720" tabRatio="876" firstSheet="4" activeTab="13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53" i="1" l="1"/>
  <c r="BK54" i="1"/>
  <c r="BK55" i="1"/>
  <c r="BK56" i="1"/>
  <c r="BK57" i="1"/>
  <c r="BK58" i="1"/>
  <c r="BK59" i="1"/>
  <c r="BK60" i="1"/>
  <c r="BL53" i="1"/>
  <c r="BL54" i="1"/>
  <c r="BL55" i="1"/>
  <c r="BL56" i="1"/>
  <c r="BL57" i="1"/>
  <c r="BL58" i="1"/>
  <c r="BL59" i="1"/>
  <c r="BL60" i="1"/>
  <c r="BT20" i="1"/>
  <c r="BT21" i="1"/>
  <c r="BT22" i="1"/>
  <c r="BT23" i="1"/>
  <c r="BT24" i="1"/>
  <c r="BT25" i="1"/>
  <c r="BT26" i="1"/>
  <c r="BT27" i="1"/>
  <c r="BT28" i="1"/>
  <c r="BT29" i="1"/>
  <c r="BK20" i="1"/>
  <c r="BL20" i="1"/>
  <c r="BK21" i="1"/>
  <c r="BL21" i="1"/>
  <c r="BK22" i="1"/>
  <c r="BL22" i="1"/>
  <c r="BK23" i="1"/>
  <c r="BL23" i="1"/>
  <c r="BK24" i="1"/>
  <c r="BL24" i="1"/>
  <c r="BK25" i="1"/>
  <c r="BL25" i="1"/>
  <c r="BK26" i="1"/>
  <c r="BL26" i="1"/>
  <c r="BK27" i="1"/>
  <c r="BL27" i="1"/>
  <c r="BK28" i="1"/>
  <c r="BL28" i="1"/>
  <c r="V61" i="1"/>
  <c r="W61" i="1"/>
  <c r="X61" i="1"/>
  <c r="BK61" i="1"/>
  <c r="BL61" i="1"/>
  <c r="BT61" i="1"/>
  <c r="V62" i="1"/>
  <c r="W62" i="1"/>
  <c r="X62" i="1"/>
  <c r="BK62" i="1"/>
  <c r="BL62" i="1"/>
  <c r="BT62" i="1"/>
  <c r="V63" i="1"/>
  <c r="W63" i="1"/>
  <c r="X63" i="1"/>
  <c r="BK63" i="1"/>
  <c r="BL63" i="1"/>
  <c r="BT63" i="1"/>
  <c r="V17" i="14"/>
  <c r="W17" i="14"/>
  <c r="X17" i="14"/>
  <c r="BK17" i="14"/>
  <c r="BL17" i="14"/>
  <c r="BT17" i="14"/>
  <c r="V18" i="14"/>
  <c r="W18" i="14"/>
  <c r="X18" i="14"/>
  <c r="BK18" i="14"/>
  <c r="BL18" i="14"/>
  <c r="BT18" i="14"/>
  <c r="V19" i="14"/>
  <c r="W19" i="14"/>
  <c r="X19" i="14"/>
  <c r="BK19" i="14"/>
  <c r="BL19" i="14"/>
  <c r="BT19" i="14"/>
  <c r="V20" i="14"/>
  <c r="W20" i="14"/>
  <c r="X20" i="14"/>
  <c r="BK20" i="14"/>
  <c r="BL20" i="14"/>
  <c r="BT20" i="14"/>
  <c r="V21" i="14"/>
  <c r="W21" i="14"/>
  <c r="X21" i="14"/>
  <c r="BK21" i="14"/>
  <c r="BL21" i="14"/>
  <c r="BT21" i="14"/>
  <c r="V22" i="14"/>
  <c r="W22" i="14"/>
  <c r="X22" i="14"/>
  <c r="BK22" i="14"/>
  <c r="BL22" i="14"/>
  <c r="BT22" i="14"/>
  <c r="V23" i="14"/>
  <c r="W23" i="14"/>
  <c r="X23" i="14"/>
  <c r="BK23" i="14"/>
  <c r="BL23" i="14"/>
  <c r="BT23" i="14"/>
  <c r="V24" i="14"/>
  <c r="W24" i="14"/>
  <c r="X24" i="14"/>
  <c r="BK24" i="14"/>
  <c r="BL24" i="14"/>
  <c r="BT24" i="14"/>
  <c r="V25" i="14"/>
  <c r="W25" i="14"/>
  <c r="X25" i="14"/>
  <c r="BK25" i="14"/>
  <c r="BL25" i="14"/>
  <c r="BT25" i="14"/>
  <c r="V26" i="14"/>
  <c r="W26" i="14"/>
  <c r="X26" i="14"/>
  <c r="BK26" i="14"/>
  <c r="BL26" i="14"/>
  <c r="BT26" i="14"/>
  <c r="V27" i="14"/>
  <c r="W27" i="14"/>
  <c r="X27" i="14"/>
  <c r="BK27" i="14"/>
  <c r="BL27" i="14"/>
  <c r="BT27" i="14"/>
  <c r="V28" i="14"/>
  <c r="W28" i="14"/>
  <c r="X28" i="14"/>
  <c r="BK28" i="14"/>
  <c r="BL28" i="14"/>
  <c r="BT28" i="14"/>
  <c r="V29" i="14"/>
  <c r="W29" i="14"/>
  <c r="X29" i="14"/>
  <c r="BK29" i="14"/>
  <c r="BL29" i="14"/>
  <c r="BT29" i="14"/>
  <c r="V30" i="14"/>
  <c r="W30" i="14"/>
  <c r="X30" i="14"/>
  <c r="BK30" i="14"/>
  <c r="BL30" i="14"/>
  <c r="BT30" i="14"/>
  <c r="V31" i="14"/>
  <c r="W31" i="14"/>
  <c r="X31" i="14"/>
  <c r="BK31" i="14"/>
  <c r="BL31" i="14"/>
  <c r="BT31" i="14"/>
  <c r="V32" i="14"/>
  <c r="W32" i="14"/>
  <c r="X32" i="14"/>
  <c r="BK32" i="14"/>
  <c r="BL32" i="14"/>
  <c r="BT32" i="14"/>
  <c r="V33" i="14"/>
  <c r="W33" i="14"/>
  <c r="X33" i="14"/>
  <c r="BK33" i="14"/>
  <c r="BL33" i="14"/>
  <c r="BT33" i="14"/>
  <c r="V34" i="14"/>
  <c r="W34" i="14"/>
  <c r="X34" i="14"/>
  <c r="BK34" i="14"/>
  <c r="BL34" i="14"/>
  <c r="BT34" i="14"/>
  <c r="V35" i="14"/>
  <c r="W35" i="14"/>
  <c r="X35" i="14"/>
  <c r="BK35" i="14"/>
  <c r="BL35" i="14"/>
  <c r="BT35" i="14"/>
  <c r="V36" i="14"/>
  <c r="W36" i="14"/>
  <c r="X36" i="14"/>
  <c r="BK36" i="14"/>
  <c r="BL36" i="14"/>
  <c r="BT36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U19" i="10" s="1"/>
  <c r="S19" i="10"/>
  <c r="T19" i="10"/>
  <c r="W19" i="10"/>
  <c r="X19" i="10" s="1"/>
  <c r="AA19" i="10" s="1"/>
  <c r="AJ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3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AK19" i="10" l="1"/>
  <c r="AL19" i="10"/>
  <c r="Y19" i="10"/>
  <c r="Z19" i="10"/>
  <c r="CT17" i="1"/>
  <c r="CV17" i="1" s="1"/>
  <c r="CX17" i="1" s="1"/>
  <c r="CZ17" i="1" s="1"/>
  <c r="CR17" i="1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3" i="1"/>
  <c r="X53" i="1" s="1"/>
  <c r="T21" i="10" l="1"/>
  <c r="U21" i="10" s="1"/>
  <c r="T20" i="10"/>
  <c r="U20" i="10" s="1"/>
  <c r="W53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AD17" i="8" l="1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T68" i="2" l="1"/>
  <c r="U68" i="2"/>
  <c r="AE19" i="8"/>
  <c r="Z19" i="8"/>
  <c r="AD19" i="8"/>
  <c r="R19" i="4"/>
  <c r="Q19" i="4"/>
  <c r="U101" i="2"/>
  <c r="T101" i="2"/>
  <c r="U67" i="2"/>
  <c r="T67" i="2"/>
  <c r="U66" i="2"/>
  <c r="T66" i="2"/>
  <c r="AA77" i="2"/>
  <c r="AO76" i="2"/>
  <c r="Z77" i="2"/>
  <c r="V77" i="2"/>
  <c r="AN76" i="2"/>
  <c r="U75" i="2"/>
  <c r="T75" i="2"/>
  <c r="T20" i="2"/>
  <c r="U20" i="2"/>
  <c r="Z44" i="2"/>
  <c r="AA44" i="2"/>
  <c r="AN43" i="2"/>
  <c r="V44" i="2"/>
  <c r="AO43" i="2"/>
  <c r="AO95" i="2"/>
  <c r="AA96" i="2"/>
  <c r="Z96" i="2"/>
  <c r="V96" i="2"/>
  <c r="AN95" i="2"/>
  <c r="U63" i="2"/>
  <c r="T63" i="2"/>
  <c r="O17" i="10"/>
  <c r="O18" i="10"/>
  <c r="Q21" i="4"/>
  <c r="R21" i="4"/>
  <c r="U38" i="2"/>
  <c r="T38" i="2"/>
  <c r="AJ21" i="6"/>
  <c r="AI21" i="6"/>
  <c r="AT21" i="6"/>
  <c r="AA21" i="6"/>
  <c r="AB21" i="6"/>
  <c r="AU21" i="6"/>
  <c r="U30" i="2"/>
  <c r="T30" i="2"/>
  <c r="AA68" i="2"/>
  <c r="Z68" i="2"/>
  <c r="AN67" i="2"/>
  <c r="S68" i="2"/>
  <c r="V68" i="2"/>
  <c r="AO67" i="2"/>
  <c r="AO18" i="8"/>
  <c r="W18" i="8"/>
  <c r="X18" i="8"/>
  <c r="AP18" i="8"/>
  <c r="AO74" i="2"/>
  <c r="AA75" i="2"/>
  <c r="Z75" i="2"/>
  <c r="S75" i="2"/>
  <c r="V75" i="2"/>
  <c r="AN74" i="2"/>
  <c r="U100" i="2"/>
  <c r="T100" i="2"/>
  <c r="R22" i="4"/>
  <c r="Q22" i="4"/>
  <c r="U35" i="2"/>
  <c r="T35" i="2"/>
  <c r="T98" i="2"/>
  <c r="U98" i="2"/>
  <c r="U69" i="2"/>
  <c r="T69" i="2"/>
  <c r="R20" i="4"/>
  <c r="Q20" i="4"/>
  <c r="U27" i="2"/>
  <c r="T27" i="2"/>
  <c r="AP19" i="8"/>
  <c r="W19" i="8"/>
  <c r="X19" i="8"/>
  <c r="AO19" i="8"/>
  <c r="T87" i="2"/>
  <c r="U87" i="2"/>
  <c r="Z23" i="2"/>
  <c r="AA23" i="2"/>
  <c r="AN22" i="2"/>
  <c r="V23" i="2"/>
  <c r="AO22" i="2"/>
  <c r="R27" i="4"/>
  <c r="Q27" i="4"/>
  <c r="AN29" i="2"/>
  <c r="AO29" i="2"/>
  <c r="Z30" i="2"/>
  <c r="S30" i="2"/>
  <c r="V30" i="2"/>
  <c r="AA30" i="2"/>
  <c r="T44" i="2"/>
  <c r="S44" i="2"/>
  <c r="U44" i="2"/>
  <c r="T53" i="2"/>
  <c r="U53" i="2"/>
  <c r="AA27" i="2"/>
  <c r="Z27" i="2"/>
  <c r="AO26" i="2"/>
  <c r="S27" i="2"/>
  <c r="V27" i="2"/>
  <c r="AN26" i="2"/>
  <c r="U28" i="2"/>
  <c r="T28" i="2"/>
  <c r="AA41" i="2"/>
  <c r="Z41" i="2"/>
  <c r="AN40" i="2"/>
  <c r="V41" i="2"/>
  <c r="AO40" i="2"/>
  <c r="Z71" i="2"/>
  <c r="AN70" i="2"/>
  <c r="AA71" i="2"/>
  <c r="V71" i="2"/>
  <c r="AO70" i="2"/>
  <c r="T46" i="2"/>
  <c r="U46" i="2"/>
  <c r="AO69" i="2"/>
  <c r="Z70" i="2"/>
  <c r="AA70" i="2"/>
  <c r="V70" i="2"/>
  <c r="AN69" i="2"/>
  <c r="AO64" i="2"/>
  <c r="AA65" i="2"/>
  <c r="AN64" i="2"/>
  <c r="V65" i="2"/>
  <c r="Z65" i="2"/>
  <c r="U25" i="2"/>
  <c r="Y27" i="4"/>
  <c r="AK27" i="4"/>
  <c r="X27" i="4"/>
  <c r="P27" i="4"/>
  <c r="T27" i="4"/>
  <c r="AL27" i="4"/>
  <c r="T43" i="2"/>
  <c r="U43" i="2"/>
  <c r="AA46" i="2"/>
  <c r="AN45" i="2"/>
  <c r="AO45" i="2"/>
  <c r="S46" i="2"/>
  <c r="V46" i="2"/>
  <c r="Z46" i="2"/>
  <c r="T97" i="2"/>
  <c r="U97" i="2"/>
  <c r="AN72" i="2"/>
  <c r="AA73" i="2"/>
  <c r="Z73" i="2"/>
  <c r="V73" i="2"/>
  <c r="AO72" i="2"/>
  <c r="U21" i="2"/>
  <c r="T21" i="2"/>
  <c r="AJ17" i="6"/>
  <c r="AT17" i="6"/>
  <c r="AI17" i="6"/>
  <c r="AA17" i="6"/>
  <c r="AB17" i="6"/>
  <c r="AU17" i="6"/>
  <c r="U70" i="2"/>
  <c r="S70" i="2"/>
  <c r="T70" i="2"/>
  <c r="U34" i="2"/>
  <c r="T34" i="2"/>
  <c r="U26" i="2"/>
  <c r="T26" i="2"/>
  <c r="AO54" i="2"/>
  <c r="Z55" i="2"/>
  <c r="AN54" i="2"/>
  <c r="V55" i="2"/>
  <c r="AA55" i="2"/>
  <c r="T22" i="2"/>
  <c r="U22" i="2"/>
  <c r="T54" i="2"/>
  <c r="U54" i="2"/>
  <c r="AO39" i="2"/>
  <c r="AA40" i="2"/>
  <c r="AN39" i="2"/>
  <c r="V40" i="2"/>
  <c r="Z40" i="2"/>
  <c r="Z98" i="2"/>
  <c r="AO97" i="2"/>
  <c r="AN97" i="2"/>
  <c r="S98" i="2"/>
  <c r="V98" i="2"/>
  <c r="AA98" i="2"/>
  <c r="U41" i="2"/>
  <c r="S41" i="2"/>
  <c r="T41" i="2"/>
  <c r="AO31" i="2"/>
  <c r="AA32" i="2"/>
  <c r="AN31" i="2"/>
  <c r="V32" i="2"/>
  <c r="Z32" i="2"/>
  <c r="AO44" i="2"/>
  <c r="Z45" i="2"/>
  <c r="AN44" i="2"/>
  <c r="V45" i="2"/>
  <c r="AA45" i="2"/>
  <c r="Y23" i="4"/>
  <c r="AL23" i="4"/>
  <c r="X23" i="4"/>
  <c r="T23" i="4"/>
  <c r="AK23" i="4"/>
  <c r="Z22" i="2"/>
  <c r="AA22" i="2"/>
  <c r="AO21" i="2"/>
  <c r="S22" i="2"/>
  <c r="V22" i="2"/>
  <c r="AN21" i="2"/>
  <c r="Z72" i="2"/>
  <c r="AO71" i="2"/>
  <c r="AA72" i="2"/>
  <c r="V72" i="2"/>
  <c r="AN71" i="2"/>
  <c r="X22" i="4"/>
  <c r="AL22" i="4"/>
  <c r="AK22" i="4"/>
  <c r="P22" i="4"/>
  <c r="T22" i="4"/>
  <c r="Y22" i="4"/>
  <c r="T62" i="2"/>
  <c r="U62" i="2"/>
  <c r="AD20" i="8"/>
  <c r="Z20" i="8"/>
  <c r="AE20" i="8"/>
  <c r="U79" i="2"/>
  <c r="T79" i="2"/>
  <c r="U72" i="2"/>
  <c r="S72" i="2"/>
  <c r="T72" i="2"/>
  <c r="T99" i="2"/>
  <c r="U99" i="2"/>
  <c r="AE21" i="8"/>
  <c r="Z21" i="8"/>
  <c r="AD21" i="8"/>
  <c r="U42" i="2"/>
  <c r="T42" i="2"/>
  <c r="T39" i="2"/>
  <c r="U39" i="2"/>
  <c r="U86" i="2"/>
  <c r="T86" i="2"/>
  <c r="T93" i="2"/>
  <c r="U93" i="2"/>
  <c r="AN25" i="2"/>
  <c r="AO25" i="2"/>
  <c r="Z26" i="2"/>
  <c r="S26" i="2"/>
  <c r="V26" i="2"/>
  <c r="AA26" i="2"/>
  <c r="AA63" i="2"/>
  <c r="Z63" i="2"/>
  <c r="AN62" i="2"/>
  <c r="S63" i="2"/>
  <c r="V63" i="2"/>
  <c r="AO62" i="2"/>
  <c r="T74" i="2"/>
  <c r="U74" i="2"/>
  <c r="AA100" i="2"/>
  <c r="AO99" i="2"/>
  <c r="AN99" i="2"/>
  <c r="S100" i="2"/>
  <c r="V100" i="2"/>
  <c r="Z100" i="2"/>
  <c r="AA20" i="2"/>
  <c r="AN19" i="2"/>
  <c r="AO19" i="2"/>
  <c r="S20" i="2"/>
  <c r="V20" i="2"/>
  <c r="Z20" i="2"/>
  <c r="T24" i="2"/>
  <c r="U24" i="2"/>
  <c r="T32" i="2"/>
  <c r="S32" i="2"/>
  <c r="U32" i="2"/>
  <c r="Y17" i="4"/>
  <c r="X17" i="4"/>
  <c r="AL17" i="4"/>
  <c r="T17" i="4"/>
  <c r="AK17" i="4"/>
  <c r="U73" i="2"/>
  <c r="S73" i="2"/>
  <c r="T73" i="2"/>
  <c r="P17" i="4"/>
  <c r="Q17" i="4"/>
  <c r="R17" i="4"/>
  <c r="X25" i="4"/>
  <c r="Y25" i="4"/>
  <c r="AK25" i="4"/>
  <c r="S25" i="4"/>
  <c r="T25" i="4"/>
  <c r="AL25" i="4"/>
  <c r="U19" i="2"/>
  <c r="T19" i="2"/>
  <c r="AA42" i="2"/>
  <c r="AN41" i="2"/>
  <c r="Z42" i="2"/>
  <c r="S42" i="2"/>
  <c r="V42" i="2"/>
  <c r="AO41" i="2"/>
  <c r="T51" i="2"/>
  <c r="U51" i="2"/>
  <c r="Z24" i="2"/>
  <c r="AA24" i="2"/>
  <c r="AN23" i="2"/>
  <c r="S24" i="2"/>
  <c r="V24" i="2"/>
  <c r="AO23" i="2"/>
  <c r="AL19" i="4"/>
  <c r="Y19" i="4"/>
  <c r="AK19" i="4"/>
  <c r="P19" i="4"/>
  <c r="T19" i="4"/>
  <c r="X19" i="4"/>
  <c r="AN53" i="2"/>
  <c r="Z54" i="2"/>
  <c r="AO53" i="2"/>
  <c r="S54" i="2"/>
  <c r="V54" i="2"/>
  <c r="AA54" i="2"/>
  <c r="AO73" i="2"/>
  <c r="Z74" i="2"/>
  <c r="AN73" i="2"/>
  <c r="S74" i="2"/>
  <c r="V74" i="2"/>
  <c r="AA74" i="2"/>
  <c r="T18" i="2"/>
  <c r="U18" i="2"/>
  <c r="Z19" i="2"/>
  <c r="AO18" i="2"/>
  <c r="AA19" i="2"/>
  <c r="S19" i="2"/>
  <c r="V19" i="2"/>
  <c r="AN18" i="2"/>
  <c r="AA43" i="2"/>
  <c r="AN42" i="2"/>
  <c r="AO42" i="2"/>
  <c r="S43" i="2"/>
  <c r="V43" i="2"/>
  <c r="Z43" i="2"/>
  <c r="Y24" i="4"/>
  <c r="X24" i="4"/>
  <c r="AL24" i="4"/>
  <c r="S24" i="4"/>
  <c r="T24" i="4"/>
  <c r="AK24" i="4"/>
  <c r="AN77" i="2"/>
  <c r="Z78" i="2"/>
  <c r="AO77" i="2"/>
  <c r="V78" i="2"/>
  <c r="AA78" i="2"/>
  <c r="AO28" i="2"/>
  <c r="Z29" i="2"/>
  <c r="AA29" i="2"/>
  <c r="V29" i="2"/>
  <c r="AN28" i="2"/>
  <c r="T89" i="2"/>
  <c r="U89" i="2"/>
  <c r="T33" i="2"/>
  <c r="U33" i="2"/>
  <c r="AO30" i="2"/>
  <c r="Z31" i="2"/>
  <c r="AN30" i="2"/>
  <c r="V31" i="2"/>
  <c r="AA31" i="2"/>
  <c r="AI18" i="10"/>
  <c r="AJ18" i="10"/>
  <c r="Y18" i="10"/>
  <c r="T18" i="10"/>
  <c r="X18" i="10"/>
  <c r="AA89" i="2"/>
  <c r="S89" i="2"/>
  <c r="V89" i="2"/>
  <c r="Z89" i="2"/>
  <c r="U31" i="2"/>
  <c r="S31" i="2"/>
  <c r="T31" i="2"/>
  <c r="X20" i="4"/>
  <c r="Y20" i="4"/>
  <c r="AK20" i="4"/>
  <c r="P20" i="4"/>
  <c r="T20" i="4"/>
  <c r="AL20" i="4"/>
  <c r="R18" i="4"/>
  <c r="AA36" i="2"/>
  <c r="Z36" i="2"/>
  <c r="AO35" i="2"/>
  <c r="V36" i="2"/>
  <c r="AN35" i="2"/>
  <c r="Z53" i="2"/>
  <c r="AO52" i="2"/>
  <c r="AN52" i="2"/>
  <c r="S53" i="2"/>
  <c r="V53" i="2"/>
  <c r="AA53" i="2"/>
  <c r="AA64" i="2"/>
  <c r="AO63" i="2"/>
  <c r="Z64" i="2"/>
  <c r="V64" i="2"/>
  <c r="AN63" i="2"/>
  <c r="AN78" i="2"/>
  <c r="AA79" i="2"/>
  <c r="Z79" i="2"/>
  <c r="S79" i="2"/>
  <c r="V79" i="2"/>
  <c r="AO78" i="2"/>
  <c r="T29" i="2"/>
  <c r="S29" i="2"/>
  <c r="U29" i="2"/>
  <c r="U61" i="2"/>
  <c r="T61" i="2"/>
  <c r="U94" i="2"/>
  <c r="T94" i="2"/>
  <c r="AA33" i="2"/>
  <c r="AO32" i="2"/>
  <c r="Z33" i="2"/>
  <c r="S33" i="2"/>
  <c r="V33" i="2"/>
  <c r="AN32" i="2"/>
  <c r="T77" i="2"/>
  <c r="S77" i="2"/>
  <c r="U77" i="2"/>
  <c r="T64" i="2"/>
  <c r="S64" i="2"/>
  <c r="U64" i="2"/>
  <c r="AO60" i="2"/>
  <c r="AN60" i="2"/>
  <c r="Z61" i="2"/>
  <c r="S61" i="2"/>
  <c r="V61" i="2"/>
  <c r="AA61" i="2"/>
  <c r="AA18" i="2"/>
  <c r="AN17" i="2"/>
  <c r="AO17" i="2"/>
  <c r="S18" i="2"/>
  <c r="V18" i="2"/>
  <c r="Z18" i="2"/>
  <c r="U50" i="2"/>
  <c r="T50" i="2"/>
  <c r="AO20" i="8"/>
  <c r="W20" i="8"/>
  <c r="X20" i="8"/>
  <c r="AP20" i="8"/>
  <c r="T37" i="2"/>
  <c r="U37" i="2"/>
  <c r="Z87" i="2"/>
  <c r="AA87" i="2"/>
  <c r="AO86" i="2"/>
  <c r="S87" i="2"/>
  <c r="V87" i="2"/>
  <c r="AN86" i="2"/>
  <c r="T95" i="2"/>
  <c r="U95" i="2"/>
  <c r="U23" i="2"/>
  <c r="S23" i="2"/>
  <c r="T23" i="2"/>
  <c r="Z28" i="2"/>
  <c r="AA28" i="2"/>
  <c r="AN27" i="2"/>
  <c r="S28" i="2"/>
  <c r="V28" i="2"/>
  <c r="AO27" i="2"/>
  <c r="Z93" i="2"/>
  <c r="S93" i="2"/>
  <c r="V93" i="2"/>
  <c r="AA93" i="2"/>
  <c r="U45" i="2"/>
  <c r="S45" i="2"/>
  <c r="T45" i="2"/>
  <c r="R17" i="10"/>
  <c r="S17" i="10"/>
  <c r="AN51" i="2"/>
  <c r="AO51" i="2"/>
  <c r="AA52" i="2"/>
  <c r="V52" i="2"/>
  <c r="Z52" i="2"/>
  <c r="AT18" i="6"/>
  <c r="AJ18" i="6"/>
  <c r="AI18" i="6"/>
  <c r="AU18" i="6"/>
  <c r="AO17" i="8"/>
  <c r="AP17" i="8"/>
  <c r="U40" i="2"/>
  <c r="S40" i="2"/>
  <c r="T40" i="2"/>
  <c r="T78" i="2"/>
  <c r="S78" i="2"/>
  <c r="U78" i="2"/>
  <c r="AN38" i="2"/>
  <c r="AO38" i="2"/>
  <c r="Z39" i="2"/>
  <c r="S39" i="2"/>
  <c r="V39" i="2"/>
  <c r="AA39" i="2"/>
  <c r="X17" i="10"/>
  <c r="Y17" i="10"/>
  <c r="AJ17" i="10"/>
  <c r="Q17" i="10"/>
  <c r="T17" i="10"/>
  <c r="AI17" i="10"/>
  <c r="U71" i="2"/>
  <c r="S71" i="2"/>
  <c r="T71" i="2"/>
  <c r="U55" i="2"/>
  <c r="S55" i="2"/>
  <c r="T55" i="2"/>
  <c r="U52" i="2"/>
  <c r="S52" i="2"/>
  <c r="T52" i="2"/>
  <c r="Q26" i="4"/>
  <c r="R26" i="4"/>
  <c r="P23" i="4"/>
  <c r="Q23" i="4"/>
  <c r="R23" i="4"/>
  <c r="AO61" i="2"/>
  <c r="AA62" i="2"/>
  <c r="Z62" i="2"/>
  <c r="S62" i="2"/>
  <c r="V62" i="2"/>
  <c r="AN61" i="2"/>
  <c r="X21" i="4"/>
  <c r="Y21" i="4"/>
  <c r="AK21" i="4"/>
  <c r="P21" i="4"/>
  <c r="T21" i="4"/>
  <c r="AL21" i="4"/>
  <c r="Z67" i="2"/>
  <c r="AA67" i="2"/>
  <c r="AO66" i="2"/>
  <c r="S67" i="2"/>
  <c r="V67" i="2"/>
  <c r="AN66" i="2"/>
  <c r="AN65" i="2"/>
  <c r="AA66" i="2"/>
  <c r="Z66" i="2"/>
  <c r="S66" i="2"/>
  <c r="V66" i="2"/>
  <c r="AO65" i="2"/>
  <c r="AO50" i="2"/>
  <c r="Z51" i="2"/>
  <c r="AN50" i="2"/>
  <c r="S51" i="2"/>
  <c r="V51" i="2"/>
  <c r="AA51" i="2"/>
  <c r="Z95" i="2"/>
  <c r="AO94" i="2"/>
  <c r="AA95" i="2"/>
  <c r="S95" i="2"/>
  <c r="V95" i="2"/>
  <c r="AN94" i="2"/>
  <c r="AI20" i="6"/>
  <c r="AT20" i="6"/>
  <c r="AJ20" i="6"/>
  <c r="AA20" i="6"/>
  <c r="AB20" i="6"/>
  <c r="AU20" i="6"/>
  <c r="AA94" i="2"/>
  <c r="AO93" i="2"/>
  <c r="AN93" i="2"/>
  <c r="S94" i="2"/>
  <c r="V94" i="2"/>
  <c r="Z94" i="2"/>
  <c r="Z99" i="2"/>
  <c r="AA99" i="2"/>
  <c r="AO98" i="2"/>
  <c r="S99" i="2"/>
  <c r="V99" i="2"/>
  <c r="AN98" i="2"/>
  <c r="AA34" i="2"/>
  <c r="Z34" i="2"/>
  <c r="AO33" i="2"/>
  <c r="S34" i="2"/>
  <c r="V34" i="2"/>
  <c r="AN33" i="2"/>
  <c r="S19" i="4"/>
  <c r="S18" i="4"/>
  <c r="S27" i="4"/>
  <c r="X18" i="4"/>
  <c r="S22" i="4"/>
  <c r="S17" i="4"/>
  <c r="AK18" i="4"/>
  <c r="Y18" i="4"/>
  <c r="AL18" i="4"/>
  <c r="S20" i="4"/>
  <c r="S23" i="4"/>
  <c r="S26" i="4"/>
  <c r="T18" i="4"/>
  <c r="S21" i="4"/>
  <c r="AT19" i="6"/>
  <c r="AJ19" i="6"/>
  <c r="AU19" i="6"/>
  <c r="AA19" i="6"/>
  <c r="AB19" i="6"/>
  <c r="AI19" i="6"/>
  <c r="Z101" i="2"/>
  <c r="AA101" i="2"/>
  <c r="AO100" i="2"/>
  <c r="S101" i="2"/>
  <c r="V101" i="2"/>
  <c r="AN100" i="2"/>
  <c r="AO49" i="2"/>
  <c r="Z50" i="2"/>
  <c r="AN49" i="2"/>
  <c r="S50" i="2"/>
  <c r="V50" i="2"/>
  <c r="AA50" i="2"/>
  <c r="U36" i="2"/>
  <c r="S36" i="2"/>
  <c r="T36" i="2"/>
  <c r="AN20" i="2"/>
  <c r="AO20" i="2"/>
  <c r="AA21" i="2"/>
  <c r="S21" i="2"/>
  <c r="V21" i="2"/>
  <c r="Z21" i="2"/>
  <c r="AJ22" i="6"/>
  <c r="AI22" i="6"/>
  <c r="AU22" i="6"/>
  <c r="AA18" i="6"/>
  <c r="AB18" i="6"/>
  <c r="AA22" i="6"/>
  <c r="AB22" i="6"/>
  <c r="AT22" i="6"/>
  <c r="AL26" i="4"/>
  <c r="X26" i="4"/>
  <c r="Y26" i="4"/>
  <c r="P18" i="4"/>
  <c r="Q18" i="4"/>
  <c r="P26" i="4"/>
  <c r="T26" i="4"/>
  <c r="AK26" i="4"/>
  <c r="AA35" i="2"/>
  <c r="AO34" i="2"/>
  <c r="Z35" i="2"/>
  <c r="S35" i="2"/>
  <c r="V35" i="2"/>
  <c r="AN34" i="2"/>
  <c r="R18" i="10"/>
  <c r="Q18" i="10"/>
  <c r="S18" i="10"/>
  <c r="AO24" i="2"/>
  <c r="AA25" i="2"/>
  <c r="Z25" i="2"/>
  <c r="V25" i="2"/>
  <c r="AN24" i="2"/>
  <c r="AN37" i="2"/>
  <c r="AA38" i="2"/>
  <c r="Z38" i="2"/>
  <c r="S38" i="2"/>
  <c r="V38" i="2"/>
  <c r="AO37" i="2"/>
  <c r="Z97" i="2"/>
  <c r="AN96" i="2"/>
  <c r="AA97" i="2"/>
  <c r="S97" i="2"/>
  <c r="V97" i="2"/>
  <c r="AO96" i="2"/>
  <c r="T65" i="2"/>
  <c r="S65" i="2"/>
  <c r="U65" i="2"/>
  <c r="AA86" i="2"/>
  <c r="Z86" i="2"/>
  <c r="AN85" i="2"/>
  <c r="S86" i="2"/>
  <c r="V86" i="2"/>
  <c r="AO85" i="2"/>
  <c r="U96" i="2"/>
  <c r="S96" i="2"/>
  <c r="T96" i="2"/>
  <c r="AN68" i="2"/>
  <c r="AO68" i="2"/>
  <c r="Z69" i="2"/>
  <c r="S69" i="2"/>
  <c r="V69" i="2"/>
  <c r="AA69" i="2"/>
  <c r="Z37" i="2"/>
  <c r="AN36" i="2"/>
  <c r="AO36" i="2"/>
  <c r="S25" i="2"/>
  <c r="T25" i="2"/>
  <c r="S37" i="2"/>
  <c r="V37" i="2"/>
  <c r="AA37" i="2"/>
  <c r="AO21" i="8"/>
  <c r="W17" i="8"/>
  <c r="X17" i="8"/>
  <c r="W21" i="8"/>
  <c r="X21" i="8"/>
  <c r="AP21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<sst xmlns="http://schemas.openxmlformats.org/spreadsheetml/2006/main" count="7748" uniqueCount="1737">
  <si>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</si>
  <si>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</si>
  <si>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</si>
  <si>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</si>
  <si>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</si>
  <si>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</si>
  <si>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</si>
  <si>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</si>
  <si>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</si>
  <si>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</si>
  <si>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</si>
  <si>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</si>
  <si>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</si>
  <si>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</si>
  <si>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</si>
  <si>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</si>
  <si>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</si>
  <si>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</si>
  <si>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</si>
  <si>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</si>
  <si>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</si>
  <si>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</si>
  <si>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</si>
  <si>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</si>
  <si>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</si>
  <si>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</si>
  <si>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</si>
  <si>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</si>
  <si>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</si>
  <si>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</si>
  <si>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</si>
  <si>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</si>
  <si>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</si>
  <si>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</si>
  <si>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</si>
  <si>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</si>
  <si>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</si>
  <si>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</si>
  <si>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</si>
  <si>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</si>
  <si>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</si>
  <si>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</si>
  <si>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</si>
  <si>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</si>
  <si>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</si>
  <si>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</si>
  <si>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</si>
  <si>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</si>
  <si>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</si>
  <si>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</si>
  <si>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</si>
  <si>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</si>
  <si>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</si>
  <si>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</si>
  <si>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</si>
  <si>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</si>
  <si>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</si>
  <si>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</si>
  <si>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</si>
  <si>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</si>
  <si>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</si>
  <si>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</si>
  <si>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</si>
  <si>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</si>
  <si>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</si>
  <si>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</si>
  <si>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</si>
  <si>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</si>
  <si>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</si>
  <si>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</si>
  <si>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</si>
  <si>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</si>
  <si>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</si>
  <si>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</si>
  <si>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</si>
  <si>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</si>
  <si>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</si>
  <si>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</si>
  <si>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</si>
  <si>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</si>
  <si>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</si>
  <si>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</si>
  <si>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</si>
  <si>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</si>
  <si>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</si>
  <si>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</si>
  <si>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</si>
  <si>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</si>
  <si>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</si>
  <si>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</si>
  <si>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</si>
  <si>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</si>
  <si>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</si>
  <si>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</si>
  <si>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</si>
  <si>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</si>
  <si>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</si>
  <si>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</si>
  <si>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</si>
  <si>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</si>
  <si>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</si>
  <si>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</si>
  <si>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</si>
  <si>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</si>
  <si>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</si>
  <si>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</si>
  <si>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</si>
  <si>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</si>
  <si>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</si>
  <si>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</si>
  <si>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</si>
  <si>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</si>
  <si>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</si>
  <si>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</si>
  <si>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</si>
  <si>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</si>
  <si>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</si>
  <si>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</si>
  <si>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</si>
  <si>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</si>
  <si>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</si>
  <si>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</si>
  <si>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</si>
  <si>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</si>
  <si>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</si>
  <si>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</si>
  <si>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</si>
  <si>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</si>
  <si>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</si>
  <si>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</si>
  <si>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</si>
  <si>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</si>
  <si>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</si>
  <si>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</si>
  <si>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</si>
  <si>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</si>
  <si>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</si>
  <si>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</si>
  <si>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</si>
  <si>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</si>
  <si>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</si>
  <si>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</si>
  <si>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</si>
  <si>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</si>
  <si>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</si>
  <si>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</si>
  <si>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</si>
  <si>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</si>
  <si>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</si>
  <si>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</si>
  <si>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</si>
  <si>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</si>
  <si>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</si>
  <si>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</si>
  <si>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</si>
  <si>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</si>
  <si>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</si>
  <si>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</si>
  <si>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</si>
  <si>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</si>
  <si>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</si>
  <si>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</si>
  <si>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</si>
  <si>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</si>
  <si>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</si>
  <si>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</si>
  <si>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</si>
  <si>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</si>
  <si>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</si>
  <si>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</si>
  <si>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</si>
  <si>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</si>
  <si>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</si>
  <si>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</si>
  <si>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</si>
  <si>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</si>
  <si>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</si>
  <si>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</si>
  <si>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</si>
  <si>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</si>
  <si>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</si>
  <si>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</si>
  <si>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</si>
  <si>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</si>
  <si>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</si>
  <si>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</si>
  <si>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</si>
  <si>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</si>
  <si>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</si>
  <si>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</si>
  <si>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</si>
  <si>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</si>
  <si>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</si>
  <si>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</si>
  <si>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</si>
  <si>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</si>
  <si>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</si>
  <si>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</si>
  <si>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</si>
  <si>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</si>
  <si>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</si>
  <si>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</si>
  <si>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</si>
  <si>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</si>
  <si>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</si>
  <si>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</si>
  <si>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</si>
  <si>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</si>
  <si>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</si>
  <si>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</si>
  <si>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</si>
  <si>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</si>
  <si>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</si>
  <si>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</si>
  <si>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</si>
  <si>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</si>
  <si>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</si>
  <si>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</si>
  <si>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</si>
  <si>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</si>
  <si>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</si>
  <si>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</si>
  <si>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</si>
  <si>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</si>
  <si>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</si>
  <si>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</si>
  <si>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</si>
  <si>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</si>
  <si>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</si>
  <si>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</si>
  <si>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</si>
  <si>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</si>
  <si>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</si>
  <si>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</si>
  <si>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</si>
  <si>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</si>
  <si>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</si>
  <si>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</si>
  <si>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</si>
  <si>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</si>
  <si>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</si>
  <si>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</si>
  <si>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</si>
  <si>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</si>
  <si>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</si>
  <si>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</si>
  <si>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Y-SD008</t>
  </si>
  <si>
    <t>Trilogía
Máscara 10 Aceites Esenciales Negra+ Máscara 10 Aceites Café + Gel Fijador para Cejas</t>
  </si>
  <si>
    <t>19 g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</si>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</sst>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1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9"/>
      <color theme="1"/>
      <name val="Aptos Narrow"/>
      <family val="2"/>
    </font>
    <font>
      <sz val="14"/>
      <color theme="0"/>
      <name val="Arial"/>
      <family val="2"/>
    </font>
    <font>
      <sz val="14"/>
      <color rgb="FF0000D4"/>
      <name val="Play"/>
      <charset val="1"/>
    </font>
    <font>
      <sz val="14"/>
      <color theme="0"/>
      <name val="Play"/>
      <charset val="1"/>
    </font>
    <font>
      <sz val="14"/>
      <color rgb="FF000000"/>
      <name val="Play"/>
      <charset val="1"/>
    </font>
    <font>
      <b/>
      <sz val="14"/>
      <color rgb="FF0000D4"/>
      <name val="Play"/>
      <charset val="1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15" fontId="13" fillId="4" borderId="1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25" fillId="0" borderId="0" xfId="0" applyFont="1"/>
    <xf numFmtId="0" fontId="25" fillId="23" borderId="0" xfId="0" applyFont="1" applyFill="1"/>
    <xf numFmtId="0" fontId="28" fillId="22" borderId="0" xfId="0" applyFont="1" applyFill="1" applyAlignment="1">
      <alignment horizontal="center" vertical="center" wrapText="1"/>
    </xf>
    <xf numFmtId="0" fontId="29" fillId="23" borderId="0" xfId="0" applyFont="1" applyFill="1"/>
    <xf numFmtId="0" fontId="28" fillId="2" borderId="4" xfId="0" applyFont="1" applyFill="1" applyBorder="1" applyAlignment="1">
      <alignment horizontal="center" vertical="center" wrapText="1"/>
    </xf>
    <xf numFmtId="0" fontId="29" fillId="0" borderId="0" xfId="0" applyFont="1"/>
    <xf numFmtId="1" fontId="27" fillId="4" borderId="1" xfId="0" applyNumberFormat="1" applyFont="1" applyFill="1" applyBorder="1" applyAlignment="1">
      <alignment horizontal="center" vertical="center" wrapText="1"/>
    </xf>
    <xf numFmtId="9" fontId="27" fillId="4" borderId="1" xfId="0" applyNumberFormat="1" applyFont="1" applyFill="1" applyBorder="1" applyAlignment="1">
      <alignment horizontal="center" vertical="center" wrapText="1"/>
    </xf>
    <xf numFmtId="0" fontId="31" fillId="0" borderId="0" xfId="0" applyFont="1"/>
    <xf numFmtId="0" fontId="31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0" fontId="31" fillId="23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1" fillId="23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1" fillId="0" borderId="0" xfId="0" applyFont="1" applyAlignment="1">
      <alignment wrapText="1"/>
    </xf>
    <xf numFmtId="15" fontId="14" fillId="4" borderId="0" xfId="0" applyNumberFormat="1" applyFont="1" applyFill="1" applyAlignment="1">
      <alignment horizontal="center" vertical="center"/>
    </xf>
    <xf numFmtId="1" fontId="31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1" fillId="0" borderId="1" xfId="0" applyNumberFormat="1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29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1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3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2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29" fillId="0" borderId="1" xfId="0" applyFont="1" applyBorder="1"/>
    <xf numFmtId="0" fontId="31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1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1" fillId="0" borderId="1" xfId="0" applyFont="1" applyBorder="1" applyAlignment="1">
      <alignment wrapText="1"/>
    </xf>
    <xf numFmtId="15" fontId="31" fillId="33" borderId="1" xfId="0" applyNumberFormat="1" applyFont="1" applyFill="1" applyBorder="1" applyAlignment="1">
      <alignment horizontal="center" vertical="center" wrapText="1"/>
    </xf>
    <xf numFmtId="0" fontId="31" fillId="33" borderId="1" xfId="0" applyFont="1" applyFill="1" applyBorder="1" applyAlignment="1">
      <alignment horizontal="center" vertical="center" wrapText="1"/>
    </xf>
    <xf numFmtId="0" fontId="31" fillId="33" borderId="1" xfId="0" applyFont="1" applyFill="1" applyBorder="1" applyAlignment="1">
      <alignment wrapText="1"/>
    </xf>
    <xf numFmtId="0" fontId="34" fillId="23" borderId="0" xfId="0" applyFont="1" applyFill="1"/>
    <xf numFmtId="15" fontId="35" fillId="33" borderId="1" xfId="0" applyNumberFormat="1" applyFont="1" applyFill="1" applyBorder="1" applyAlignment="1">
      <alignment horizontal="center" vertical="center" wrapText="1"/>
    </xf>
    <xf numFmtId="0" fontId="35" fillId="33" borderId="1" xfId="0" applyFont="1" applyFill="1" applyBorder="1" applyAlignment="1">
      <alignment horizontal="center" vertical="center" wrapText="1"/>
    </xf>
    <xf numFmtId="0" fontId="35" fillId="33" borderId="1" xfId="0" applyFont="1" applyFill="1" applyBorder="1" applyAlignment="1">
      <alignment wrapText="1"/>
    </xf>
    <xf numFmtId="0" fontId="35" fillId="0" borderId="0" xfId="0" applyFont="1" applyAlignment="1">
      <alignment wrapText="1"/>
    </xf>
    <xf numFmtId="15" fontId="35" fillId="0" borderId="1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wrapText="1"/>
    </xf>
    <xf numFmtId="14" fontId="35" fillId="0" borderId="1" xfId="0" applyNumberFormat="1" applyFont="1" applyBorder="1" applyAlignment="1">
      <alignment horizontal="center" vertical="center"/>
    </xf>
    <xf numFmtId="0" fontId="35" fillId="0" borderId="1" xfId="0" applyFont="1" applyBorder="1"/>
    <xf numFmtId="0" fontId="35" fillId="0" borderId="0" xfId="0" applyFont="1"/>
    <xf numFmtId="15" fontId="35" fillId="0" borderId="1" xfId="0" applyNumberFormat="1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37" fillId="22" borderId="0" xfId="0" applyFont="1" applyFill="1" applyAlignment="1">
      <alignment horizontal="center" vertical="center" wrapText="1"/>
    </xf>
    <xf numFmtId="15" fontId="37" fillId="22" borderId="0" xfId="0" applyNumberFormat="1" applyFont="1" applyFill="1" applyAlignment="1">
      <alignment horizontal="center" vertical="center" wrapText="1"/>
    </xf>
    <xf numFmtId="1" fontId="37" fillId="22" borderId="0" xfId="0" applyNumberFormat="1" applyFont="1" applyFill="1" applyAlignment="1">
      <alignment horizontal="center" vertical="center" wrapText="1"/>
    </xf>
    <xf numFmtId="164" fontId="37" fillId="22" borderId="0" xfId="0" applyNumberFormat="1" applyFont="1" applyFill="1" applyAlignment="1">
      <alignment horizontal="center" vertical="center" wrapText="1"/>
    </xf>
    <xf numFmtId="0" fontId="38" fillId="23" borderId="0" xfId="0" applyFont="1" applyFill="1"/>
    <xf numFmtId="0" fontId="37" fillId="31" borderId="1" xfId="0" applyFont="1" applyFill="1" applyBorder="1" applyAlignment="1">
      <alignment horizontal="center" vertical="center" wrapText="1"/>
    </xf>
    <xf numFmtId="0" fontId="37" fillId="2" borderId="4" xfId="0" applyFont="1" applyFill="1" applyBorder="1" applyAlignment="1">
      <alignment horizontal="center" vertical="center" wrapText="1"/>
    </xf>
    <xf numFmtId="15" fontId="37" fillId="2" borderId="4" xfId="0" applyNumberFormat="1" applyFont="1" applyFill="1" applyBorder="1" applyAlignment="1">
      <alignment horizontal="center" vertical="center" wrapText="1"/>
    </xf>
    <xf numFmtId="1" fontId="37" fillId="2" borderId="4" xfId="0" applyNumberFormat="1" applyFont="1" applyFill="1" applyBorder="1" applyAlignment="1">
      <alignment horizontal="center" vertical="center" wrapText="1"/>
    </xf>
    <xf numFmtId="164" fontId="37" fillId="2" borderId="4" xfId="0" applyNumberFormat="1" applyFont="1" applyFill="1" applyBorder="1" applyAlignment="1">
      <alignment horizontal="center" vertical="center" wrapText="1"/>
    </xf>
    <xf numFmtId="0" fontId="38" fillId="0" borderId="0" xfId="0" applyFont="1"/>
    <xf numFmtId="0" fontId="37" fillId="2" borderId="1" xfId="0" applyFont="1" applyFill="1" applyBorder="1" applyAlignment="1">
      <alignment horizontal="center" vertical="center" wrapText="1"/>
    </xf>
    <xf numFmtId="0" fontId="37" fillId="32" borderId="1" xfId="0" applyFont="1" applyFill="1" applyBorder="1" applyAlignment="1">
      <alignment horizontal="center" vertical="center" wrapText="1"/>
    </xf>
    <xf numFmtId="0" fontId="39" fillId="3" borderId="1" xfId="0" applyFont="1" applyFill="1" applyBorder="1" applyAlignment="1">
      <alignment horizontal="center" vertical="center"/>
    </xf>
    <xf numFmtId="165" fontId="39" fillId="3" borderId="1" xfId="0" applyNumberFormat="1" applyFont="1" applyFill="1" applyBorder="1" applyAlignment="1">
      <alignment horizontal="center" vertical="center"/>
    </xf>
    <xf numFmtId="1" fontId="39" fillId="4" borderId="1" xfId="0" applyNumberFormat="1" applyFont="1" applyFill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/>
    </xf>
    <xf numFmtId="16" fontId="39" fillId="0" borderId="1" xfId="0" applyNumberFormat="1" applyFont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 wrapText="1"/>
    </xf>
    <xf numFmtId="166" fontId="39" fillId="5" borderId="1" xfId="0" applyNumberFormat="1" applyFont="1" applyFill="1" applyBorder="1" applyAlignment="1">
      <alignment horizontal="center" vertical="center"/>
    </xf>
    <xf numFmtId="3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 wrapText="1"/>
    </xf>
    <xf numFmtId="167" fontId="41" fillId="6" borderId="1" xfId="0" applyNumberFormat="1" applyFont="1" applyFill="1" applyBorder="1" applyAlignment="1">
      <alignment horizontal="center" vertical="center"/>
    </xf>
    <xf numFmtId="168" fontId="39" fillId="4" borderId="1" xfId="0" applyNumberFormat="1" applyFont="1" applyFill="1" applyBorder="1" applyAlignment="1">
      <alignment horizontal="center" vertical="center"/>
    </xf>
    <xf numFmtId="10" fontId="39" fillId="0" borderId="1" xfId="0" applyNumberFormat="1" applyFont="1" applyBorder="1" applyAlignment="1">
      <alignment horizontal="center" vertical="center"/>
    </xf>
    <xf numFmtId="9" fontId="39" fillId="0" borderId="1" xfId="0" applyNumberFormat="1" applyFont="1" applyBorder="1" applyAlignment="1">
      <alignment horizontal="center" vertical="center"/>
    </xf>
    <xf numFmtId="9" fontId="39" fillId="4" borderId="1" xfId="0" applyNumberFormat="1" applyFont="1" applyFill="1" applyBorder="1" applyAlignment="1">
      <alignment horizontal="center" vertical="center" wrapText="1"/>
    </xf>
    <xf numFmtId="9" fontId="39" fillId="4" borderId="0" xfId="0" applyNumberFormat="1" applyFont="1" applyFill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5" fontId="38" fillId="0" borderId="1" xfId="0" applyNumberFormat="1" applyFont="1" applyBorder="1" applyAlignment="1">
      <alignment horizontal="center" vertical="center" wrapText="1"/>
    </xf>
    <xf numFmtId="17" fontId="39" fillId="0" borderId="1" xfId="0" applyNumberFormat="1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 wrapText="1"/>
    </xf>
    <xf numFmtId="166" fontId="39" fillId="4" borderId="1" xfId="0" applyNumberFormat="1" applyFont="1" applyFill="1" applyBorder="1" applyAlignment="1">
      <alignment horizontal="center" vertical="center"/>
    </xf>
    <xf numFmtId="15" fontId="39" fillId="0" borderId="1" xfId="0" applyNumberFormat="1" applyFont="1" applyBorder="1" applyAlignment="1">
      <alignment horizontal="center" vertical="center" wrapText="1"/>
    </xf>
    <xf numFmtId="1" fontId="39" fillId="4" borderId="1" xfId="0" applyNumberFormat="1" applyFont="1" applyFill="1" applyBorder="1" applyAlignment="1">
      <alignment horizontal="center" vertical="center"/>
    </xf>
    <xf numFmtId="0" fontId="40" fillId="0" borderId="1" xfId="0" applyFont="1" applyBorder="1"/>
    <xf numFmtId="169" fontId="39" fillId="4" borderId="1" xfId="0" applyNumberFormat="1" applyFont="1" applyFill="1" applyBorder="1" applyAlignment="1">
      <alignment vertical="center"/>
    </xf>
    <xf numFmtId="16" fontId="39" fillId="4" borderId="1" xfId="0" applyNumberFormat="1" applyFont="1" applyFill="1" applyBorder="1" applyAlignment="1">
      <alignment horizontal="center" vertical="center" wrapText="1"/>
    </xf>
    <xf numFmtId="3" fontId="39" fillId="4" borderId="1" xfId="0" applyNumberFormat="1" applyFont="1" applyFill="1" applyBorder="1" applyAlignment="1">
      <alignment horizontal="center" vertical="center"/>
    </xf>
    <xf numFmtId="166" fontId="39" fillId="8" borderId="1" xfId="0" applyNumberFormat="1" applyFont="1" applyFill="1" applyBorder="1" applyAlignment="1">
      <alignment horizontal="center" vertical="center"/>
    </xf>
    <xf numFmtId="15" fontId="39" fillId="4" borderId="1" xfId="0" applyNumberFormat="1" applyFont="1" applyFill="1" applyBorder="1" applyAlignment="1">
      <alignment horizontal="center" vertical="center" wrapText="1"/>
    </xf>
    <xf numFmtId="169" fontId="39" fillId="0" borderId="1" xfId="0" applyNumberFormat="1" applyFont="1" applyBorder="1" applyAlignment="1">
      <alignment horizontal="center" vertical="center"/>
    </xf>
    <xf numFmtId="166" fontId="39" fillId="9" borderId="1" xfId="0" applyNumberFormat="1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 wrapText="1"/>
    </xf>
    <xf numFmtId="15" fontId="42" fillId="4" borderId="1" xfId="0" applyNumberFormat="1" applyFont="1" applyFill="1" applyBorder="1" applyAlignment="1">
      <alignment horizontal="center" vertical="center" wrapText="1"/>
    </xf>
    <xf numFmtId="3" fontId="39" fillId="10" borderId="1" xfId="0" applyNumberFormat="1" applyFont="1" applyFill="1" applyBorder="1" applyAlignment="1">
      <alignment horizontal="center" vertical="center"/>
    </xf>
    <xf numFmtId="0" fontId="38" fillId="0" borderId="0" xfId="0" applyFont="1" applyAlignment="1">
      <alignment wrapText="1"/>
    </xf>
    <xf numFmtId="14" fontId="39" fillId="34" borderId="1" xfId="0" applyNumberFormat="1" applyFont="1" applyFill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3" fillId="4" borderId="1" xfId="0" applyNumberFormat="1" applyFont="1" applyFill="1" applyBorder="1" applyAlignment="1">
      <alignment horizontal="center" vertical="center" wrapText="1"/>
    </xf>
    <xf numFmtId="0" fontId="44" fillId="22" borderId="0" xfId="0" applyFont="1" applyFill="1" applyAlignment="1">
      <alignment horizontal="center" vertical="center" wrapText="1"/>
    </xf>
    <xf numFmtId="15" fontId="44" fillId="22" borderId="0" xfId="0" applyNumberFormat="1" applyFont="1" applyFill="1" applyAlignment="1">
      <alignment horizontal="center" vertical="center" wrapText="1"/>
    </xf>
    <xf numFmtId="1" fontId="44" fillId="22" borderId="0" xfId="0" applyNumberFormat="1" applyFont="1" applyFill="1" applyAlignment="1">
      <alignment horizontal="center" vertical="center" wrapText="1"/>
    </xf>
    <xf numFmtId="164" fontId="44" fillId="22" borderId="0" xfId="0" applyNumberFormat="1" applyFont="1" applyFill="1" applyAlignment="1">
      <alignment horizontal="center" vertical="center" wrapText="1"/>
    </xf>
    <xf numFmtId="0" fontId="45" fillId="24" borderId="0" xfId="0" applyFont="1" applyFill="1" applyAlignment="1">
      <alignment horizontal="center" vertical="center" wrapText="1"/>
    </xf>
    <xf numFmtId="0" fontId="46" fillId="23" borderId="0" xfId="0" applyFont="1" applyFill="1"/>
    <xf numFmtId="0" fontId="44" fillId="31" borderId="1" xfId="0" applyFont="1" applyFill="1" applyBorder="1" applyAlignment="1">
      <alignment horizontal="center" vertical="center" wrapText="1"/>
    </xf>
    <xf numFmtId="0" fontId="44" fillId="2" borderId="8" xfId="0" applyFont="1" applyFill="1" applyBorder="1" applyAlignment="1">
      <alignment horizontal="center" vertical="center" wrapText="1"/>
    </xf>
    <xf numFmtId="15" fontId="44" fillId="2" borderId="4" xfId="0" applyNumberFormat="1" applyFont="1" applyFill="1" applyBorder="1" applyAlignment="1">
      <alignment horizontal="center" vertical="center" wrapText="1"/>
    </xf>
    <xf numFmtId="0" fontId="44" fillId="2" borderId="4" xfId="0" applyFont="1" applyFill="1" applyBorder="1" applyAlignment="1">
      <alignment horizontal="center" vertical="center" wrapText="1"/>
    </xf>
    <xf numFmtId="1" fontId="44" fillId="2" borderId="4" xfId="0" applyNumberFormat="1" applyFont="1" applyFill="1" applyBorder="1" applyAlignment="1">
      <alignment horizontal="center" vertical="center" wrapText="1"/>
    </xf>
    <xf numFmtId="164" fontId="44" fillId="2" borderId="4" xfId="0" applyNumberFormat="1" applyFont="1" applyFill="1" applyBorder="1" applyAlignment="1">
      <alignment horizontal="center" vertical="center" wrapText="1"/>
    </xf>
    <xf numFmtId="0" fontId="45" fillId="13" borderId="8" xfId="0" applyFont="1" applyFill="1" applyBorder="1" applyAlignment="1">
      <alignment horizontal="center" vertical="center" wrapText="1"/>
    </xf>
    <xf numFmtId="0" fontId="45" fillId="13" borderId="4" xfId="0" applyFont="1" applyFill="1" applyBorder="1" applyAlignment="1">
      <alignment horizontal="center" vertical="center" wrapText="1"/>
    </xf>
    <xf numFmtId="0" fontId="46" fillId="0" borderId="0" xfId="0" applyFont="1"/>
    <xf numFmtId="0" fontId="44" fillId="2" borderId="1" xfId="0" applyFont="1" applyFill="1" applyBorder="1" applyAlignment="1">
      <alignment horizontal="center" vertical="center" wrapText="1"/>
    </xf>
    <xf numFmtId="0" fontId="44" fillId="2" borderId="2" xfId="0" applyFont="1" applyFill="1" applyBorder="1" applyAlignment="1">
      <alignment horizontal="center" vertical="center" wrapText="1"/>
    </xf>
    <xf numFmtId="0" fontId="44" fillId="32" borderId="1" xfId="0" applyFont="1" applyFill="1" applyBorder="1" applyAlignment="1">
      <alignment horizontal="center" vertical="center" wrapText="1"/>
    </xf>
    <xf numFmtId="0" fontId="47" fillId="4" borderId="1" xfId="0" applyFont="1" applyFill="1" applyBorder="1" applyAlignment="1">
      <alignment horizontal="center" vertical="center"/>
    </xf>
    <xf numFmtId="15" fontId="47" fillId="4" borderId="1" xfId="0" applyNumberFormat="1" applyFont="1" applyFill="1" applyBorder="1" applyAlignment="1">
      <alignment horizontal="center" vertical="center"/>
    </xf>
    <xf numFmtId="1" fontId="48" fillId="4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0" fontId="48" fillId="4" borderId="1" xfId="0" applyFont="1" applyFill="1" applyBorder="1" applyAlignment="1">
      <alignment horizontal="center" vertical="center"/>
    </xf>
    <xf numFmtId="0" fontId="47" fillId="14" borderId="1" xfId="0" applyFont="1" applyFill="1" applyBorder="1" applyAlignment="1">
      <alignment horizontal="center" vertical="center"/>
    </xf>
    <xf numFmtId="0" fontId="49" fillId="4" borderId="1" xfId="0" applyFont="1" applyFill="1" applyBorder="1" applyAlignment="1">
      <alignment horizontal="center" vertical="center"/>
    </xf>
    <xf numFmtId="0" fontId="50" fillId="4" borderId="1" xfId="0" applyFont="1" applyFill="1" applyBorder="1" applyAlignment="1">
      <alignment horizontal="center" vertical="center" wrapText="1"/>
    </xf>
    <xf numFmtId="3" fontId="47" fillId="4" borderId="1" xfId="0" applyNumberFormat="1" applyFont="1" applyFill="1" applyBorder="1" applyAlignment="1">
      <alignment horizontal="center" vertical="center"/>
    </xf>
    <xf numFmtId="167" fontId="51" fillId="4" borderId="1" xfId="0" applyNumberFormat="1" applyFont="1" applyFill="1" applyBorder="1" applyAlignment="1">
      <alignment horizontal="center" vertical="center"/>
    </xf>
    <xf numFmtId="169" fontId="48" fillId="4" borderId="1" xfId="0" applyNumberFormat="1" applyFont="1" applyFill="1" applyBorder="1" applyAlignment="1">
      <alignment horizontal="center" vertical="center" wrapText="1"/>
    </xf>
    <xf numFmtId="169" fontId="52" fillId="6" borderId="1" xfId="0" applyNumberFormat="1" applyFont="1" applyFill="1" applyBorder="1" applyAlignment="1">
      <alignment horizontal="center" vertical="center"/>
    </xf>
    <xf numFmtId="10" fontId="51" fillId="4" borderId="1" xfId="0" applyNumberFormat="1" applyFont="1" applyFill="1" applyBorder="1" applyAlignment="1">
      <alignment horizontal="center" vertical="center"/>
    </xf>
    <xf numFmtId="9" fontId="51" fillId="4" borderId="1" xfId="0" applyNumberFormat="1" applyFont="1" applyFill="1" applyBorder="1" applyAlignment="1">
      <alignment horizontal="center" vertical="center"/>
    </xf>
    <xf numFmtId="3" fontId="51" fillId="4" borderId="1" xfId="0" applyNumberFormat="1" applyFont="1" applyFill="1" applyBorder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/>
    </xf>
    <xf numFmtId="169" fontId="47" fillId="4" borderId="1" xfId="0" applyNumberFormat="1" applyFont="1" applyFill="1" applyBorder="1" applyAlignment="1">
      <alignment horizontal="center" vertical="center"/>
    </xf>
    <xf numFmtId="9" fontId="47" fillId="4" borderId="1" xfId="0" applyNumberFormat="1" applyFont="1" applyFill="1" applyBorder="1" applyAlignment="1">
      <alignment horizontal="center" vertical="center"/>
    </xf>
    <xf numFmtId="1" fontId="51" fillId="4" borderId="1" xfId="0" applyNumberFormat="1" applyFont="1" applyFill="1" applyBorder="1" applyAlignment="1">
      <alignment horizontal="center" vertical="center" wrapText="1"/>
    </xf>
    <xf numFmtId="9" fontId="51" fillId="4" borderId="1" xfId="0" applyNumberFormat="1" applyFont="1" applyFill="1" applyBorder="1" applyAlignment="1">
      <alignment horizontal="center" vertical="center" wrapText="1"/>
    </xf>
    <xf numFmtId="0" fontId="47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15" fontId="46" fillId="0" borderId="1" xfId="0" applyNumberFormat="1" applyFont="1" applyBorder="1" applyAlignment="1">
      <alignment horizontal="center" vertical="center" wrapText="1"/>
    </xf>
    <xf numFmtId="14" fontId="46" fillId="0" borderId="1" xfId="0" applyNumberFormat="1" applyFont="1" applyBorder="1" applyAlignment="1">
      <alignment horizontal="center" vertical="center"/>
    </xf>
    <xf numFmtId="0" fontId="46" fillId="0" borderId="1" xfId="0" applyFont="1" applyBorder="1" applyAlignment="1">
      <alignment horizontal="center" vertical="center"/>
    </xf>
    <xf numFmtId="0" fontId="46" fillId="0" borderId="1" xfId="0" applyFont="1" applyBorder="1"/>
    <xf numFmtId="0" fontId="54" fillId="4" borderId="1" xfId="0" applyFont="1" applyFill="1" applyBorder="1" applyAlignment="1">
      <alignment horizontal="center" vertical="center"/>
    </xf>
    <xf numFmtId="169" fontId="55" fillId="6" borderId="1" xfId="0" applyNumberFormat="1" applyFont="1" applyFill="1" applyBorder="1" applyAlignment="1">
      <alignment horizontal="center" vertical="center"/>
    </xf>
    <xf numFmtId="0" fontId="46" fillId="0" borderId="0" xfId="0" applyFont="1" applyAlignment="1">
      <alignment wrapText="1"/>
    </xf>
    <xf numFmtId="0" fontId="51" fillId="0" borderId="0" xfId="0" applyFont="1"/>
    <xf numFmtId="0" fontId="56" fillId="0" borderId="1" xfId="0" applyFont="1" applyBorder="1" applyAlignment="1">
      <alignment horizontal="center" vertical="center"/>
    </xf>
    <xf numFmtId="0" fontId="44" fillId="12" borderId="5" xfId="0" applyFont="1" applyFill="1" applyBorder="1" applyAlignment="1">
      <alignment horizontal="center" vertical="center"/>
    </xf>
    <xf numFmtId="2" fontId="45" fillId="24" borderId="0" xfId="0" applyNumberFormat="1" applyFont="1" applyFill="1" applyAlignment="1">
      <alignment horizontal="center" vertical="center" wrapText="1"/>
    </xf>
    <xf numFmtId="15" fontId="44" fillId="22" borderId="0" xfId="0" applyNumberFormat="1" applyFont="1" applyFill="1" applyAlignment="1">
      <alignment horizontal="center" vertical="center"/>
    </xf>
    <xf numFmtId="0" fontId="57" fillId="23" borderId="0" xfId="0" applyFont="1" applyFill="1"/>
    <xf numFmtId="14" fontId="57" fillId="23" borderId="0" xfId="0" applyNumberFormat="1" applyFont="1" applyFill="1"/>
    <xf numFmtId="0" fontId="46" fillId="23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0" fontId="58" fillId="0" borderId="1" xfId="0" applyFont="1" applyBorder="1"/>
    <xf numFmtId="15" fontId="58" fillId="0" borderId="1" xfId="0" applyNumberFormat="1" applyFont="1" applyBorder="1" applyAlignment="1">
      <alignment horizontal="center" vertical="center"/>
    </xf>
    <xf numFmtId="15" fontId="59" fillId="12" borderId="5" xfId="0" applyNumberFormat="1" applyFont="1" applyFill="1" applyBorder="1" applyAlignment="1">
      <alignment horizontal="center" vertical="center"/>
    </xf>
    <xf numFmtId="15" fontId="58" fillId="0" borderId="5" xfId="0" applyNumberFormat="1" applyFont="1" applyBorder="1" applyAlignment="1">
      <alignment horizontal="center" vertical="center"/>
    </xf>
    <xf numFmtId="0" fontId="58" fillId="0" borderId="6" xfId="0" applyFont="1" applyBorder="1"/>
    <xf numFmtId="15" fontId="58" fillId="7" borderId="6" xfId="0" applyNumberFormat="1" applyFont="1" applyFill="1" applyBorder="1" applyAlignment="1">
      <alignment horizontal="center" vertical="center"/>
    </xf>
    <xf numFmtId="15" fontId="58" fillId="7" borderId="7" xfId="0" applyNumberFormat="1" applyFont="1" applyFill="1" applyBorder="1" applyAlignment="1">
      <alignment horizontal="center" vertical="center"/>
    </xf>
    <xf numFmtId="15" fontId="44" fillId="2" borderId="0" xfId="0" applyNumberFormat="1" applyFont="1" applyFill="1" applyAlignment="1">
      <alignment horizontal="center" vertical="center"/>
    </xf>
    <xf numFmtId="0" fontId="46" fillId="0" borderId="0" xfId="0" applyFont="1" applyAlignment="1">
      <alignment horizontal="center" vertical="center" wrapText="1"/>
    </xf>
    <xf numFmtId="2" fontId="45" fillId="13" borderId="4" xfId="0" applyNumberFormat="1" applyFont="1" applyFill="1" applyBorder="1" applyAlignment="1">
      <alignment horizontal="center" vertical="center" wrapText="1"/>
    </xf>
    <xf numFmtId="0" fontId="44" fillId="2" borderId="0" xfId="0" applyFont="1" applyFill="1" applyAlignment="1">
      <alignment horizontal="center" vertical="center" wrapText="1"/>
    </xf>
    <xf numFmtId="0" fontId="46" fillId="0" borderId="0" xfId="0" applyFont="1" applyAlignment="1">
      <alignment horizontal="center"/>
    </xf>
    <xf numFmtId="15" fontId="44" fillId="2" borderId="1" xfId="0" applyNumberFormat="1" applyFont="1" applyFill="1" applyBorder="1" applyAlignment="1">
      <alignment horizontal="center" vertical="center" wrapText="1"/>
    </xf>
    <xf numFmtId="14" fontId="44" fillId="2" borderId="1" xfId="0" applyNumberFormat="1" applyFont="1" applyFill="1" applyBorder="1" applyAlignment="1">
      <alignment horizontal="center" vertical="center" wrapText="1"/>
    </xf>
    <xf numFmtId="0" fontId="44" fillId="2" borderId="5" xfId="0" applyFont="1" applyFill="1" applyBorder="1" applyAlignment="1">
      <alignment horizontal="center" vertical="center" wrapText="1"/>
    </xf>
    <xf numFmtId="2" fontId="47" fillId="4" borderId="1" xfId="0" applyNumberFormat="1" applyFont="1" applyFill="1" applyBorder="1" applyAlignment="1">
      <alignment horizontal="center" vertical="center"/>
    </xf>
    <xf numFmtId="16" fontId="47" fillId="4" borderId="1" xfId="0" applyNumberFormat="1" applyFont="1" applyFill="1" applyBorder="1" applyAlignment="1">
      <alignment horizontal="center" vertical="center"/>
    </xf>
    <xf numFmtId="0" fontId="47" fillId="4" borderId="0" xfId="0" applyFont="1" applyFill="1" applyAlignment="1">
      <alignment horizontal="center" vertical="center"/>
    </xf>
    <xf numFmtId="14" fontId="51" fillId="4" borderId="1" xfId="0" applyNumberFormat="1" applyFont="1" applyFill="1" applyBorder="1" applyAlignment="1">
      <alignment horizontal="center" vertical="center" wrapText="1"/>
    </xf>
    <xf numFmtId="9" fontId="51" fillId="4" borderId="0" xfId="0" applyNumberFormat="1" applyFont="1" applyFill="1" applyAlignment="1">
      <alignment horizontal="center" vertical="center" wrapText="1"/>
    </xf>
    <xf numFmtId="0" fontId="46" fillId="0" borderId="2" xfId="0" applyFont="1" applyBorder="1" applyAlignment="1">
      <alignment horizontal="center" vertical="center" wrapText="1"/>
    </xf>
    <xf numFmtId="16" fontId="60" fillId="4" borderId="1" xfId="0" applyNumberFormat="1" applyFont="1" applyFill="1" applyBorder="1" applyAlignment="1">
      <alignment horizontal="center" vertical="center"/>
    </xf>
    <xf numFmtId="169" fontId="47" fillId="4" borderId="4" xfId="0" applyNumberFormat="1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 wrapText="1"/>
    </xf>
    <xf numFmtId="0" fontId="62" fillId="4" borderId="1" xfId="0" applyFont="1" applyFill="1" applyBorder="1" applyAlignment="1">
      <alignment horizontal="center" vertical="center" wrapText="1"/>
    </xf>
    <xf numFmtId="0" fontId="50" fillId="4" borderId="1" xfId="0" applyFont="1" applyFill="1" applyBorder="1" applyAlignment="1">
      <alignment horizontal="center" vertical="center"/>
    </xf>
    <xf numFmtId="0" fontId="63" fillId="4" borderId="1" xfId="0" applyFont="1" applyFill="1" applyBorder="1" applyAlignment="1">
      <alignment horizontal="center" vertical="center"/>
    </xf>
    <xf numFmtId="0" fontId="53" fillId="4" borderId="1" xfId="0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vertical="center"/>
    </xf>
    <xf numFmtId="0" fontId="49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 wrapText="1"/>
    </xf>
    <xf numFmtId="2" fontId="47" fillId="4" borderId="1" xfId="0" applyNumberFormat="1" applyFont="1" applyFill="1" applyBorder="1" applyAlignment="1">
      <alignment horizontal="center" vertical="center" wrapText="1"/>
    </xf>
    <xf numFmtId="3" fontId="47" fillId="4" borderId="1" xfId="0" applyNumberFormat="1" applyFont="1" applyFill="1" applyBorder="1" applyAlignment="1">
      <alignment horizontal="center" vertical="center" wrapText="1"/>
    </xf>
    <xf numFmtId="0" fontId="47" fillId="4" borderId="0" xfId="0" applyFont="1" applyFill="1" applyAlignment="1">
      <alignment horizontal="center" vertical="center" wrapText="1"/>
    </xf>
    <xf numFmtId="169" fontId="47" fillId="4" borderId="1" xfId="0" applyNumberFormat="1" applyFont="1" applyFill="1" applyBorder="1" applyAlignment="1">
      <alignment horizontal="center" vertical="center" wrapText="1"/>
    </xf>
    <xf numFmtId="1" fontId="47" fillId="4" borderId="1" xfId="0" applyNumberFormat="1" applyFont="1" applyFill="1" applyBorder="1" applyAlignment="1">
      <alignment horizontal="center" vertical="center"/>
    </xf>
    <xf numFmtId="15" fontId="51" fillId="8" borderId="1" xfId="0" applyNumberFormat="1" applyFont="1" applyFill="1" applyBorder="1" applyAlignment="1">
      <alignment horizontal="center" vertical="center" wrapText="1"/>
    </xf>
    <xf numFmtId="14" fontId="46" fillId="0" borderId="0" xfId="0" applyNumberFormat="1" applyFont="1"/>
    <xf numFmtId="2" fontId="46" fillId="0" borderId="0" xfId="0" applyNumberFormat="1" applyFont="1"/>
    <xf numFmtId="14" fontId="46" fillId="0" borderId="1" xfId="0" applyNumberFormat="1" applyFont="1" applyBorder="1" applyAlignment="1">
      <alignment horizontal="center" vertical="center" wrapText="1"/>
    </xf>
    <xf numFmtId="0" fontId="44" fillId="2" borderId="11" xfId="0" applyFont="1" applyFill="1" applyBorder="1" applyAlignment="1">
      <alignment horizontal="center" vertical="center" wrapText="1"/>
    </xf>
    <xf numFmtId="9" fontId="51" fillId="4" borderId="11" xfId="0" applyNumberFormat="1" applyFont="1" applyFill="1" applyBorder="1" applyAlignment="1">
      <alignment horizontal="center" vertical="center" wrapText="1"/>
    </xf>
    <xf numFmtId="1" fontId="51" fillId="4" borderId="5" xfId="0" applyNumberFormat="1" applyFont="1" applyFill="1" applyBorder="1" applyAlignment="1">
      <alignment horizontal="center" vertical="center" wrapText="1"/>
    </xf>
    <xf numFmtId="0" fontId="64" fillId="0" borderId="0" xfId="0" applyFont="1"/>
    <xf numFmtId="0" fontId="67" fillId="22" borderId="0" xfId="0" applyFont="1" applyFill="1" applyAlignment="1">
      <alignment horizontal="center" vertical="center" wrapText="1"/>
    </xf>
    <xf numFmtId="0" fontId="68" fillId="23" borderId="0" xfId="0" applyFont="1" applyFill="1"/>
    <xf numFmtId="15" fontId="66" fillId="22" borderId="0" xfId="0" applyNumberFormat="1" applyFont="1" applyFill="1" applyAlignment="1">
      <alignment horizontal="center" vertical="center" wrapText="1"/>
    </xf>
    <xf numFmtId="0" fontId="66" fillId="22" borderId="0" xfId="0" applyFont="1" applyFill="1" applyAlignment="1">
      <alignment horizontal="center" vertical="center" wrapText="1"/>
    </xf>
    <xf numFmtId="0" fontId="68" fillId="0" borderId="0" xfId="0" applyFont="1"/>
    <xf numFmtId="0" fontId="67" fillId="23" borderId="0" xfId="0" applyFont="1" applyFill="1" applyAlignment="1">
      <alignment horizontal="center" vertical="center" wrapText="1"/>
    </xf>
    <xf numFmtId="0" fontId="69" fillId="0" borderId="1" xfId="0" applyFont="1" applyBorder="1"/>
    <xf numFmtId="0" fontId="69" fillId="4" borderId="1" xfId="0" applyFont="1" applyFill="1" applyBorder="1"/>
    <xf numFmtId="0" fontId="69" fillId="0" borderId="6" xfId="0" applyFont="1" applyBorder="1"/>
    <xf numFmtId="0" fontId="66" fillId="31" borderId="1" xfId="0" applyFont="1" applyFill="1" applyBorder="1" applyAlignment="1">
      <alignment horizontal="center" vertical="center" wrapText="1"/>
    </xf>
    <xf numFmtId="0" fontId="67" fillId="2" borderId="4" xfId="0" applyFont="1" applyFill="1" applyBorder="1" applyAlignment="1">
      <alignment horizontal="center" vertical="center" wrapText="1"/>
    </xf>
    <xf numFmtId="0" fontId="67" fillId="2" borderId="9" xfId="0" applyFont="1" applyFill="1" applyBorder="1" applyAlignment="1">
      <alignment horizontal="center" vertical="center" wrapText="1"/>
    </xf>
    <xf numFmtId="15" fontId="66" fillId="2" borderId="4" xfId="0" applyNumberFormat="1" applyFont="1" applyFill="1" applyBorder="1" applyAlignment="1">
      <alignment horizontal="center" vertical="center" wrapText="1"/>
    </xf>
    <xf numFmtId="0" fontId="66" fillId="2" borderId="4" xfId="0" applyFont="1" applyFill="1" applyBorder="1" applyAlignment="1">
      <alignment horizontal="center" vertical="center" wrapText="1"/>
    </xf>
    <xf numFmtId="0" fontId="66" fillId="2" borderId="1" xfId="0" applyFont="1" applyFill="1" applyBorder="1" applyAlignment="1">
      <alignment horizontal="center" vertical="center" wrapText="1"/>
    </xf>
    <xf numFmtId="0" fontId="67" fillId="2" borderId="1" xfId="0" applyFont="1" applyFill="1" applyBorder="1" applyAlignment="1">
      <alignment horizontal="center" vertical="center" wrapText="1"/>
    </xf>
    <xf numFmtId="0" fontId="66" fillId="32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/>
    </xf>
    <xf numFmtId="0" fontId="70" fillId="0" borderId="1" xfId="0" applyFont="1" applyBorder="1" applyAlignment="1">
      <alignment vertical="center" wrapText="1"/>
    </xf>
    <xf numFmtId="0" fontId="64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64" fillId="4" borderId="1" xfId="0" applyFont="1" applyFill="1" applyBorder="1" applyAlignment="1">
      <alignment horizontal="center" vertical="center"/>
    </xf>
    <xf numFmtId="169" fontId="64" fillId="7" borderId="1" xfId="0" applyNumberFormat="1" applyFont="1" applyFill="1" applyBorder="1" applyAlignment="1">
      <alignment horizontal="center" vertical="center" wrapText="1"/>
    </xf>
    <xf numFmtId="169" fontId="64" fillId="0" borderId="1" xfId="0" applyNumberFormat="1" applyFont="1" applyBorder="1" applyAlignment="1">
      <alignment horizontal="center" vertical="center" wrapText="1"/>
    </xf>
    <xf numFmtId="177" fontId="64" fillId="0" borderId="1" xfId="0" applyNumberFormat="1" applyFont="1" applyBorder="1" applyAlignment="1">
      <alignment horizontal="center" vertical="center" wrapText="1"/>
    </xf>
    <xf numFmtId="169" fontId="64" fillId="16" borderId="1" xfId="0" applyNumberFormat="1" applyFont="1" applyFill="1" applyBorder="1" applyAlignment="1">
      <alignment horizontal="center" vertical="center" wrapText="1"/>
    </xf>
    <xf numFmtId="169" fontId="64" fillId="0" borderId="5" xfId="0" applyNumberFormat="1" applyFont="1" applyBorder="1" applyAlignment="1">
      <alignment horizontal="center" vertical="center" wrapText="1"/>
    </xf>
    <xf numFmtId="168" fontId="64" fillId="0" borderId="1" xfId="0" applyNumberFormat="1" applyFont="1" applyBorder="1" applyAlignment="1">
      <alignment horizontal="center" vertical="center" wrapText="1"/>
    </xf>
    <xf numFmtId="168" fontId="69" fillId="0" borderId="1" xfId="0" applyNumberFormat="1" applyFont="1" applyBorder="1" applyAlignment="1">
      <alignment horizontal="center" vertical="center"/>
    </xf>
    <xf numFmtId="9" fontId="64" fillId="0" borderId="1" xfId="0" applyNumberFormat="1" applyFont="1" applyBorder="1" applyAlignment="1">
      <alignment horizontal="center" vertical="center" wrapText="1"/>
    </xf>
    <xf numFmtId="0" fontId="64" fillId="0" borderId="2" xfId="0" applyFont="1" applyBorder="1" applyAlignment="1">
      <alignment horizontal="center" vertical="center" wrapText="1"/>
    </xf>
    <xf numFmtId="10" fontId="64" fillId="0" borderId="1" xfId="0" applyNumberFormat="1" applyFont="1" applyBorder="1" applyAlignment="1">
      <alignment horizontal="center" vertical="center" wrapText="1"/>
    </xf>
    <xf numFmtId="15" fontId="64" fillId="0" borderId="1" xfId="0" applyNumberFormat="1" applyFont="1" applyBorder="1" applyAlignment="1">
      <alignment horizontal="center" vertical="center" wrapText="1"/>
    </xf>
    <xf numFmtId="0" fontId="64" fillId="0" borderId="0" xfId="0" applyFont="1" applyAlignment="1">
      <alignment horizontal="center" vertical="center" wrapText="1"/>
    </xf>
    <xf numFmtId="173" fontId="64" fillId="0" borderId="1" xfId="0" applyNumberFormat="1" applyFont="1" applyBorder="1" applyAlignment="1">
      <alignment horizontal="center" vertical="center" wrapText="1"/>
    </xf>
    <xf numFmtId="169" fontId="64" fillId="4" borderId="2" xfId="0" applyNumberFormat="1" applyFont="1" applyFill="1" applyBorder="1" applyAlignment="1">
      <alignment horizontal="center" vertical="center" wrapText="1"/>
    </xf>
    <xf numFmtId="168" fontId="64" fillId="4" borderId="1" xfId="0" applyNumberFormat="1" applyFont="1" applyFill="1" applyBorder="1" applyAlignment="1">
      <alignment horizontal="center" vertical="center" wrapText="1"/>
    </xf>
    <xf numFmtId="168" fontId="64" fillId="4" borderId="1" xfId="0" applyNumberFormat="1" applyFont="1" applyFill="1" applyBorder="1" applyAlignment="1">
      <alignment horizontal="center" vertical="center"/>
    </xf>
    <xf numFmtId="9" fontId="64" fillId="4" borderId="1" xfId="0" applyNumberFormat="1" applyFont="1" applyFill="1" applyBorder="1" applyAlignment="1">
      <alignment horizontal="center" vertical="center"/>
    </xf>
    <xf numFmtId="1" fontId="64" fillId="4" borderId="1" xfId="0" applyNumberFormat="1" applyFont="1" applyFill="1" applyBorder="1" applyAlignment="1">
      <alignment horizontal="center" vertical="center" wrapText="1"/>
    </xf>
    <xf numFmtId="9" fontId="64" fillId="4" borderId="1" xfId="0" applyNumberFormat="1" applyFont="1" applyFill="1" applyBorder="1" applyAlignment="1">
      <alignment horizontal="center" vertical="center" wrapText="1"/>
    </xf>
    <xf numFmtId="15" fontId="64" fillId="4" borderId="1" xfId="0" applyNumberFormat="1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5" fontId="68" fillId="0" borderId="1" xfId="0" applyNumberFormat="1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14" fontId="68" fillId="0" borderId="1" xfId="0" applyNumberFormat="1" applyFont="1" applyBorder="1" applyAlignment="1">
      <alignment horizontal="center" vertical="center"/>
    </xf>
    <xf numFmtId="15" fontId="68" fillId="0" borderId="1" xfId="0" applyNumberFormat="1" applyFont="1" applyBorder="1" applyAlignment="1">
      <alignment horizontal="center" vertical="center"/>
    </xf>
    <xf numFmtId="0" fontId="68" fillId="0" borderId="1" xfId="0" applyFont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169" fontId="64" fillId="5" borderId="1" xfId="0" applyNumberFormat="1" applyFont="1" applyFill="1" applyBorder="1" applyAlignment="1">
      <alignment horizontal="center" vertical="center" wrapText="1"/>
    </xf>
    <xf numFmtId="0" fontId="68" fillId="0" borderId="1" xfId="0" applyFont="1" applyBorder="1"/>
    <xf numFmtId="0" fontId="69" fillId="0" borderId="1" xfId="0" applyFont="1" applyBorder="1" applyAlignment="1">
      <alignment horizontal="center" vertical="center" wrapText="1"/>
    </xf>
    <xf numFmtId="169" fontId="64" fillId="4" borderId="1" xfId="0" applyNumberFormat="1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right" vertical="center" wrapText="1"/>
    </xf>
    <xf numFmtId="0" fontId="68" fillId="0" borderId="6" xfId="0" applyFont="1" applyBorder="1" applyAlignment="1">
      <alignment horizontal="center" vertical="center" wrapText="1"/>
    </xf>
    <xf numFmtId="14" fontId="68" fillId="0" borderId="6" xfId="0" applyNumberFormat="1" applyFont="1" applyBorder="1" applyAlignment="1">
      <alignment horizontal="center" vertical="center"/>
    </xf>
    <xf numFmtId="0" fontId="68" fillId="0" borderId="6" xfId="0" applyFont="1" applyBorder="1" applyAlignment="1">
      <alignment horizontal="center" vertical="center"/>
    </xf>
    <xf numFmtId="0" fontId="68" fillId="0" borderId="11" xfId="0" applyFont="1" applyBorder="1" applyAlignment="1">
      <alignment horizontal="center" vertical="center" wrapText="1"/>
    </xf>
    <xf numFmtId="14" fontId="68" fillId="0" borderId="11" xfId="0" applyNumberFormat="1" applyFont="1" applyBorder="1" applyAlignment="1">
      <alignment horizontal="center" vertical="center"/>
    </xf>
    <xf numFmtId="0" fontId="68" fillId="0" borderId="11" xfId="0" applyFont="1" applyBorder="1" applyAlignment="1">
      <alignment horizontal="center" vertical="center"/>
    </xf>
    <xf numFmtId="15" fontId="68" fillId="0" borderId="11" xfId="0" applyNumberFormat="1" applyFont="1" applyBorder="1" applyAlignment="1">
      <alignment horizontal="center" vertical="center" wrapText="1"/>
    </xf>
    <xf numFmtId="15" fontId="68" fillId="0" borderId="11" xfId="0" applyNumberFormat="1" applyFont="1" applyBorder="1" applyAlignment="1">
      <alignment horizontal="center" vertical="center"/>
    </xf>
    <xf numFmtId="0" fontId="68" fillId="0" borderId="11" xfId="0" applyFont="1" applyBorder="1" applyAlignment="1">
      <alignment wrapText="1"/>
    </xf>
    <xf numFmtId="0" fontId="68" fillId="0" borderId="11" xfId="0" applyFont="1" applyBorder="1"/>
    <xf numFmtId="169" fontId="64" fillId="11" borderId="1" xfId="0" applyNumberFormat="1" applyFont="1" applyFill="1" applyBorder="1" applyAlignment="1">
      <alignment horizontal="center" vertical="center" wrapText="1"/>
    </xf>
    <xf numFmtId="15" fontId="68" fillId="0" borderId="11" xfId="0" applyNumberFormat="1" applyFont="1" applyBorder="1" applyAlignment="1">
      <alignment wrapText="1"/>
    </xf>
    <xf numFmtId="15" fontId="68" fillId="0" borderId="11" xfId="0" applyNumberFormat="1" applyFont="1" applyBorder="1"/>
    <xf numFmtId="9" fontId="68" fillId="0" borderId="0" xfId="0" applyNumberFormat="1" applyFont="1"/>
    <xf numFmtId="0" fontId="68" fillId="0" borderId="0" xfId="0" applyFont="1" applyAlignment="1">
      <alignment wrapText="1"/>
    </xf>
    <xf numFmtId="0" fontId="65" fillId="0" borderId="1" xfId="0" applyFont="1" applyBorder="1" applyAlignment="1">
      <alignment horizontal="center" vertical="center" wrapText="1"/>
    </xf>
    <xf numFmtId="0" fontId="66" fillId="12" borderId="5" xfId="0" applyFont="1" applyFill="1" applyBorder="1" applyAlignment="1">
      <alignment horizontal="center" vertical="center" wrapText="1"/>
    </xf>
    <xf numFmtId="0" fontId="64" fillId="0" borderId="0" xfId="0" applyFont="1" applyAlignment="1">
      <alignment wrapText="1"/>
    </xf>
    <xf numFmtId="15" fontId="69" fillId="17" borderId="1" xfId="0" applyNumberFormat="1" applyFont="1" applyFill="1" applyBorder="1" applyAlignment="1">
      <alignment horizontal="center" vertical="center" wrapText="1"/>
    </xf>
    <xf numFmtId="15" fontId="69" fillId="17" borderId="5" xfId="0" applyNumberFormat="1" applyFont="1" applyFill="1" applyBorder="1" applyAlignment="1">
      <alignment horizontal="center" vertical="center" wrapText="1"/>
    </xf>
    <xf numFmtId="0" fontId="68" fillId="23" borderId="0" xfId="0" applyFont="1" applyFill="1" applyAlignment="1">
      <alignment wrapText="1"/>
    </xf>
    <xf numFmtId="15" fontId="69" fillId="4" borderId="1" xfId="0" applyNumberFormat="1" applyFont="1" applyFill="1" applyBorder="1" applyAlignment="1">
      <alignment horizontal="center" vertical="center" wrapText="1"/>
    </xf>
    <xf numFmtId="15" fontId="69" fillId="4" borderId="5" xfId="0" applyNumberFormat="1" applyFont="1" applyFill="1" applyBorder="1" applyAlignment="1">
      <alignment horizontal="center" vertical="center" wrapText="1"/>
    </xf>
    <xf numFmtId="15" fontId="69" fillId="0" borderId="1" xfId="0" applyNumberFormat="1" applyFont="1" applyBorder="1" applyAlignment="1">
      <alignment horizontal="center" vertical="center" wrapText="1"/>
    </xf>
    <xf numFmtId="15" fontId="69" fillId="0" borderId="5" xfId="0" applyNumberFormat="1" applyFont="1" applyBorder="1" applyAlignment="1">
      <alignment horizontal="center" vertical="center" wrapText="1"/>
    </xf>
    <xf numFmtId="15" fontId="69" fillId="7" borderId="6" xfId="0" applyNumberFormat="1" applyFont="1" applyFill="1" applyBorder="1" applyAlignment="1">
      <alignment horizontal="center" vertical="center" wrapText="1"/>
    </xf>
    <xf numFmtId="15" fontId="69" fillId="7" borderId="7" xfId="0" applyNumberFormat="1" applyFont="1" applyFill="1" applyBorder="1" applyAlignment="1">
      <alignment horizontal="center" vertical="center" wrapText="1"/>
    </xf>
    <xf numFmtId="176" fontId="64" fillId="0" borderId="1" xfId="0" applyNumberFormat="1" applyFont="1" applyBorder="1" applyAlignment="1">
      <alignment horizontal="center" vertical="center" wrapText="1"/>
    </xf>
    <xf numFmtId="1" fontId="64" fillId="0" borderId="1" xfId="0" applyNumberFormat="1" applyFont="1" applyBorder="1" applyAlignment="1">
      <alignment horizontal="center" vertical="center" wrapText="1"/>
    </xf>
    <xf numFmtId="0" fontId="68" fillId="0" borderId="0" xfId="0" applyFont="1" applyAlignment="1">
      <alignment horizontal="center" vertical="center" wrapText="1"/>
    </xf>
    <xf numFmtId="0" fontId="68" fillId="23" borderId="0" xfId="0" applyFont="1" applyFill="1" applyAlignment="1">
      <alignment horizontal="center" vertical="center" wrapText="1"/>
    </xf>
    <xf numFmtId="0" fontId="71" fillId="22" borderId="0" xfId="0" applyFont="1" applyFill="1" applyAlignment="1">
      <alignment horizontal="center" vertical="center" wrapText="1"/>
    </xf>
    <xf numFmtId="169" fontId="56" fillId="26" borderId="0" xfId="0" applyNumberFormat="1" applyFont="1" applyFill="1" applyAlignment="1">
      <alignment horizontal="center" vertical="center" wrapText="1"/>
    </xf>
    <xf numFmtId="0" fontId="56" fillId="26" borderId="0" xfId="0" applyFont="1" applyFill="1" applyAlignment="1">
      <alignment horizontal="center" vertical="center" wrapText="1"/>
    </xf>
    <xf numFmtId="0" fontId="72" fillId="4" borderId="0" xfId="0" applyFont="1" applyFill="1" applyAlignment="1">
      <alignment horizontal="center" vertical="center" wrapText="1"/>
    </xf>
    <xf numFmtId="0" fontId="52" fillId="0" borderId="5" xfId="0" applyFont="1" applyBorder="1" applyAlignment="1">
      <alignment horizontal="center" vertical="center"/>
    </xf>
    <xf numFmtId="15" fontId="58" fillId="21" borderId="1" xfId="0" applyNumberFormat="1" applyFont="1" applyFill="1" applyBorder="1" applyAlignment="1">
      <alignment horizontal="center" vertical="center"/>
    </xf>
    <xf numFmtId="15" fontId="73" fillId="12" borderId="5" xfId="0" applyNumberFormat="1" applyFont="1" applyFill="1" applyBorder="1" applyAlignment="1">
      <alignment horizontal="center" vertical="center"/>
    </xf>
    <xf numFmtId="0" fontId="58" fillId="4" borderId="1" xfId="0" applyFont="1" applyFill="1" applyBorder="1"/>
    <xf numFmtId="15" fontId="58" fillId="4" borderId="1" xfId="0" applyNumberFormat="1" applyFont="1" applyFill="1" applyBorder="1" applyAlignment="1">
      <alignment horizontal="center" vertical="center"/>
    </xf>
    <xf numFmtId="15" fontId="73" fillId="4" borderId="5" xfId="0" applyNumberFormat="1" applyFont="1" applyFill="1" applyBorder="1" applyAlignment="1">
      <alignment horizontal="center" vertical="center"/>
    </xf>
    <xf numFmtId="0" fontId="71" fillId="2" borderId="4" xfId="0" applyFont="1" applyFill="1" applyBorder="1" applyAlignment="1">
      <alignment horizontal="center" vertical="center" wrapText="1"/>
    </xf>
    <xf numFmtId="0" fontId="56" fillId="17" borderId="4" xfId="0" applyFont="1" applyFill="1" applyBorder="1" applyAlignment="1">
      <alignment horizontal="center" vertical="center" wrapText="1"/>
    </xf>
    <xf numFmtId="169" fontId="56" fillId="17" borderId="4" xfId="0" applyNumberFormat="1" applyFont="1" applyFill="1" applyBorder="1" applyAlignment="1">
      <alignment horizontal="center" vertical="center" wrapText="1"/>
    </xf>
    <xf numFmtId="0" fontId="44" fillId="29" borderId="4" xfId="0" applyFont="1" applyFill="1" applyBorder="1" applyAlignment="1">
      <alignment horizontal="center" vertical="center" wrapText="1"/>
    </xf>
    <xf numFmtId="0" fontId="71" fillId="2" borderId="8" xfId="0" applyFont="1" applyFill="1" applyBorder="1" applyAlignment="1">
      <alignment horizontal="center" vertical="center" wrapText="1"/>
    </xf>
    <xf numFmtId="0" fontId="51" fillId="4" borderId="1" xfId="0" applyFont="1" applyFill="1" applyBorder="1" applyAlignment="1">
      <alignment horizontal="center" vertical="center" wrapText="1"/>
    </xf>
    <xf numFmtId="15" fontId="51" fillId="4" borderId="1" xfId="0" applyNumberFormat="1" applyFont="1" applyFill="1" applyBorder="1" applyAlignment="1">
      <alignment horizontal="center" vertical="center" wrapText="1"/>
    </xf>
    <xf numFmtId="0" fontId="51" fillId="9" borderId="1" xfId="0" applyFont="1" applyFill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67" fontId="51" fillId="4" borderId="1" xfId="0" applyNumberFormat="1" applyFont="1" applyFill="1" applyBorder="1" applyAlignment="1">
      <alignment horizontal="center" vertical="center" wrapText="1"/>
    </xf>
    <xf numFmtId="167" fontId="74" fillId="30" borderId="1" xfId="0" applyNumberFormat="1" applyFont="1" applyFill="1" applyBorder="1" applyAlignment="1">
      <alignment horizontal="center" vertical="center" wrapText="1"/>
    </xf>
    <xf numFmtId="167" fontId="56" fillId="6" borderId="1" xfId="0" applyNumberFormat="1" applyFont="1" applyFill="1" applyBorder="1" applyAlignment="1">
      <alignment horizontal="center" vertical="center"/>
    </xf>
    <xf numFmtId="169" fontId="51" fillId="4" borderId="1" xfId="0" applyNumberFormat="1" applyFont="1" applyFill="1" applyBorder="1" applyAlignment="1">
      <alignment horizontal="center" vertical="center" wrapText="1"/>
    </xf>
    <xf numFmtId="168" fontId="51" fillId="4" borderId="1" xfId="0" applyNumberFormat="1" applyFont="1" applyFill="1" applyBorder="1" applyAlignment="1">
      <alignment horizontal="center" vertical="center" wrapText="1"/>
    </xf>
    <xf numFmtId="168" fontId="74" fillId="4" borderId="1" xfId="0" applyNumberFormat="1" applyFont="1" applyFill="1" applyBorder="1" applyAlignment="1">
      <alignment horizontal="center" vertical="center" wrapText="1"/>
    </xf>
    <xf numFmtId="9" fontId="74" fillId="4" borderId="1" xfId="0" applyNumberFormat="1" applyFont="1" applyFill="1" applyBorder="1" applyAlignment="1">
      <alignment horizontal="center" vertical="center" wrapText="1"/>
    </xf>
    <xf numFmtId="169" fontId="74" fillId="4" borderId="1" xfId="0" applyNumberFormat="1" applyFont="1" applyFill="1" applyBorder="1" applyAlignment="1">
      <alignment horizontal="center" vertical="center" wrapText="1"/>
    </xf>
    <xf numFmtId="9" fontId="51" fillId="4" borderId="5" xfId="0" applyNumberFormat="1" applyFont="1" applyFill="1" applyBorder="1" applyAlignment="1">
      <alignment horizontal="center" vertical="center" wrapText="1"/>
    </xf>
    <xf numFmtId="0" fontId="51" fillId="4" borderId="2" xfId="0" applyFont="1" applyFill="1" applyBorder="1" applyAlignment="1">
      <alignment horizontal="center" vertical="center" wrapText="1"/>
    </xf>
    <xf numFmtId="174" fontId="74" fillId="4" borderId="1" xfId="0" applyNumberFormat="1" applyFont="1" applyFill="1" applyBorder="1" applyAlignment="1">
      <alignment horizontal="center" vertical="center" wrapText="1"/>
    </xf>
    <xf numFmtId="0" fontId="58" fillId="4" borderId="0" xfId="0" applyFont="1" applyFill="1" applyAlignment="1">
      <alignment horizontal="center" wrapText="1"/>
    </xf>
    <xf numFmtId="173" fontId="74" fillId="4" borderId="1" xfId="0" applyNumberFormat="1" applyFont="1" applyFill="1" applyBorder="1" applyAlignment="1">
      <alignment horizontal="center" vertical="center" wrapText="1"/>
    </xf>
    <xf numFmtId="10" fontId="74" fillId="4" borderId="1" xfId="0" applyNumberFormat="1" applyFont="1" applyFill="1" applyBorder="1" applyAlignment="1">
      <alignment horizontal="center" vertical="center" wrapText="1"/>
    </xf>
    <xf numFmtId="175" fontId="51" fillId="4" borderId="1" xfId="0" applyNumberFormat="1" applyFont="1" applyFill="1" applyBorder="1" applyAlignment="1">
      <alignment horizontal="center" vertical="center" wrapText="1"/>
    </xf>
    <xf numFmtId="0" fontId="75" fillId="4" borderId="1" xfId="0" applyFont="1" applyFill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0" fontId="75" fillId="4" borderId="0" xfId="0" applyFont="1" applyFill="1" applyAlignment="1">
      <alignment vertical="center"/>
    </xf>
    <xf numFmtId="0" fontId="44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9" fontId="38" fillId="0" borderId="0" xfId="0" applyNumberFormat="1" applyFont="1"/>
    <xf numFmtId="0" fontId="52" fillId="0" borderId="1" xfId="0" applyFont="1" applyBorder="1" applyAlignment="1">
      <alignment horizontal="center"/>
    </xf>
    <xf numFmtId="15" fontId="44" fillId="2" borderId="3" xfId="0" applyNumberFormat="1" applyFont="1" applyFill="1" applyBorder="1" applyAlignment="1">
      <alignment horizontal="center" vertical="center"/>
    </xf>
    <xf numFmtId="15" fontId="44" fillId="2" borderId="0" xfId="0" applyNumberFormat="1" applyFont="1" applyFill="1" applyAlignment="1">
      <alignment horizontal="center" vertical="center"/>
    </xf>
    <xf numFmtId="0" fontId="44" fillId="2" borderId="10" xfId="0" applyFont="1" applyFill="1" applyBorder="1" applyAlignment="1">
      <alignment horizontal="center" vertical="center" wrapText="1"/>
    </xf>
    <xf numFmtId="0" fontId="44" fillId="2" borderId="3" xfId="0" applyFont="1" applyFill="1" applyBorder="1" applyAlignment="1">
      <alignment horizontal="center" vertical="center" wrapText="1"/>
    </xf>
    <xf numFmtId="0" fontId="37" fillId="2" borderId="10" xfId="0" applyFont="1" applyFill="1" applyBorder="1" applyAlignment="1">
      <alignment horizontal="center" vertical="center" wrapText="1"/>
    </xf>
    <xf numFmtId="0" fontId="37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66" fillId="2" borderId="10" xfId="0" applyFont="1" applyFill="1" applyBorder="1" applyAlignment="1">
      <alignment horizontal="center" vertical="center" wrapText="1"/>
    </xf>
    <xf numFmtId="0" fontId="66" fillId="2" borderId="3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/>
    </xf>
    <xf numFmtId="0" fontId="76" fillId="22" borderId="0" xfId="0" applyFont="1" applyFill="1" applyAlignment="1">
      <alignment horizontal="center" vertical="center" wrapText="1"/>
    </xf>
    <xf numFmtId="0" fontId="64" fillId="26" borderId="0" xfId="0" applyFont="1" applyFill="1" applyAlignment="1">
      <alignment horizontal="center" vertical="center" wrapText="1"/>
    </xf>
    <xf numFmtId="169" fontId="64" fillId="26" borderId="0" xfId="0" applyNumberFormat="1" applyFont="1" applyFill="1" applyAlignment="1">
      <alignment horizontal="center" vertical="center" wrapText="1"/>
    </xf>
    <xf numFmtId="0" fontId="77" fillId="4" borderId="0" xfId="0" applyFont="1" applyFill="1" applyAlignment="1">
      <alignment horizontal="center" vertical="center" wrapText="1"/>
    </xf>
    <xf numFmtId="15" fontId="78" fillId="22" borderId="0" xfId="0" applyNumberFormat="1" applyFont="1" applyFill="1" applyAlignment="1">
      <alignment horizontal="center" vertical="center" wrapText="1"/>
    </xf>
    <xf numFmtId="0" fontId="78" fillId="22" borderId="0" xfId="0" applyFont="1" applyFill="1" applyAlignment="1">
      <alignment horizontal="center" vertical="center" wrapText="1"/>
    </xf>
    <xf numFmtId="0" fontId="76" fillId="2" borderId="4" xfId="0" applyFont="1" applyFill="1" applyBorder="1" applyAlignment="1">
      <alignment horizontal="center" vertical="center" wrapText="1"/>
    </xf>
    <xf numFmtId="0" fontId="64" fillId="17" borderId="4" xfId="0" applyFont="1" applyFill="1" applyBorder="1" applyAlignment="1">
      <alignment horizontal="center" vertical="center" wrapText="1"/>
    </xf>
    <xf numFmtId="169" fontId="64" fillId="17" borderId="4" xfId="0" applyNumberFormat="1" applyFont="1" applyFill="1" applyBorder="1" applyAlignment="1">
      <alignment horizontal="center" vertical="center" wrapText="1"/>
    </xf>
    <xf numFmtId="15" fontId="78" fillId="2" borderId="4" xfId="0" applyNumberFormat="1" applyFont="1" applyFill="1" applyBorder="1" applyAlignment="1">
      <alignment horizontal="center" vertical="center" wrapText="1"/>
    </xf>
    <xf numFmtId="0" fontId="78" fillId="2" borderId="4" xfId="0" applyFont="1" applyFill="1" applyBorder="1" applyAlignment="1">
      <alignment horizontal="center" vertical="center" wrapText="1"/>
    </xf>
    <xf numFmtId="0" fontId="67" fillId="2" borderId="8" xfId="0" applyFont="1" applyFill="1" applyBorder="1" applyAlignment="1">
      <alignment horizontal="center" vertical="center" wrapText="1"/>
    </xf>
    <xf numFmtId="0" fontId="64" fillId="9" borderId="1" xfId="0" applyFont="1" applyFill="1" applyBorder="1" applyAlignment="1">
      <alignment horizontal="center" vertical="center" wrapText="1"/>
    </xf>
    <xf numFmtId="0" fontId="69" fillId="4" borderId="1" xfId="0" applyFont="1" applyFill="1" applyBorder="1" applyAlignment="1">
      <alignment horizontal="center" vertical="center" wrapText="1"/>
    </xf>
    <xf numFmtId="167" fontId="64" fillId="4" borderId="1" xfId="0" applyNumberFormat="1" applyFont="1" applyFill="1" applyBorder="1" applyAlignment="1">
      <alignment horizontal="center" vertical="center" wrapText="1"/>
    </xf>
    <xf numFmtId="167" fontId="79" fillId="4" borderId="1" xfId="0" applyNumberFormat="1" applyFont="1" applyFill="1" applyBorder="1" applyAlignment="1">
      <alignment horizontal="center" vertical="center" wrapText="1"/>
    </xf>
    <xf numFmtId="167" fontId="65" fillId="6" borderId="1" xfId="0" applyNumberFormat="1" applyFont="1" applyFill="1" applyBorder="1" applyAlignment="1">
      <alignment horizontal="center" vertical="center"/>
    </xf>
    <xf numFmtId="9" fontId="79" fillId="4" borderId="1" xfId="0" applyNumberFormat="1" applyFont="1" applyFill="1" applyBorder="1" applyAlignment="1">
      <alignment horizontal="center" vertical="center" wrapText="1"/>
    </xf>
    <xf numFmtId="0" fontId="80" fillId="4" borderId="0" xfId="0" applyFont="1" applyFill="1" applyAlignment="1">
      <alignment horizontal="center" vertical="center" wrapText="1"/>
    </xf>
    <xf numFmtId="173" fontId="79" fillId="4" borderId="1" xfId="0" applyNumberFormat="1" applyFont="1" applyFill="1" applyBorder="1" applyAlignment="1">
      <alignment horizontal="center" vertical="center" wrapText="1"/>
    </xf>
    <xf numFmtId="0" fontId="6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26</xdr:row>
      <xdr:rowOff>1869840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26</xdr:row>
      <xdr:rowOff>1865340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48788" y="59362410"/>
          <a:ext cx="2047401" cy="775882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800333" y="163766698"/>
          <a:ext cx="1847406" cy="1004390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50948" y="59362410"/>
          <a:ext cx="2056926" cy="775882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800333" y="163654378"/>
          <a:ext cx="1847406" cy="1114617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34</xdr:col>
      <xdr:colOff>1104480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502563" y="69756668"/>
          <a:ext cx="110448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34</xdr:col>
      <xdr:colOff>780840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502563" y="70306425"/>
          <a:ext cx="780840" cy="294960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34</xdr:col>
      <xdr:colOff>564775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0502563" y="33078413"/>
          <a:ext cx="561600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34</xdr:col>
      <xdr:colOff>1104480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502563" y="69756668"/>
          <a:ext cx="110448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34</xdr:col>
      <xdr:colOff>780840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502563" y="70325505"/>
          <a:ext cx="780840" cy="275910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34</xdr:col>
      <xdr:colOff>869695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34</xdr:col>
      <xdr:colOff>869695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35</xdr:col>
      <xdr:colOff>294508</xdr:colOff>
      <xdr:row>72</xdr:row>
      <xdr:rowOff>11782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313920</xdr:colOff>
      <xdr:row>27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28</xdr:col>
      <xdr:colOff>323640</xdr:colOff>
      <xdr:row>19</xdr:row>
      <xdr:rowOff>77297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317095</xdr:colOff>
      <xdr:row>18</xdr:row>
      <xdr:rowOff>316260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317095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317095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430135</xdr:colOff>
      <xdr:row>65</xdr:row>
      <xdr:rowOff>694707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482825</xdr:colOff>
      <xdr:row>63</xdr:row>
      <xdr:rowOff>31539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426665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712243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769353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713455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697745</xdr:colOff>
      <xdr:row>21</xdr:row>
      <xdr:rowOff>753191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735905</xdr:colOff>
      <xdr:row>22</xdr:row>
      <xdr:rowOff>829849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541865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524095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788962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562615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484135</xdr:colOff>
      <xdr:row>42</xdr:row>
      <xdr:rowOff>9186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484625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505505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503705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430625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333785</xdr:colOff>
      <xdr:row>46</xdr:row>
      <xdr:rowOff>772363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336535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412747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387425</xdr:colOff>
      <xdr:row>52</xdr:row>
      <xdr:rowOff>847741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297842</xdr:colOff>
      <xdr:row>65</xdr:row>
      <xdr:rowOff>12477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620705</xdr:colOff>
      <xdr:row>65</xdr:row>
      <xdr:rowOff>791222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654545</xdr:colOff>
      <xdr:row>67</xdr:row>
      <xdr:rowOff>66063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696175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657065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675655</xdr:colOff>
      <xdr:row>71</xdr:row>
      <xdr:rowOff>812231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640505</xdr:colOff>
      <xdr:row>68</xdr:row>
      <xdr:rowOff>44990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616025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64428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44745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808907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676865</xdr:colOff>
      <xdr:row>77</xdr:row>
      <xdr:rowOff>869702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68882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561895</xdr:colOff>
      <xdr:row>77</xdr:row>
      <xdr:rowOff>200547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524225</xdr:colOff>
      <xdr:row>84</xdr:row>
      <xdr:rowOff>255346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330905</xdr:colOff>
      <xdr:row>39</xdr:row>
      <xdr:rowOff>827083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408175</xdr:colOff>
      <xdr:row>41</xdr:row>
      <xdr:rowOff>221956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753283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447185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676865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712505</xdr:colOff>
      <xdr:row>17</xdr:row>
      <xdr:rowOff>773711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712505</xdr:colOff>
      <xdr:row>19</xdr:row>
      <xdr:rowOff>6468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810432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465775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126578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449705</xdr:colOff>
      <xdr:row>31</xdr:row>
      <xdr:rowOff>163788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465775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506225</xdr:colOff>
      <xdr:row>33</xdr:row>
      <xdr:rowOff>142548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107501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504655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488815</xdr:colOff>
      <xdr:row>36</xdr:row>
      <xdr:rowOff>315350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505735</xdr:colOff>
      <xdr:row>38</xdr:row>
      <xdr:rowOff>219933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260107</xdr:colOff>
      <xdr:row>51</xdr:row>
      <xdr:rowOff>144708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273197</xdr:colOff>
      <xdr:row>50</xdr:row>
      <xdr:rowOff>294830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504529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712735</xdr:colOff>
      <xdr:row>78</xdr:row>
      <xdr:rowOff>656711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468065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545825</xdr:colOff>
      <xdr:row>79</xdr:row>
      <xdr:rowOff>773329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523735</xdr:colOff>
      <xdr:row>80</xdr:row>
      <xdr:rowOff>811382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638705</xdr:colOff>
      <xdr:row>82</xdr:row>
      <xdr:rowOff>826631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28503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506455</xdr:colOff>
      <xdr:row>53</xdr:row>
      <xdr:rowOff>773221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47007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6"/>
  <sheetViews>
    <sheetView topLeftCell="AA16" zoomScaleNormal="100" workbookViewId="0">
      <selection activeCell="BL16" sqref="BL16"/>
    </sheetView>
  </sheetViews>
  <sheetFormatPr baseColWidth="10" defaultColWidth="11.54296875" defaultRowHeight="11.5"/>
  <cols>
    <col min="1" max="1" width="4" style="239" bestFit="1" customWidth="1"/>
    <col min="2" max="2" width="15.81640625" style="239" customWidth="1"/>
    <col min="3" max="3" width="13.1796875" style="239" customWidth="1"/>
    <col min="4" max="4" width="13.81640625" style="239" bestFit="1" customWidth="1"/>
    <col min="5" max="5" width="17.54296875" style="239" bestFit="1" customWidth="1"/>
    <col min="6" max="6" width="18.54296875" style="239" bestFit="1" customWidth="1"/>
    <col min="7" max="7" width="27.81640625" style="239" customWidth="1"/>
    <col min="8" max="8" width="9.54296875" style="239" bestFit="1" customWidth="1"/>
    <col min="9" max="9" width="23.7265625" style="239" hidden="1" customWidth="1"/>
    <col min="10" max="10" width="6.26953125" style="239" bestFit="1" customWidth="1"/>
    <col min="11" max="11" width="26.54296875" style="239" hidden="1" customWidth="1"/>
    <col min="12" max="12" width="11.1796875" style="239" hidden="1" customWidth="1"/>
    <col min="13" max="13" width="9.26953125" style="239" hidden="1" customWidth="1"/>
    <col min="14" max="14" width="6.54296875" style="239" hidden="1" customWidth="1"/>
    <col min="15" max="15" width="8.1796875" style="239" hidden="1" customWidth="1"/>
    <col min="16" max="16" width="9.26953125" style="239" hidden="1" customWidth="1"/>
    <col min="17" max="18" width="8.1796875" style="239" hidden="1" customWidth="1"/>
    <col min="19" max="20" width="10.54296875" style="239" bestFit="1" customWidth="1"/>
    <col min="21" max="21" width="11.81640625" style="239" customWidth="1"/>
    <col min="22" max="22" width="10.54296875" style="239" bestFit="1" customWidth="1"/>
    <col min="23" max="23" width="9.54296875" style="239" customWidth="1"/>
    <col min="24" max="24" width="12.54296875" style="239" customWidth="1"/>
    <col min="25" max="25" width="13.453125" style="239" bestFit="1" customWidth="1"/>
    <col min="26" max="26" width="11.1796875" style="239" bestFit="1" customWidth="1"/>
    <col min="27" max="27" width="8.81640625" style="239" bestFit="1" customWidth="1"/>
    <col min="28" max="28" width="25.453125" style="239" hidden="1" customWidth="1"/>
    <col min="29" max="29" width="43.7265625" style="239" hidden="1" customWidth="1"/>
    <col min="30" max="30" width="18" style="239" customWidth="1"/>
    <col min="31" max="52" width="2.453125" style="239" customWidth="1"/>
    <col min="53" max="64" width="11.81640625" style="239" customWidth="1"/>
    <col min="65" max="70" width="2.81640625" style="233" customWidth="1"/>
    <col min="71" max="74" width="13" style="281" customWidth="1"/>
    <col min="75" max="87" width="3.453125" style="239" customWidth="1"/>
    <col min="88" max="88" width="13" style="281" bestFit="1" customWidth="1"/>
    <col min="89" max="89" width="11.1796875" style="281" bestFit="1" customWidth="1"/>
    <col min="90" max="90" width="19.1796875" style="281" bestFit="1" customWidth="1"/>
    <col min="91" max="91" width="11.1796875" style="281" bestFit="1" customWidth="1"/>
    <col min="92" max="92" width="27.81640625" style="281" bestFit="1" customWidth="1"/>
    <col min="93" max="93" width="11.1796875" style="281" bestFit="1" customWidth="1"/>
    <col min="94" max="94" width="20" style="239" bestFit="1" customWidth="1"/>
    <col min="95" max="95" width="12.81640625" style="239" bestFit="1" customWidth="1"/>
    <col min="96" max="96" width="32" style="239" bestFit="1" customWidth="1"/>
    <col min="97" max="97" width="6.81640625" style="239" bestFit="1" customWidth="1"/>
    <col min="98" max="98" width="28.26953125" style="239" bestFit="1" customWidth="1"/>
    <col min="99" max="99" width="6.81640625" style="239" bestFit="1" customWidth="1"/>
    <col min="100" max="100" width="17" style="239" bestFit="1" customWidth="1"/>
    <col min="101" max="101" width="6.81640625" style="239" bestFit="1" customWidth="1"/>
    <col min="102" max="102" width="24.54296875" style="239" bestFit="1" customWidth="1"/>
    <col min="103" max="103" width="6.81640625" style="239" bestFit="1" customWidth="1"/>
    <col min="104" max="104" width="35.453125" style="239" customWidth="1"/>
    <col min="105" max="105" width="6.81640625" style="239" bestFit="1" customWidth="1"/>
    <col min="106" max="16384" width="11.54296875" style="239"/>
  </cols>
  <sheetData>
    <row r="1" spans="1:105" s="233" customFormat="1">
      <c r="A1" s="229"/>
      <c r="B1" s="230"/>
      <c r="C1" s="230"/>
      <c r="D1" s="229"/>
      <c r="E1" s="231"/>
      <c r="F1" s="229"/>
      <c r="G1" s="229"/>
      <c r="H1" s="232"/>
      <c r="I1" s="229"/>
      <c r="J1" s="229"/>
      <c r="K1" s="229"/>
      <c r="L1" s="229"/>
      <c r="M1" s="229"/>
      <c r="N1" s="232"/>
      <c r="O1" s="232"/>
      <c r="P1" s="232"/>
      <c r="Q1" s="232"/>
      <c r="R1" s="232"/>
      <c r="S1" s="230"/>
      <c r="T1" s="232"/>
      <c r="U1" s="232"/>
      <c r="V1" s="232"/>
      <c r="W1" s="232"/>
      <c r="X1" s="232"/>
      <c r="Y1" s="232"/>
      <c r="Z1" s="229"/>
      <c r="AA1" s="232"/>
      <c r="AB1" s="232"/>
      <c r="AC1" s="229"/>
      <c r="AD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29"/>
      <c r="BR1" s="229"/>
      <c r="BS1" s="229"/>
      <c r="BT1" s="229"/>
      <c r="BU1" s="229"/>
      <c r="BV1" s="229"/>
      <c r="CJ1" s="229"/>
      <c r="CK1" s="229"/>
      <c r="CL1" s="229"/>
      <c r="CM1" s="229"/>
      <c r="CN1" s="229"/>
      <c r="CO1" s="229"/>
      <c r="CP1" s="229"/>
      <c r="CQ1" s="229"/>
      <c r="CR1" s="229"/>
      <c r="CS1" s="229"/>
      <c r="CT1" s="229"/>
      <c r="CU1" s="229"/>
      <c r="CV1" s="229"/>
      <c r="CW1" s="229"/>
      <c r="CX1" s="229"/>
      <c r="CY1" s="229"/>
      <c r="CZ1" s="229"/>
      <c r="DA1" s="229"/>
    </row>
    <row r="2" spans="1:105" s="233" customFormat="1">
      <c r="A2" s="229"/>
      <c r="B2" s="230"/>
      <c r="C2" s="230"/>
      <c r="D2" s="229"/>
      <c r="E2" s="231"/>
      <c r="F2" s="229"/>
      <c r="G2" s="229"/>
      <c r="H2" s="232"/>
      <c r="I2" s="229"/>
      <c r="J2" s="229"/>
      <c r="K2" s="229"/>
      <c r="L2" s="229"/>
      <c r="M2" s="229"/>
      <c r="N2" s="232"/>
      <c r="O2" s="232"/>
      <c r="P2" s="232"/>
      <c r="Q2" s="232"/>
      <c r="R2" s="232"/>
      <c r="S2" s="230"/>
      <c r="T2" s="232"/>
      <c r="U2" s="232"/>
      <c r="V2" s="232"/>
      <c r="W2" s="232"/>
      <c r="X2" s="232"/>
      <c r="Y2" s="232"/>
      <c r="Z2" s="229"/>
      <c r="AA2" s="232"/>
      <c r="AB2" s="232"/>
      <c r="AC2" s="229"/>
      <c r="AD2" s="229"/>
      <c r="BA2" s="229"/>
      <c r="BB2" s="229"/>
      <c r="BC2" s="229"/>
      <c r="BD2" s="229"/>
      <c r="BE2" s="229"/>
      <c r="BF2" s="229"/>
      <c r="BG2" s="229"/>
      <c r="BH2" s="229"/>
      <c r="BI2" s="229"/>
      <c r="BJ2" s="229"/>
      <c r="BK2" s="229"/>
      <c r="BL2" s="229"/>
      <c r="BM2" s="229"/>
      <c r="BN2" s="229"/>
      <c r="BO2" s="229"/>
      <c r="BP2" s="229"/>
      <c r="BQ2" s="229"/>
      <c r="BR2" s="229"/>
      <c r="BS2" s="229"/>
      <c r="BT2" s="229"/>
      <c r="BU2" s="229"/>
      <c r="BV2" s="229"/>
      <c r="CJ2" s="229"/>
      <c r="CK2" s="229"/>
      <c r="CL2" s="229"/>
      <c r="CM2" s="229"/>
      <c r="CN2" s="229"/>
      <c r="CO2" s="229"/>
      <c r="CP2" s="229"/>
      <c r="CQ2" s="229"/>
      <c r="CR2" s="229"/>
      <c r="CS2" s="229"/>
      <c r="CT2" s="229"/>
      <c r="CU2" s="229"/>
      <c r="CV2" s="229"/>
      <c r="CW2" s="229"/>
      <c r="CX2" s="229"/>
      <c r="CY2" s="229"/>
      <c r="CZ2" s="229"/>
      <c r="DA2" s="229"/>
    </row>
    <row r="3" spans="1:105" s="233" customFormat="1">
      <c r="A3" s="229"/>
      <c r="B3" s="230"/>
      <c r="C3" s="230"/>
      <c r="D3" s="229"/>
      <c r="E3" s="231"/>
      <c r="F3" s="229"/>
      <c r="G3" s="229"/>
      <c r="H3" s="232"/>
      <c r="I3" s="229"/>
      <c r="J3" s="229"/>
      <c r="K3" s="229"/>
      <c r="L3" s="229"/>
      <c r="M3" s="229"/>
      <c r="N3" s="232"/>
      <c r="O3" s="232"/>
      <c r="P3" s="232"/>
      <c r="Q3" s="232"/>
      <c r="R3" s="232"/>
      <c r="S3" s="230"/>
      <c r="T3" s="232"/>
      <c r="U3" s="232"/>
      <c r="V3" s="232"/>
      <c r="W3" s="232"/>
      <c r="X3" s="232"/>
      <c r="Y3" s="232"/>
      <c r="Z3" s="229"/>
      <c r="AA3" s="232"/>
      <c r="AB3" s="232"/>
      <c r="AC3" s="229"/>
      <c r="AD3" s="229"/>
      <c r="BA3" s="229"/>
      <c r="BB3" s="229"/>
      <c r="BC3" s="229"/>
      <c r="BD3" s="229"/>
      <c r="BE3" s="229"/>
      <c r="BF3" s="229"/>
      <c r="BG3" s="229"/>
      <c r="BH3" s="229"/>
      <c r="BI3" s="229"/>
      <c r="BJ3" s="229"/>
      <c r="BK3" s="229"/>
      <c r="BL3" s="229"/>
      <c r="BM3" s="229"/>
      <c r="BN3" s="229"/>
      <c r="BO3" s="229"/>
      <c r="BP3" s="229"/>
      <c r="BQ3" s="229"/>
      <c r="BR3" s="229"/>
      <c r="BS3" s="229"/>
      <c r="BT3" s="229"/>
      <c r="BU3" s="229"/>
      <c r="BV3" s="229"/>
      <c r="CJ3" s="229"/>
      <c r="CK3" s="229"/>
      <c r="CL3" s="229"/>
      <c r="CM3" s="229"/>
      <c r="CN3" s="229"/>
      <c r="CO3" s="229"/>
      <c r="CP3" s="229"/>
      <c r="CQ3" s="229"/>
      <c r="CR3" s="229"/>
      <c r="CS3" s="229"/>
      <c r="CT3" s="229"/>
      <c r="CU3" s="229"/>
      <c r="CV3" s="229"/>
      <c r="CW3" s="229"/>
      <c r="CX3" s="229"/>
      <c r="CY3" s="229"/>
      <c r="CZ3" s="229"/>
      <c r="DA3" s="229"/>
    </row>
    <row r="4" spans="1:105" s="233" customFormat="1">
      <c r="A4" s="229"/>
      <c r="B4" s="230"/>
      <c r="C4" s="230"/>
      <c r="D4" s="229"/>
      <c r="E4" s="231"/>
      <c r="F4" s="229"/>
      <c r="G4" s="229"/>
      <c r="H4" s="232"/>
      <c r="I4" s="229"/>
      <c r="J4" s="229"/>
      <c r="K4" s="229"/>
      <c r="L4" s="229"/>
      <c r="M4" s="229"/>
      <c r="N4" s="232"/>
      <c r="O4" s="232"/>
      <c r="P4" s="232"/>
      <c r="Q4" s="232"/>
      <c r="R4" s="232"/>
      <c r="S4" s="230"/>
      <c r="T4" s="232"/>
      <c r="U4" s="232"/>
      <c r="V4" s="232"/>
      <c r="W4" s="232"/>
      <c r="X4" s="232"/>
      <c r="Y4" s="232"/>
      <c r="Z4" s="229"/>
      <c r="AA4" s="232"/>
      <c r="AB4" s="232"/>
      <c r="AC4" s="229"/>
      <c r="AD4" s="229"/>
      <c r="BA4" s="229"/>
      <c r="BB4" s="229"/>
      <c r="BC4" s="229"/>
      <c r="BD4" s="229"/>
      <c r="BE4" s="229"/>
      <c r="BF4" s="229"/>
      <c r="BG4" s="229"/>
      <c r="BH4" s="229"/>
      <c r="BI4" s="229"/>
      <c r="BJ4" s="229"/>
      <c r="BK4" s="229"/>
      <c r="BL4" s="229"/>
      <c r="BM4" s="229"/>
      <c r="BN4" s="229"/>
      <c r="BO4" s="229"/>
      <c r="BP4" s="229"/>
      <c r="BQ4" s="229"/>
      <c r="BR4" s="229"/>
      <c r="BS4" s="229"/>
      <c r="BT4" s="229"/>
      <c r="BU4" s="229"/>
      <c r="BV4" s="229"/>
      <c r="CJ4" s="229"/>
      <c r="CK4" s="229"/>
      <c r="CL4" s="229"/>
      <c r="CM4" s="229"/>
      <c r="CN4" s="229"/>
      <c r="CO4" s="229"/>
      <c r="CP4" s="229"/>
      <c r="CQ4" s="229"/>
      <c r="CR4" s="229"/>
      <c r="CS4" s="229"/>
      <c r="CT4" s="229"/>
      <c r="CU4" s="229"/>
      <c r="CV4" s="229"/>
      <c r="CW4" s="229"/>
      <c r="CX4" s="229"/>
      <c r="CY4" s="229"/>
      <c r="CZ4" s="229"/>
      <c r="DA4" s="229"/>
    </row>
    <row r="5" spans="1:105" s="233" customFormat="1">
      <c r="A5" s="229"/>
      <c r="B5" s="230"/>
      <c r="C5" s="230"/>
      <c r="D5" s="229"/>
      <c r="E5" s="231"/>
      <c r="F5" s="229"/>
      <c r="G5" s="229"/>
      <c r="H5" s="232"/>
      <c r="I5" s="229"/>
      <c r="J5" s="229"/>
      <c r="K5" s="229"/>
      <c r="L5" s="229"/>
      <c r="M5" s="229"/>
      <c r="N5" s="232"/>
      <c r="O5" s="232"/>
      <c r="P5" s="232"/>
      <c r="Q5" s="232"/>
      <c r="R5" s="232"/>
      <c r="S5" s="230"/>
      <c r="T5" s="232"/>
      <c r="U5" s="232"/>
      <c r="V5" s="232"/>
      <c r="W5" s="232"/>
      <c r="X5" s="232"/>
      <c r="Y5" s="232"/>
      <c r="Z5" s="229"/>
      <c r="AA5" s="232"/>
      <c r="AB5" s="232"/>
      <c r="AC5" s="229"/>
      <c r="AD5" s="229"/>
      <c r="BA5" s="229"/>
      <c r="BB5" s="229"/>
      <c r="BC5" s="229"/>
      <c r="BD5" s="229"/>
      <c r="BE5" s="229"/>
      <c r="BF5" s="229"/>
      <c r="BG5" s="229"/>
      <c r="BH5" s="229"/>
      <c r="BI5" s="229"/>
      <c r="BJ5" s="229"/>
      <c r="BK5" s="229"/>
      <c r="BL5" s="229"/>
      <c r="BM5" s="229"/>
      <c r="BN5" s="229"/>
      <c r="BO5" s="229"/>
      <c r="BP5" s="229"/>
      <c r="BQ5" s="229"/>
      <c r="BR5" s="229"/>
      <c r="BS5" s="229"/>
      <c r="BT5" s="229"/>
      <c r="BU5" s="229"/>
      <c r="BV5" s="229"/>
      <c r="CJ5" s="229"/>
      <c r="CK5" s="229"/>
      <c r="CL5" s="229"/>
      <c r="CM5" s="229"/>
      <c r="CN5" s="229"/>
      <c r="CO5" s="229"/>
      <c r="CP5" s="229"/>
      <c r="CQ5" s="229"/>
      <c r="CR5" s="229"/>
      <c r="CS5" s="229"/>
      <c r="CT5" s="229"/>
      <c r="CU5" s="229"/>
      <c r="CV5" s="229"/>
      <c r="CW5" s="229"/>
      <c r="CX5" s="229"/>
      <c r="CY5" s="229"/>
      <c r="CZ5" s="229"/>
      <c r="DA5" s="229"/>
    </row>
    <row r="6" spans="1:105" s="233" customFormat="1">
      <c r="A6" s="229"/>
      <c r="B6" s="230"/>
      <c r="C6" s="230"/>
      <c r="D6" s="229"/>
      <c r="E6" s="231"/>
      <c r="F6" s="229"/>
      <c r="G6" s="229"/>
      <c r="H6" s="232"/>
      <c r="I6" s="229"/>
      <c r="J6" s="229"/>
      <c r="K6" s="229"/>
      <c r="L6" s="229"/>
      <c r="M6" s="229"/>
      <c r="N6" s="232"/>
      <c r="O6" s="232"/>
      <c r="P6" s="232"/>
      <c r="Q6" s="232"/>
      <c r="R6" s="232"/>
      <c r="S6" s="230"/>
      <c r="T6" s="232"/>
      <c r="U6" s="232"/>
      <c r="V6" s="232"/>
      <c r="W6" s="232"/>
      <c r="X6" s="232"/>
      <c r="Y6" s="232"/>
      <c r="Z6" s="229"/>
      <c r="AA6" s="232"/>
      <c r="AB6" s="232"/>
      <c r="AC6" s="229"/>
      <c r="AD6" s="229"/>
      <c r="BA6" s="229"/>
      <c r="BB6" s="229"/>
      <c r="BC6" s="229"/>
      <c r="BD6" s="229"/>
      <c r="BE6" s="229"/>
      <c r="BF6" s="229"/>
      <c r="BG6" s="229"/>
      <c r="BH6" s="229"/>
      <c r="BI6" s="229"/>
      <c r="BJ6" s="229"/>
      <c r="BK6" s="229"/>
      <c r="BL6" s="229"/>
      <c r="BM6" s="229"/>
      <c r="BN6" s="229"/>
      <c r="BO6" s="229"/>
      <c r="BP6" s="229"/>
      <c r="BQ6" s="229"/>
      <c r="BR6" s="229"/>
      <c r="BS6" s="229"/>
      <c r="BT6" s="229"/>
      <c r="BU6" s="229"/>
      <c r="BV6" s="229"/>
      <c r="CJ6" s="229"/>
      <c r="CK6" s="229"/>
      <c r="CL6" s="229"/>
      <c r="CM6" s="229"/>
      <c r="CN6" s="229"/>
      <c r="CO6" s="229"/>
      <c r="CP6" s="229"/>
      <c r="CQ6" s="229"/>
      <c r="CR6" s="229"/>
      <c r="CS6" s="229"/>
      <c r="CT6" s="229"/>
      <c r="CU6" s="229"/>
      <c r="CV6" s="229"/>
      <c r="CW6" s="229"/>
      <c r="CX6" s="229"/>
      <c r="CY6" s="229"/>
      <c r="CZ6" s="229"/>
      <c r="DA6" s="229"/>
    </row>
    <row r="7" spans="1:105" s="233" customFormat="1">
      <c r="A7" s="229"/>
      <c r="B7" s="230"/>
      <c r="C7" s="230"/>
      <c r="D7" s="229"/>
      <c r="E7" s="231"/>
      <c r="F7" s="229"/>
      <c r="G7" s="229"/>
      <c r="H7" s="232"/>
      <c r="I7" s="229"/>
      <c r="J7" s="229"/>
      <c r="K7" s="229"/>
      <c r="L7" s="229"/>
      <c r="M7" s="229"/>
      <c r="N7" s="232"/>
      <c r="O7" s="232"/>
      <c r="P7" s="232"/>
      <c r="Q7" s="232"/>
      <c r="R7" s="232"/>
      <c r="S7" s="230"/>
      <c r="T7" s="232"/>
      <c r="U7" s="232"/>
      <c r="V7" s="232"/>
      <c r="W7" s="232"/>
      <c r="X7" s="232"/>
      <c r="Y7" s="232"/>
      <c r="Z7" s="229"/>
      <c r="AA7" s="232"/>
      <c r="AB7" s="232"/>
      <c r="AC7" s="229"/>
      <c r="AD7" s="229"/>
      <c r="BA7" s="229"/>
      <c r="BB7" s="229"/>
      <c r="BC7" s="229"/>
      <c r="BD7" s="229"/>
      <c r="BE7" s="229"/>
      <c r="BF7" s="229"/>
      <c r="BG7" s="229"/>
      <c r="BH7" s="229"/>
      <c r="BI7" s="229"/>
      <c r="BJ7" s="229"/>
      <c r="BK7" s="229"/>
      <c r="BL7" s="229"/>
      <c r="BM7" s="229"/>
      <c r="BN7" s="229"/>
      <c r="BO7" s="229"/>
      <c r="BP7" s="229"/>
      <c r="BQ7" s="229"/>
      <c r="BR7" s="229"/>
      <c r="BS7" s="229"/>
      <c r="BT7" s="229"/>
      <c r="BU7" s="229"/>
      <c r="BV7" s="229"/>
      <c r="CJ7" s="229"/>
      <c r="CK7" s="229"/>
      <c r="CL7" s="229"/>
      <c r="CM7" s="229"/>
      <c r="CN7" s="229"/>
      <c r="CO7" s="229"/>
      <c r="CP7" s="229"/>
      <c r="CQ7" s="229"/>
      <c r="CR7" s="229"/>
      <c r="CS7" s="229"/>
      <c r="CT7" s="229"/>
      <c r="CU7" s="229"/>
      <c r="CV7" s="229"/>
      <c r="CW7" s="229"/>
      <c r="CX7" s="229"/>
      <c r="CY7" s="229"/>
      <c r="CZ7" s="229"/>
      <c r="DA7" s="229"/>
    </row>
    <row r="8" spans="1:105" s="233" customFormat="1">
      <c r="A8" s="229"/>
      <c r="B8" s="230"/>
      <c r="C8" s="230"/>
      <c r="D8" s="229"/>
      <c r="E8" s="231"/>
      <c r="F8" s="229"/>
      <c r="G8" s="229"/>
      <c r="H8" s="232"/>
      <c r="I8" s="229"/>
      <c r="J8" s="229"/>
      <c r="K8" s="229"/>
      <c r="L8" s="229"/>
      <c r="M8" s="229"/>
      <c r="N8" s="232"/>
      <c r="O8" s="232"/>
      <c r="P8" s="232"/>
      <c r="Q8" s="232"/>
      <c r="R8" s="232"/>
      <c r="S8" s="230"/>
      <c r="T8" s="232"/>
      <c r="U8" s="232"/>
      <c r="V8" s="232"/>
      <c r="W8" s="232"/>
      <c r="X8" s="232"/>
      <c r="Y8" s="232"/>
      <c r="Z8" s="229"/>
      <c r="AA8" s="232"/>
      <c r="AB8" s="232"/>
      <c r="AC8" s="229"/>
      <c r="AD8" s="229"/>
      <c r="BA8" s="229"/>
      <c r="BB8" s="229"/>
      <c r="BC8" s="229"/>
      <c r="BD8" s="229"/>
      <c r="BE8" s="229"/>
      <c r="BF8" s="229"/>
      <c r="BG8" s="229"/>
      <c r="BH8" s="229"/>
      <c r="BI8" s="229"/>
      <c r="BJ8" s="229"/>
      <c r="BK8" s="229"/>
      <c r="BL8" s="229"/>
      <c r="BM8" s="229"/>
      <c r="BN8" s="229"/>
      <c r="BO8" s="229"/>
      <c r="BP8" s="229"/>
      <c r="BQ8" s="229"/>
      <c r="BR8" s="229"/>
      <c r="BS8" s="229"/>
      <c r="BT8" s="229"/>
      <c r="BU8" s="229"/>
      <c r="BV8" s="229"/>
      <c r="CJ8" s="229"/>
      <c r="CK8" s="229"/>
      <c r="CL8" s="229"/>
      <c r="CM8" s="229"/>
      <c r="CN8" s="229"/>
      <c r="CO8" s="229"/>
      <c r="CP8" s="229"/>
      <c r="CQ8" s="229"/>
      <c r="CR8" s="229"/>
      <c r="CS8" s="229"/>
      <c r="CT8" s="229"/>
      <c r="CU8" s="229"/>
      <c r="CV8" s="229"/>
      <c r="CW8" s="229"/>
      <c r="CX8" s="229"/>
      <c r="CY8" s="229"/>
      <c r="CZ8" s="229"/>
      <c r="DA8" s="229"/>
    </row>
    <row r="9" spans="1:105" s="233" customFormat="1">
      <c r="A9" s="229"/>
      <c r="B9" s="230"/>
      <c r="C9" s="230"/>
      <c r="D9" s="229"/>
      <c r="E9" s="231"/>
      <c r="F9" s="229"/>
      <c r="G9" s="229"/>
      <c r="H9" s="232"/>
      <c r="I9" s="229"/>
      <c r="J9" s="229"/>
      <c r="K9" s="229"/>
      <c r="L9" s="229"/>
      <c r="M9" s="229"/>
      <c r="N9" s="232"/>
      <c r="O9" s="232"/>
      <c r="P9" s="232"/>
      <c r="Q9" s="232"/>
      <c r="R9" s="232"/>
      <c r="S9" s="230"/>
      <c r="T9" s="232"/>
      <c r="U9" s="232"/>
      <c r="V9" s="232"/>
      <c r="W9" s="232"/>
      <c r="X9" s="232"/>
      <c r="Y9" s="232"/>
      <c r="Z9" s="229"/>
      <c r="AA9" s="232"/>
      <c r="AB9" s="232"/>
      <c r="AC9" s="229"/>
      <c r="AD9" s="229"/>
      <c r="BA9" s="229"/>
      <c r="BB9" s="229"/>
      <c r="BC9" s="229"/>
      <c r="BD9" s="229"/>
      <c r="BE9" s="229"/>
      <c r="BF9" s="229"/>
      <c r="BG9" s="229"/>
      <c r="BH9" s="229"/>
      <c r="BI9" s="229"/>
      <c r="BJ9" s="229"/>
      <c r="BK9" s="229"/>
      <c r="BL9" s="229"/>
      <c r="BM9" s="229"/>
      <c r="BN9" s="229"/>
      <c r="BO9" s="229"/>
      <c r="BP9" s="229"/>
      <c r="BQ9" s="229"/>
      <c r="BR9" s="229"/>
      <c r="BS9" s="229"/>
      <c r="BT9" s="229"/>
      <c r="BU9" s="229"/>
      <c r="BV9" s="229"/>
      <c r="CJ9" s="229"/>
      <c r="CK9" s="229"/>
      <c r="CL9" s="229"/>
      <c r="CM9" s="229"/>
      <c r="CN9" s="229"/>
      <c r="CO9" s="229"/>
      <c r="CP9" s="229"/>
      <c r="CQ9" s="229"/>
      <c r="CR9" s="229"/>
      <c r="CS9" s="229"/>
      <c r="CT9" s="229"/>
      <c r="CU9" s="229"/>
      <c r="CV9" s="229"/>
      <c r="CW9" s="229"/>
      <c r="CX9" s="229"/>
      <c r="CY9" s="229"/>
      <c r="CZ9" s="229"/>
      <c r="DA9" s="229"/>
    </row>
    <row r="10" spans="1:105" s="233" customFormat="1">
      <c r="A10" s="229"/>
      <c r="B10" s="230"/>
      <c r="C10" s="230"/>
      <c r="D10" s="229"/>
      <c r="E10" s="231"/>
      <c r="F10" s="229"/>
      <c r="G10" s="229"/>
      <c r="H10" s="232"/>
      <c r="I10" s="229"/>
      <c r="J10" s="229"/>
      <c r="K10" s="229"/>
      <c r="L10" s="229"/>
      <c r="M10" s="229"/>
      <c r="N10" s="232"/>
      <c r="O10" s="232"/>
      <c r="P10" s="232"/>
      <c r="Q10" s="232"/>
      <c r="R10" s="232"/>
      <c r="S10" s="230"/>
      <c r="T10" s="232"/>
      <c r="U10" s="232"/>
      <c r="V10" s="232"/>
      <c r="W10" s="232"/>
      <c r="X10" s="232"/>
      <c r="Y10" s="232"/>
      <c r="Z10" s="229"/>
      <c r="AA10" s="232"/>
      <c r="AB10" s="232"/>
      <c r="AC10" s="229"/>
      <c r="AD10" s="229"/>
      <c r="BA10" s="229"/>
      <c r="BB10" s="229"/>
      <c r="BC10" s="229"/>
      <c r="BD10" s="229"/>
      <c r="BE10" s="229"/>
      <c r="BF10" s="229"/>
      <c r="BG10" s="229"/>
      <c r="BH10" s="229"/>
      <c r="BI10" s="229"/>
      <c r="BJ10" s="229"/>
      <c r="BK10" s="229"/>
      <c r="BL10" s="229"/>
      <c r="BM10" s="229"/>
      <c r="BN10" s="229"/>
      <c r="BO10" s="229"/>
      <c r="BP10" s="229"/>
      <c r="BQ10" s="229"/>
      <c r="BR10" s="229"/>
      <c r="BS10" s="229"/>
      <c r="BT10" s="229"/>
      <c r="BU10" s="229"/>
      <c r="BV10" s="229"/>
      <c r="CJ10" s="229"/>
      <c r="CK10" s="229"/>
      <c r="CL10" s="229"/>
      <c r="CM10" s="229"/>
      <c r="CN10" s="229"/>
      <c r="CO10" s="229"/>
      <c r="CP10" s="229"/>
      <c r="CQ10" s="229"/>
      <c r="CR10" s="229"/>
      <c r="CS10" s="229"/>
      <c r="CT10" s="229"/>
      <c r="CU10" s="229"/>
      <c r="CV10" s="229"/>
      <c r="CW10" s="229"/>
      <c r="CX10" s="229"/>
      <c r="CY10" s="229"/>
      <c r="CZ10" s="229"/>
      <c r="DA10" s="229"/>
    </row>
    <row r="11" spans="1:105" s="233" customFormat="1">
      <c r="A11" s="229"/>
      <c r="B11" s="230"/>
      <c r="C11" s="230"/>
      <c r="D11" s="229"/>
      <c r="E11" s="231"/>
      <c r="F11" s="229"/>
      <c r="G11" s="229"/>
      <c r="H11" s="232"/>
      <c r="I11" s="229"/>
      <c r="J11" s="229"/>
      <c r="K11" s="229"/>
      <c r="L11" s="229"/>
      <c r="M11" s="229"/>
      <c r="N11" s="232"/>
      <c r="O11" s="232"/>
      <c r="P11" s="232"/>
      <c r="Q11" s="232"/>
      <c r="R11" s="232"/>
      <c r="S11" s="230"/>
      <c r="T11" s="232"/>
      <c r="U11" s="232"/>
      <c r="V11" s="232"/>
      <c r="W11" s="232"/>
      <c r="X11" s="232"/>
      <c r="Y11" s="232"/>
      <c r="Z11" s="229"/>
      <c r="AA11" s="232"/>
      <c r="AB11" s="232"/>
      <c r="AC11" s="229"/>
      <c r="AD11" s="229"/>
      <c r="BA11" s="229"/>
      <c r="BB11" s="229"/>
      <c r="BC11" s="229"/>
      <c r="BD11" s="229"/>
      <c r="BE11" s="229"/>
      <c r="BF11" s="229"/>
      <c r="BG11" s="229"/>
      <c r="BH11" s="229"/>
      <c r="BI11" s="229"/>
      <c r="BJ11" s="229"/>
      <c r="BK11" s="229"/>
      <c r="BL11" s="229"/>
      <c r="BM11" s="229"/>
      <c r="BN11" s="229"/>
      <c r="BO11" s="229"/>
      <c r="BP11" s="229"/>
      <c r="BQ11" s="229"/>
      <c r="BR11" s="229"/>
      <c r="BS11" s="229"/>
      <c r="BT11" s="229"/>
      <c r="BU11" s="229"/>
      <c r="BV11" s="229"/>
      <c r="CJ11" s="229"/>
      <c r="CK11" s="229"/>
      <c r="CL11" s="229"/>
      <c r="CM11" s="229"/>
      <c r="CN11" s="229"/>
      <c r="CO11" s="229"/>
      <c r="CP11" s="229"/>
      <c r="CQ11" s="229"/>
      <c r="CR11" s="229"/>
      <c r="CS11" s="229"/>
      <c r="CT11" s="229"/>
      <c r="CU11" s="229"/>
      <c r="CV11" s="229"/>
      <c r="CW11" s="229"/>
      <c r="CX11" s="229"/>
      <c r="CY11" s="229"/>
      <c r="CZ11" s="229"/>
      <c r="DA11" s="229"/>
    </row>
    <row r="12" spans="1:105" s="233" customFormat="1">
      <c r="A12" s="229"/>
      <c r="B12" s="230"/>
      <c r="C12" s="230"/>
      <c r="D12" s="229"/>
      <c r="E12" s="231"/>
      <c r="F12" s="229"/>
      <c r="G12" s="229"/>
      <c r="H12" s="232"/>
      <c r="I12" s="229"/>
      <c r="J12" s="229"/>
      <c r="K12" s="229"/>
      <c r="L12" s="229"/>
      <c r="M12" s="229"/>
      <c r="N12" s="232"/>
      <c r="O12" s="232"/>
      <c r="P12" s="232"/>
      <c r="Q12" s="232"/>
      <c r="R12" s="232"/>
      <c r="S12" s="230"/>
      <c r="T12" s="232"/>
      <c r="U12" s="232"/>
      <c r="V12" s="232"/>
      <c r="W12" s="232"/>
      <c r="X12" s="232"/>
      <c r="Y12" s="232"/>
      <c r="Z12" s="229"/>
      <c r="AA12" s="232"/>
      <c r="AB12" s="232"/>
      <c r="AC12" s="229"/>
      <c r="AD12" s="229"/>
      <c r="BA12" s="229"/>
      <c r="BB12" s="229"/>
      <c r="BC12" s="229"/>
      <c r="BD12" s="229"/>
      <c r="BE12" s="229"/>
      <c r="BF12" s="229"/>
      <c r="BG12" s="229"/>
      <c r="BH12" s="229"/>
      <c r="BI12" s="229"/>
      <c r="BJ12" s="229"/>
      <c r="BK12" s="229"/>
      <c r="BL12" s="229"/>
      <c r="BM12" s="229"/>
      <c r="BN12" s="229"/>
      <c r="BO12" s="229"/>
      <c r="BP12" s="229"/>
      <c r="BQ12" s="229"/>
      <c r="BR12" s="229"/>
      <c r="BS12" s="229"/>
      <c r="BT12" s="229"/>
      <c r="BU12" s="229"/>
      <c r="BV12" s="229"/>
      <c r="CJ12" s="229"/>
      <c r="CK12" s="229"/>
      <c r="CL12" s="229"/>
      <c r="CM12" s="229"/>
      <c r="CN12" s="229"/>
      <c r="CO12" s="229"/>
      <c r="CP12" s="229"/>
      <c r="CQ12" s="229"/>
      <c r="CR12" s="229"/>
      <c r="CS12" s="229"/>
      <c r="CT12" s="229"/>
      <c r="CU12" s="229"/>
      <c r="CV12" s="229"/>
      <c r="CW12" s="229"/>
      <c r="CX12" s="229"/>
      <c r="CY12" s="229"/>
      <c r="CZ12" s="229"/>
      <c r="DA12" s="229"/>
    </row>
    <row r="13" spans="1:105" s="233" customFormat="1">
      <c r="A13" s="229"/>
      <c r="B13" s="230"/>
      <c r="C13" s="230"/>
      <c r="D13" s="229"/>
      <c r="E13" s="231"/>
      <c r="F13" s="229"/>
      <c r="G13" s="229"/>
      <c r="H13" s="232"/>
      <c r="I13" s="229"/>
      <c r="J13" s="229"/>
      <c r="K13" s="229"/>
      <c r="L13" s="229"/>
      <c r="M13" s="229"/>
      <c r="N13" s="232"/>
      <c r="O13" s="232"/>
      <c r="P13" s="232"/>
      <c r="Q13" s="232"/>
      <c r="R13" s="232"/>
      <c r="S13" s="230"/>
      <c r="T13" s="232"/>
      <c r="U13" s="232"/>
      <c r="V13" s="232"/>
      <c r="W13" s="232"/>
      <c r="X13" s="232"/>
      <c r="Y13" s="232"/>
      <c r="Z13" s="229"/>
      <c r="AA13" s="232"/>
      <c r="AB13" s="232"/>
      <c r="AC13" s="229"/>
      <c r="AD13" s="229"/>
      <c r="BA13" s="229"/>
      <c r="BB13" s="229"/>
      <c r="BC13" s="229"/>
      <c r="BD13" s="229"/>
      <c r="BE13" s="229"/>
      <c r="BF13" s="229"/>
      <c r="BG13" s="229"/>
      <c r="BH13" s="229"/>
      <c r="BI13" s="229"/>
      <c r="BJ13" s="229"/>
      <c r="BK13" s="229"/>
      <c r="BL13" s="229"/>
      <c r="BM13" s="229"/>
      <c r="BN13" s="229"/>
      <c r="BO13" s="229"/>
      <c r="BP13" s="229"/>
      <c r="BQ13" s="229"/>
      <c r="BR13" s="229"/>
      <c r="BS13" s="229"/>
      <c r="BT13" s="229"/>
      <c r="BU13" s="229"/>
      <c r="BV13" s="229"/>
    </row>
    <row r="14" spans="1:105" s="233" customFormat="1">
      <c r="A14" s="229"/>
      <c r="B14" s="230"/>
      <c r="C14" s="230"/>
      <c r="D14" s="229"/>
      <c r="E14" s="231"/>
      <c r="F14" s="229"/>
      <c r="G14" s="229"/>
      <c r="H14" s="232"/>
      <c r="I14" s="229"/>
      <c r="J14" s="229"/>
      <c r="K14" s="229"/>
      <c r="L14" s="229"/>
      <c r="M14" s="229"/>
      <c r="N14" s="232"/>
      <c r="O14" s="232"/>
      <c r="P14" s="232"/>
      <c r="Q14" s="232"/>
      <c r="R14" s="232"/>
      <c r="S14" s="230"/>
      <c r="T14" s="232"/>
      <c r="U14" s="232"/>
      <c r="V14" s="232"/>
      <c r="W14" s="232"/>
      <c r="X14" s="232"/>
      <c r="Y14" s="232"/>
      <c r="Z14" s="229"/>
      <c r="AA14" s="232"/>
      <c r="AB14" s="232"/>
      <c r="AC14" s="229"/>
      <c r="AD14" s="229"/>
      <c r="BA14" s="229"/>
      <c r="BB14" s="229"/>
      <c r="BC14" s="229"/>
      <c r="BD14" s="229"/>
      <c r="BE14" s="229"/>
      <c r="BF14" s="229"/>
      <c r="BG14" s="229"/>
      <c r="BH14" s="229"/>
      <c r="BI14" s="229"/>
      <c r="BJ14" s="229"/>
      <c r="BK14" s="229"/>
      <c r="BL14" s="229"/>
      <c r="BM14" s="229"/>
      <c r="BN14" s="229"/>
      <c r="BO14" s="229"/>
      <c r="BP14" s="229"/>
      <c r="BQ14" s="229"/>
      <c r="BR14" s="229"/>
      <c r="BS14" s="229"/>
      <c r="BT14" s="229"/>
      <c r="BU14" s="229"/>
      <c r="BV14" s="229"/>
      <c r="CJ14" s="520" t="s">
        <v>0</v>
      </c>
      <c r="CK14" s="521"/>
      <c r="CL14" s="521"/>
      <c r="CM14" s="521"/>
      <c r="CN14" s="521"/>
      <c r="CO14" s="521"/>
      <c r="CP14" s="521"/>
      <c r="CQ14" s="521"/>
      <c r="CR14" s="521"/>
      <c r="CS14" s="521"/>
      <c r="CT14" s="521"/>
      <c r="CU14" s="521"/>
      <c r="CV14" s="521"/>
      <c r="CW14" s="521"/>
      <c r="CX14" s="521"/>
      <c r="CY14" s="521"/>
      <c r="CZ14" s="521"/>
      <c r="DA14" s="521"/>
    </row>
    <row r="15" spans="1:105" s="233" customFormat="1">
      <c r="A15" s="229"/>
      <c r="B15" s="230"/>
      <c r="C15" s="230"/>
      <c r="D15" s="229"/>
      <c r="E15" s="231"/>
      <c r="F15" s="229"/>
      <c r="G15" s="229"/>
      <c r="H15" s="232"/>
      <c r="I15" s="229"/>
      <c r="J15" s="229"/>
      <c r="K15" s="229"/>
      <c r="L15" s="229"/>
      <c r="M15" s="229"/>
      <c r="N15" s="232"/>
      <c r="O15" s="232"/>
      <c r="P15" s="232"/>
      <c r="Q15" s="232"/>
      <c r="R15" s="232"/>
      <c r="S15" s="230"/>
      <c r="T15" s="232"/>
      <c r="U15" s="232"/>
      <c r="V15" s="232"/>
      <c r="W15" s="232"/>
      <c r="X15" s="232"/>
      <c r="Y15" s="232"/>
      <c r="Z15" s="229"/>
      <c r="AA15" s="232"/>
      <c r="AB15" s="232"/>
      <c r="AC15" s="229"/>
      <c r="AD15" s="229"/>
      <c r="BA15" s="229"/>
      <c r="BB15" s="229"/>
      <c r="BC15" s="229"/>
      <c r="BD15" s="229"/>
      <c r="BE15" s="229"/>
      <c r="BF15" s="229"/>
      <c r="BG15" s="229"/>
      <c r="BH15" s="229"/>
      <c r="BI15" s="229"/>
      <c r="BJ15" s="229"/>
      <c r="BK15" s="229"/>
      <c r="BL15" s="229"/>
      <c r="BM15" s="229"/>
      <c r="BN15" s="229"/>
      <c r="BO15" s="229"/>
      <c r="BP15" s="229"/>
      <c r="BQ15" s="229"/>
      <c r="BR15" s="229"/>
      <c r="BS15" s="229"/>
      <c r="BT15" s="229"/>
      <c r="BU15" s="229"/>
      <c r="BV15" s="229"/>
      <c r="CJ15" s="234" t="s">
        <v>1</v>
      </c>
      <c r="CK15" s="234"/>
      <c r="CL15" s="234" t="s">
        <v>2</v>
      </c>
      <c r="CM15" s="234"/>
      <c r="CN15" s="234" t="s">
        <v>3</v>
      </c>
      <c r="CO15" s="234"/>
      <c r="CP15" s="234" t="s">
        <v>4</v>
      </c>
      <c r="CQ15" s="234"/>
      <c r="CR15" s="234" t="s">
        <v>5</v>
      </c>
      <c r="CS15" s="234"/>
      <c r="CT15" s="234" t="s">
        <v>6</v>
      </c>
      <c r="CU15" s="234"/>
      <c r="CV15" s="234" t="s">
        <v>7</v>
      </c>
      <c r="CW15" s="234"/>
      <c r="CX15" s="234" t="s">
        <v>8</v>
      </c>
      <c r="CY15" s="234"/>
      <c r="CZ15" s="234" t="s">
        <v>9</v>
      </c>
      <c r="DA15" s="234"/>
    </row>
    <row r="16" spans="1:105" ht="57.5">
      <c r="A16" s="235" t="s">
        <v>10</v>
      </c>
      <c r="B16" s="236" t="s">
        <v>11</v>
      </c>
      <c r="C16" s="236" t="s">
        <v>12</v>
      </c>
      <c r="D16" s="235" t="s">
        <v>13</v>
      </c>
      <c r="E16" s="237" t="s">
        <v>14</v>
      </c>
      <c r="F16" s="235" t="s">
        <v>15</v>
      </c>
      <c r="G16" s="235" t="s">
        <v>16</v>
      </c>
      <c r="H16" s="238" t="s">
        <v>17</v>
      </c>
      <c r="I16" s="235" t="s">
        <v>18</v>
      </c>
      <c r="J16" s="235" t="s">
        <v>19</v>
      </c>
      <c r="K16" s="235" t="s">
        <v>20</v>
      </c>
      <c r="L16" s="235" t="s">
        <v>21</v>
      </c>
      <c r="M16" s="235" t="s">
        <v>22</v>
      </c>
      <c r="N16" s="238" t="s">
        <v>23</v>
      </c>
      <c r="O16" s="238" t="s">
        <v>24</v>
      </c>
      <c r="P16" s="238" t="s">
        <v>25</v>
      </c>
      <c r="Q16" s="238" t="s">
        <v>26</v>
      </c>
      <c r="R16" s="238" t="s">
        <v>27</v>
      </c>
      <c r="S16" s="236" t="s">
        <v>28</v>
      </c>
      <c r="T16" s="238" t="s">
        <v>29</v>
      </c>
      <c r="U16" s="238" t="s">
        <v>30</v>
      </c>
      <c r="V16" s="238" t="s">
        <v>31</v>
      </c>
      <c r="W16" s="238" t="s">
        <v>32</v>
      </c>
      <c r="X16" s="238" t="s">
        <v>33</v>
      </c>
      <c r="Y16" s="238" t="s">
        <v>34</v>
      </c>
      <c r="Z16" s="235" t="s">
        <v>35</v>
      </c>
      <c r="AA16" s="238" t="s">
        <v>36</v>
      </c>
      <c r="AB16" s="238" t="s">
        <v>37</v>
      </c>
      <c r="AC16" s="235" t="s">
        <v>38</v>
      </c>
      <c r="AD16" s="235" t="s">
        <v>39</v>
      </c>
      <c r="BA16" s="240" t="s">
        <v>40</v>
      </c>
      <c r="BB16" s="240" t="s">
        <v>41</v>
      </c>
      <c r="BC16" s="240" t="s">
        <v>42</v>
      </c>
      <c r="BD16" s="240" t="s">
        <v>43</v>
      </c>
      <c r="BE16" s="240" t="s">
        <v>44</v>
      </c>
      <c r="BF16" s="240" t="s">
        <v>45</v>
      </c>
      <c r="BG16" s="240" t="s">
        <v>46</v>
      </c>
      <c r="BH16" s="240" t="s">
        <v>47</v>
      </c>
      <c r="BI16" s="240" t="s">
        <v>48</v>
      </c>
      <c r="BJ16" s="240" t="s">
        <v>49</v>
      </c>
      <c r="BK16" s="240" t="s">
        <v>13</v>
      </c>
      <c r="BL16" s="240" t="s">
        <v>50</v>
      </c>
      <c r="BM16" s="229"/>
      <c r="BN16" s="229"/>
      <c r="BO16" s="229"/>
      <c r="BP16" s="229"/>
      <c r="BQ16" s="229"/>
      <c r="BR16" s="229"/>
      <c r="BS16" s="240" t="s">
        <v>51</v>
      </c>
      <c r="BT16" s="240" t="s">
        <v>48</v>
      </c>
      <c r="BU16" s="240" t="s">
        <v>52</v>
      </c>
      <c r="BV16" s="240" t="s">
        <v>53</v>
      </c>
      <c r="CJ16" s="241" t="s">
        <v>54</v>
      </c>
      <c r="CK16" s="241" t="s">
        <v>55</v>
      </c>
      <c r="CL16" s="241" t="s">
        <v>54</v>
      </c>
      <c r="CM16" s="241" t="s">
        <v>55</v>
      </c>
      <c r="CN16" s="241" t="s">
        <v>54</v>
      </c>
      <c r="CO16" s="241" t="s">
        <v>55</v>
      </c>
      <c r="CP16" s="241" t="s">
        <v>54</v>
      </c>
      <c r="CQ16" s="241" t="s">
        <v>55</v>
      </c>
      <c r="CR16" s="241" t="s">
        <v>54</v>
      </c>
      <c r="CS16" s="241" t="s">
        <v>55</v>
      </c>
      <c r="CT16" s="241" t="s">
        <v>54</v>
      </c>
      <c r="CU16" s="241" t="s">
        <v>55</v>
      </c>
      <c r="CV16" s="241" t="s">
        <v>54</v>
      </c>
      <c r="CW16" s="241" t="s">
        <v>55</v>
      </c>
      <c r="CX16" s="241" t="s">
        <v>54</v>
      </c>
      <c r="CY16" s="241" t="s">
        <v>55</v>
      </c>
      <c r="CZ16" s="241" t="s">
        <v>54</v>
      </c>
      <c r="DA16" s="241" t="s">
        <v>55</v>
      </c>
    </row>
    <row r="17" spans="1:105" ht="46">
      <c r="A17" s="248">
        <v>33</v>
      </c>
      <c r="B17" s="264" t="s">
        <v>56</v>
      </c>
      <c r="C17" s="265" t="s">
        <v>57</v>
      </c>
      <c r="D17" s="264"/>
      <c r="E17" s="244"/>
      <c r="F17" s="244" t="s">
        <v>58</v>
      </c>
      <c r="G17" s="245" t="s">
        <v>59</v>
      </c>
      <c r="H17" s="507" t="s">
        <v>60</v>
      </c>
      <c r="I17" s="247" t="s">
        <v>61</v>
      </c>
      <c r="J17" s="248" t="s">
        <v>62</v>
      </c>
      <c r="K17" s="249" t="s">
        <v>63</v>
      </c>
      <c r="L17" s="245">
        <v>1</v>
      </c>
      <c r="M17" s="274"/>
      <c r="N17" s="251" t="s">
        <v>64</v>
      </c>
      <c r="O17" s="251">
        <v>20000</v>
      </c>
      <c r="P17" s="252">
        <v>0</v>
      </c>
      <c r="Q17" s="252"/>
      <c r="R17" s="252"/>
      <c r="S17" s="252">
        <v>0</v>
      </c>
      <c r="T17" s="253" t="s">
        <v>65</v>
      </c>
      <c r="U17" s="254">
        <v>189</v>
      </c>
      <c r="V17" s="252">
        <f t="shared" ref="V17:V36" si="0">(U17/1.16)*0.6</f>
        <v>97.758620689655174</v>
      </c>
      <c r="W17" s="255">
        <f t="shared" ref="W17:W36" si="1">+S17/V17</f>
        <v>0</v>
      </c>
      <c r="X17" s="256">
        <f t="shared" ref="X17:X36" si="2">1-(S17/V17)</f>
        <v>1</v>
      </c>
      <c r="Y17" s="257">
        <v>0.4</v>
      </c>
      <c r="Z17" s="248" t="s">
        <v>66</v>
      </c>
      <c r="AA17" s="251" t="s">
        <v>67</v>
      </c>
      <c r="AB17" s="249"/>
      <c r="AC17" s="244" t="s">
        <v>68</v>
      </c>
      <c r="AD17" s="244"/>
      <c r="BA17" s="248">
        <v>1</v>
      </c>
      <c r="BB17" s="244"/>
      <c r="BC17" s="244"/>
      <c r="BD17" s="244"/>
      <c r="BE17" s="244"/>
      <c r="BF17" s="244"/>
      <c r="BG17" s="244"/>
      <c r="BH17" s="244"/>
      <c r="BI17" s="244"/>
      <c r="BJ17" s="244">
        <v>9</v>
      </c>
      <c r="BK17" s="244">
        <f t="shared" ref="BK17:BK36" si="3">SUM(BA17:BI17)</f>
        <v>1</v>
      </c>
      <c r="BL17" s="258">
        <f t="shared" ref="BL17:BL36" si="4">+BK17/BJ17</f>
        <v>0.1111111111111111</v>
      </c>
      <c r="BM17" s="259"/>
      <c r="BN17" s="259"/>
      <c r="BO17" s="259"/>
      <c r="BP17" s="259"/>
      <c r="BQ17" s="259"/>
      <c r="BR17" s="259"/>
      <c r="BS17" s="260" t="s">
        <v>69</v>
      </c>
      <c r="BT17" s="283">
        <f t="shared" ref="BT17:BT36" si="5">+AD17</f>
        <v>0</v>
      </c>
      <c r="BU17" s="283"/>
      <c r="BV17" s="260" t="s">
        <v>70</v>
      </c>
      <c r="CJ17" s="260"/>
      <c r="CK17" s="260"/>
      <c r="CL17" s="260"/>
      <c r="CM17" s="260"/>
      <c r="CN17" s="260"/>
      <c r="CO17" s="260"/>
      <c r="CP17" s="261"/>
      <c r="CQ17" s="261"/>
      <c r="CR17" s="262"/>
      <c r="CS17" s="262"/>
      <c r="CT17" s="262"/>
      <c r="CU17" s="262"/>
      <c r="CV17" s="262"/>
      <c r="CW17" s="262"/>
      <c r="CX17" s="262"/>
      <c r="CY17" s="262"/>
      <c r="CZ17" s="262"/>
      <c r="DA17" s="262"/>
    </row>
    <row r="18" spans="1:105" ht="80.5">
      <c r="A18" s="248">
        <v>34</v>
      </c>
      <c r="B18" s="264" t="s">
        <v>56</v>
      </c>
      <c r="C18" s="265" t="s">
        <v>57</v>
      </c>
      <c r="D18" s="264"/>
      <c r="E18" s="269">
        <v>7506110691594</v>
      </c>
      <c r="F18" s="244" t="s">
        <v>71</v>
      </c>
      <c r="G18" s="245" t="s">
        <v>72</v>
      </c>
      <c r="H18" s="506" t="s">
        <v>60</v>
      </c>
      <c r="I18" s="247" t="s">
        <v>73</v>
      </c>
      <c r="J18" s="248" t="s">
        <v>62</v>
      </c>
      <c r="K18" s="249" t="s">
        <v>63</v>
      </c>
      <c r="L18" s="245">
        <v>1</v>
      </c>
      <c r="M18" s="274"/>
      <c r="N18" s="251" t="s">
        <v>74</v>
      </c>
      <c r="O18" s="251">
        <v>20000</v>
      </c>
      <c r="P18" s="252">
        <v>0</v>
      </c>
      <c r="Q18" s="252"/>
      <c r="R18" s="252">
        <v>0</v>
      </c>
      <c r="S18" s="252">
        <v>0</v>
      </c>
      <c r="T18" s="253" t="s">
        <v>75</v>
      </c>
      <c r="U18" s="254">
        <v>899</v>
      </c>
      <c r="V18" s="252">
        <f t="shared" si="0"/>
        <v>465</v>
      </c>
      <c r="W18" s="255">
        <f t="shared" si="1"/>
        <v>0</v>
      </c>
      <c r="X18" s="256">
        <f t="shared" si="2"/>
        <v>1</v>
      </c>
      <c r="Y18" s="257">
        <v>0.4</v>
      </c>
      <c r="Z18" s="248" t="s">
        <v>66</v>
      </c>
      <c r="AA18" s="251" t="s">
        <v>67</v>
      </c>
      <c r="AB18" s="249"/>
      <c r="AC18" s="244"/>
      <c r="AD18" s="244"/>
      <c r="BA18" s="248">
        <v>1</v>
      </c>
      <c r="BB18" s="244"/>
      <c r="BC18" s="244"/>
      <c r="BD18" s="244"/>
      <c r="BE18" s="244"/>
      <c r="BF18" s="244"/>
      <c r="BG18" s="244"/>
      <c r="BH18" s="244"/>
      <c r="BI18" s="244"/>
      <c r="BJ18" s="244">
        <v>9</v>
      </c>
      <c r="BK18" s="244">
        <f t="shared" si="3"/>
        <v>1</v>
      </c>
      <c r="BL18" s="258">
        <f t="shared" si="4"/>
        <v>0.1111111111111111</v>
      </c>
      <c r="BM18" s="259"/>
      <c r="BN18" s="259"/>
      <c r="BO18" s="259"/>
      <c r="BP18" s="259"/>
      <c r="BQ18" s="259"/>
      <c r="BR18" s="259"/>
      <c r="BS18" s="260" t="s">
        <v>76</v>
      </c>
      <c r="BT18" s="283">
        <f t="shared" si="5"/>
        <v>0</v>
      </c>
      <c r="BU18" s="283"/>
      <c r="BV18" s="260" t="s">
        <v>77</v>
      </c>
      <c r="CJ18" s="260"/>
      <c r="CK18" s="260"/>
      <c r="CL18" s="260"/>
      <c r="CM18" s="260"/>
      <c r="CN18" s="260"/>
      <c r="CO18" s="260"/>
      <c r="CP18" s="261"/>
      <c r="CQ18" s="261"/>
      <c r="CR18" s="262"/>
      <c r="CS18" s="262"/>
      <c r="CT18" s="262"/>
      <c r="CU18" s="262"/>
      <c r="CV18" s="262"/>
      <c r="CW18" s="262"/>
      <c r="CX18" s="262"/>
      <c r="CY18" s="262"/>
      <c r="CZ18" s="262"/>
      <c r="DA18" s="262"/>
    </row>
    <row r="19" spans="1:105" ht="69">
      <c r="A19" s="248">
        <v>35</v>
      </c>
      <c r="B19" s="264" t="s">
        <v>56</v>
      </c>
      <c r="C19" s="265" t="s">
        <v>57</v>
      </c>
      <c r="D19" s="264"/>
      <c r="E19" s="269">
        <v>7506110691600</v>
      </c>
      <c r="F19" s="244" t="s">
        <v>78</v>
      </c>
      <c r="G19" s="245" t="s">
        <v>79</v>
      </c>
      <c r="H19" s="506" t="s">
        <v>60</v>
      </c>
      <c r="I19" s="247" t="s">
        <v>80</v>
      </c>
      <c r="J19" s="248" t="s">
        <v>62</v>
      </c>
      <c r="K19" s="249" t="s">
        <v>63</v>
      </c>
      <c r="L19" s="245">
        <v>1</v>
      </c>
      <c r="M19" s="274"/>
      <c r="N19" s="251" t="s">
        <v>74</v>
      </c>
      <c r="O19" s="251">
        <v>20000</v>
      </c>
      <c r="P19" s="252">
        <v>0</v>
      </c>
      <c r="Q19" s="252"/>
      <c r="R19" s="252">
        <v>0</v>
      </c>
      <c r="S19" s="252">
        <v>0</v>
      </c>
      <c r="T19" s="253" t="s">
        <v>81</v>
      </c>
      <c r="U19" s="254">
        <v>399</v>
      </c>
      <c r="V19" s="252">
        <f t="shared" si="0"/>
        <v>206.37931034482762</v>
      </c>
      <c r="W19" s="255">
        <f t="shared" si="1"/>
        <v>0</v>
      </c>
      <c r="X19" s="256">
        <f t="shared" si="2"/>
        <v>1</v>
      </c>
      <c r="Y19" s="257">
        <v>0.4</v>
      </c>
      <c r="Z19" s="248" t="s">
        <v>66</v>
      </c>
      <c r="AA19" s="251" t="s">
        <v>67</v>
      </c>
      <c r="AB19" s="249"/>
      <c r="AC19" s="244" t="s">
        <v>82</v>
      </c>
      <c r="AD19" s="244"/>
      <c r="BA19" s="248">
        <v>1</v>
      </c>
      <c r="BB19" s="244"/>
      <c r="BC19" s="244"/>
      <c r="BD19" s="244"/>
      <c r="BE19" s="244"/>
      <c r="BF19" s="244"/>
      <c r="BG19" s="244"/>
      <c r="BH19" s="244"/>
      <c r="BI19" s="244"/>
      <c r="BJ19" s="244">
        <v>9</v>
      </c>
      <c r="BK19" s="244">
        <f t="shared" si="3"/>
        <v>1</v>
      </c>
      <c r="BL19" s="258">
        <f t="shared" si="4"/>
        <v>0.1111111111111111</v>
      </c>
      <c r="BM19" s="259"/>
      <c r="BN19" s="259"/>
      <c r="BO19" s="259"/>
      <c r="BP19" s="259"/>
      <c r="BQ19" s="259"/>
      <c r="BR19" s="259"/>
      <c r="BS19" s="260" t="s">
        <v>82</v>
      </c>
      <c r="BT19" s="283">
        <f t="shared" si="5"/>
        <v>0</v>
      </c>
      <c r="BU19" s="283"/>
      <c r="BV19" s="260"/>
      <c r="CJ19" s="260"/>
      <c r="CK19" s="260"/>
      <c r="CL19" s="260"/>
      <c r="CM19" s="260"/>
      <c r="CN19" s="260"/>
      <c r="CO19" s="260"/>
      <c r="CP19" s="261"/>
      <c r="CQ19" s="261"/>
      <c r="CR19" s="262"/>
      <c r="CS19" s="262"/>
      <c r="CT19" s="262"/>
      <c r="CU19" s="262"/>
      <c r="CV19" s="262"/>
      <c r="CW19" s="262"/>
      <c r="CX19" s="262"/>
      <c r="CY19" s="262"/>
      <c r="CZ19" s="262"/>
      <c r="DA19" s="262"/>
    </row>
    <row r="20" spans="1:105" ht="57.5">
      <c r="A20" s="248">
        <v>36</v>
      </c>
      <c r="B20" s="264" t="s">
        <v>56</v>
      </c>
      <c r="C20" s="265" t="s">
        <v>57</v>
      </c>
      <c r="D20" s="264"/>
      <c r="E20" s="244"/>
      <c r="F20" s="244" t="s">
        <v>83</v>
      </c>
      <c r="G20" s="245" t="s">
        <v>84</v>
      </c>
      <c r="H20" s="506" t="s">
        <v>60</v>
      </c>
      <c r="I20" s="272" t="s">
        <v>85</v>
      </c>
      <c r="J20" s="248" t="s">
        <v>62</v>
      </c>
      <c r="K20" s="249" t="s">
        <v>63</v>
      </c>
      <c r="L20" s="245">
        <v>1</v>
      </c>
      <c r="M20" s="277"/>
      <c r="N20" s="251" t="s">
        <v>64</v>
      </c>
      <c r="O20" s="251">
        <v>10000</v>
      </c>
      <c r="P20" s="252">
        <v>15.99</v>
      </c>
      <c r="Q20" s="252"/>
      <c r="R20" s="252"/>
      <c r="S20" s="252">
        <v>15.99</v>
      </c>
      <c r="T20" s="253" t="s">
        <v>86</v>
      </c>
      <c r="U20" s="254">
        <v>199</v>
      </c>
      <c r="V20" s="252">
        <f t="shared" si="0"/>
        <v>102.93103448275862</v>
      </c>
      <c r="W20" s="255">
        <f t="shared" si="1"/>
        <v>0.1553467336683417</v>
      </c>
      <c r="X20" s="256">
        <f t="shared" si="2"/>
        <v>0.84465326633165827</v>
      </c>
      <c r="Y20" s="257">
        <v>0.4</v>
      </c>
      <c r="Z20" s="248"/>
      <c r="AA20" s="273"/>
      <c r="AB20" s="245"/>
      <c r="AC20" s="245" t="s">
        <v>87</v>
      </c>
      <c r="AD20" s="245"/>
      <c r="BA20" s="248">
        <v>1</v>
      </c>
      <c r="BB20" s="248"/>
      <c r="BC20" s="248"/>
      <c r="BD20" s="248"/>
      <c r="BE20" s="248"/>
      <c r="BF20" s="248"/>
      <c r="BG20" s="248"/>
      <c r="BH20" s="248"/>
      <c r="BI20" s="248"/>
      <c r="BJ20" s="244">
        <v>9</v>
      </c>
      <c r="BK20" s="244">
        <f t="shared" si="3"/>
        <v>1</v>
      </c>
      <c r="BL20" s="258">
        <f t="shared" si="4"/>
        <v>0.1111111111111111</v>
      </c>
      <c r="BM20" s="259"/>
      <c r="BN20" s="259"/>
      <c r="BO20" s="259"/>
      <c r="BP20" s="259"/>
      <c r="BQ20" s="259"/>
      <c r="BR20" s="259"/>
      <c r="BS20" s="260" t="s">
        <v>87</v>
      </c>
      <c r="BT20" s="283">
        <f t="shared" si="5"/>
        <v>0</v>
      </c>
      <c r="BU20" s="283"/>
      <c r="BV20" s="260" t="s">
        <v>77</v>
      </c>
      <c r="CJ20" s="260"/>
      <c r="CK20" s="260"/>
      <c r="CL20" s="260"/>
      <c r="CM20" s="260"/>
      <c r="CN20" s="260"/>
      <c r="CO20" s="260"/>
      <c r="CP20" s="261"/>
      <c r="CQ20" s="261"/>
      <c r="CR20" s="262"/>
      <c r="CS20" s="262"/>
      <c r="CT20" s="262"/>
      <c r="CU20" s="262"/>
      <c r="CV20" s="262"/>
      <c r="CW20" s="262"/>
      <c r="CX20" s="262"/>
      <c r="CY20" s="262"/>
      <c r="CZ20" s="262"/>
      <c r="DA20" s="262"/>
    </row>
    <row r="21" spans="1:105" ht="57.5">
      <c r="A21" s="248">
        <v>37</v>
      </c>
      <c r="B21" s="264" t="s">
        <v>56</v>
      </c>
      <c r="C21" s="265" t="s">
        <v>57</v>
      </c>
      <c r="D21" s="264"/>
      <c r="E21" s="244"/>
      <c r="F21" s="244" t="s">
        <v>88</v>
      </c>
      <c r="G21" s="245" t="s">
        <v>89</v>
      </c>
      <c r="H21" s="506" t="s">
        <v>60</v>
      </c>
      <c r="I21" s="272" t="s">
        <v>85</v>
      </c>
      <c r="J21" s="248" t="s">
        <v>62</v>
      </c>
      <c r="K21" s="249" t="s">
        <v>63</v>
      </c>
      <c r="L21" s="245">
        <v>1</v>
      </c>
      <c r="M21" s="277"/>
      <c r="N21" s="251" t="s">
        <v>64</v>
      </c>
      <c r="O21" s="251">
        <v>10000</v>
      </c>
      <c r="P21" s="252">
        <v>15.99</v>
      </c>
      <c r="Q21" s="252"/>
      <c r="R21" s="252"/>
      <c r="S21" s="252">
        <v>15.99</v>
      </c>
      <c r="T21" s="253" t="s">
        <v>86</v>
      </c>
      <c r="U21" s="254">
        <v>199</v>
      </c>
      <c r="V21" s="252">
        <f t="shared" si="0"/>
        <v>102.93103448275862</v>
      </c>
      <c r="W21" s="255">
        <f t="shared" si="1"/>
        <v>0.1553467336683417</v>
      </c>
      <c r="X21" s="256">
        <f t="shared" si="2"/>
        <v>0.84465326633165827</v>
      </c>
      <c r="Y21" s="257">
        <v>0.4</v>
      </c>
      <c r="Z21" s="248"/>
      <c r="AA21" s="273"/>
      <c r="AB21" s="245"/>
      <c r="AC21" s="245" t="s">
        <v>87</v>
      </c>
      <c r="AD21" s="245"/>
      <c r="BA21" s="248">
        <v>1</v>
      </c>
      <c r="BB21" s="248"/>
      <c r="BC21" s="248"/>
      <c r="BD21" s="248"/>
      <c r="BE21" s="248"/>
      <c r="BF21" s="248"/>
      <c r="BG21" s="248"/>
      <c r="BH21" s="248"/>
      <c r="BI21" s="248"/>
      <c r="BJ21" s="244">
        <v>9</v>
      </c>
      <c r="BK21" s="244">
        <f t="shared" si="3"/>
        <v>1</v>
      </c>
      <c r="BL21" s="258">
        <f t="shared" si="4"/>
        <v>0.1111111111111111</v>
      </c>
      <c r="BM21" s="259"/>
      <c r="BN21" s="259"/>
      <c r="BO21" s="259"/>
      <c r="BP21" s="259"/>
      <c r="BQ21" s="259"/>
      <c r="BR21" s="259"/>
      <c r="BS21" s="260" t="s">
        <v>87</v>
      </c>
      <c r="BT21" s="283">
        <f t="shared" si="5"/>
        <v>0</v>
      </c>
      <c r="BU21" s="283"/>
      <c r="BV21" s="260" t="s">
        <v>77</v>
      </c>
      <c r="CJ21" s="260"/>
      <c r="CK21" s="260"/>
      <c r="CL21" s="260"/>
      <c r="CM21" s="260"/>
      <c r="CN21" s="260"/>
      <c r="CO21" s="260"/>
      <c r="CP21" s="261"/>
      <c r="CQ21" s="261"/>
      <c r="CR21" s="262"/>
      <c r="CS21" s="262"/>
      <c r="CT21" s="262"/>
      <c r="CU21" s="262"/>
      <c r="CV21" s="262"/>
      <c r="CW21" s="262"/>
      <c r="CX21" s="262"/>
      <c r="CY21" s="262"/>
      <c r="CZ21" s="262"/>
      <c r="DA21" s="262"/>
    </row>
    <row r="22" spans="1:105" ht="34.5">
      <c r="A22" s="248">
        <v>38</v>
      </c>
      <c r="B22" s="264" t="s">
        <v>56</v>
      </c>
      <c r="C22" s="265" t="s">
        <v>57</v>
      </c>
      <c r="D22" s="264"/>
      <c r="E22" s="269">
        <v>7506110694830</v>
      </c>
      <c r="F22" s="244" t="s">
        <v>90</v>
      </c>
      <c r="G22" s="245" t="s">
        <v>91</v>
      </c>
      <c r="H22" s="506" t="s">
        <v>60</v>
      </c>
      <c r="I22" s="247"/>
      <c r="J22" s="248" t="s">
        <v>62</v>
      </c>
      <c r="K22" s="249" t="s">
        <v>63</v>
      </c>
      <c r="L22" s="245">
        <v>1</v>
      </c>
      <c r="M22" s="277"/>
      <c r="N22" s="251" t="s">
        <v>74</v>
      </c>
      <c r="O22" s="251">
        <v>20000</v>
      </c>
      <c r="P22" s="252">
        <v>0</v>
      </c>
      <c r="Q22" s="252"/>
      <c r="R22" s="252"/>
      <c r="S22" s="252">
        <v>0</v>
      </c>
      <c r="T22" s="253" t="s">
        <v>92</v>
      </c>
      <c r="U22" s="254">
        <v>299</v>
      </c>
      <c r="V22" s="252">
        <f t="shared" si="0"/>
        <v>154.65517241379311</v>
      </c>
      <c r="W22" s="255">
        <f t="shared" si="1"/>
        <v>0</v>
      </c>
      <c r="X22" s="256">
        <f t="shared" si="2"/>
        <v>1</v>
      </c>
      <c r="Y22" s="257">
        <v>0.4</v>
      </c>
      <c r="Z22" s="248" t="s">
        <v>66</v>
      </c>
      <c r="AA22" s="251" t="s">
        <v>67</v>
      </c>
      <c r="AB22" s="249"/>
      <c r="AC22" s="249"/>
      <c r="AD22" s="249"/>
      <c r="BA22" s="248">
        <v>1</v>
      </c>
      <c r="BB22" s="265"/>
      <c r="BC22" s="265"/>
      <c r="BD22" s="265"/>
      <c r="BE22" s="265"/>
      <c r="BF22" s="265"/>
      <c r="BG22" s="265"/>
      <c r="BH22" s="265"/>
      <c r="BI22" s="265"/>
      <c r="BJ22" s="244">
        <v>9</v>
      </c>
      <c r="BK22" s="244">
        <f t="shared" si="3"/>
        <v>1</v>
      </c>
      <c r="BL22" s="258">
        <f t="shared" si="4"/>
        <v>0.1111111111111111</v>
      </c>
      <c r="BM22" s="259"/>
      <c r="BN22" s="259"/>
      <c r="BO22" s="259"/>
      <c r="BP22" s="259"/>
      <c r="BQ22" s="259"/>
      <c r="BR22" s="259"/>
      <c r="BS22" s="260" t="s">
        <v>82</v>
      </c>
      <c r="BT22" s="283">
        <f t="shared" si="5"/>
        <v>0</v>
      </c>
      <c r="BU22" s="283"/>
      <c r="BV22" s="260"/>
      <c r="CJ22" s="260"/>
      <c r="CK22" s="260"/>
      <c r="CL22" s="260"/>
      <c r="CM22" s="260"/>
      <c r="CN22" s="260"/>
      <c r="CO22" s="260"/>
      <c r="CP22" s="261"/>
      <c r="CQ22" s="261"/>
      <c r="CR22" s="262"/>
      <c r="CS22" s="262"/>
      <c r="CT22" s="262"/>
      <c r="CU22" s="262"/>
      <c r="CV22" s="262"/>
      <c r="CW22" s="262"/>
      <c r="CX22" s="262"/>
      <c r="CY22" s="262"/>
      <c r="CZ22" s="262"/>
      <c r="DA22" s="262"/>
    </row>
    <row r="23" spans="1:105" ht="69">
      <c r="A23" s="248">
        <v>39</v>
      </c>
      <c r="B23" s="264" t="s">
        <v>56</v>
      </c>
      <c r="C23" s="265" t="s">
        <v>57</v>
      </c>
      <c r="D23" s="264"/>
      <c r="E23" s="244">
        <v>7506110694052</v>
      </c>
      <c r="F23" s="244" t="s">
        <v>93</v>
      </c>
      <c r="G23" s="245" t="s">
        <v>94</v>
      </c>
      <c r="H23" s="506" t="s">
        <v>60</v>
      </c>
      <c r="I23" s="247" t="s">
        <v>95</v>
      </c>
      <c r="J23" s="248" t="s">
        <v>62</v>
      </c>
      <c r="K23" s="249" t="s">
        <v>63</v>
      </c>
      <c r="L23" s="245">
        <v>1</v>
      </c>
      <c r="M23" s="277">
        <v>4.2</v>
      </c>
      <c r="N23" s="251" t="s">
        <v>74</v>
      </c>
      <c r="O23" s="280">
        <v>10000</v>
      </c>
      <c r="P23" s="252">
        <v>75.599999999999994</v>
      </c>
      <c r="Q23" s="252"/>
      <c r="R23" s="252"/>
      <c r="S23" s="252">
        <v>90.72</v>
      </c>
      <c r="T23" s="253" t="s">
        <v>96</v>
      </c>
      <c r="U23" s="254">
        <v>499</v>
      </c>
      <c r="V23" s="252">
        <f t="shared" si="0"/>
        <v>258.10344827586209</v>
      </c>
      <c r="W23" s="255">
        <f t="shared" si="1"/>
        <v>0.35148697394789574</v>
      </c>
      <c r="X23" s="256">
        <f t="shared" si="2"/>
        <v>0.64851302605210426</v>
      </c>
      <c r="Y23" s="257">
        <v>0.3</v>
      </c>
      <c r="Z23" s="248"/>
      <c r="AA23" s="251"/>
      <c r="AB23" s="249"/>
      <c r="AC23" s="249"/>
      <c r="AD23" s="249"/>
      <c r="BA23" s="248">
        <v>1</v>
      </c>
      <c r="BB23" s="265"/>
      <c r="BC23" s="265"/>
      <c r="BD23" s="265"/>
      <c r="BE23" s="265"/>
      <c r="BF23" s="265"/>
      <c r="BG23" s="265"/>
      <c r="BH23" s="265"/>
      <c r="BI23" s="265"/>
      <c r="BJ23" s="244">
        <v>9</v>
      </c>
      <c r="BK23" s="244">
        <f t="shared" si="3"/>
        <v>1</v>
      </c>
      <c r="BL23" s="258">
        <f t="shared" si="4"/>
        <v>0.1111111111111111</v>
      </c>
      <c r="BM23" s="259"/>
      <c r="BN23" s="259"/>
      <c r="BO23" s="259"/>
      <c r="BP23" s="259"/>
      <c r="BQ23" s="259"/>
      <c r="BR23" s="259"/>
      <c r="BS23" s="260" t="s">
        <v>82</v>
      </c>
      <c r="BT23" s="283">
        <f t="shared" si="5"/>
        <v>0</v>
      </c>
      <c r="BU23" s="283"/>
      <c r="BV23" s="260"/>
      <c r="CJ23" s="260"/>
      <c r="CK23" s="260"/>
      <c r="CL23" s="260"/>
      <c r="CM23" s="260"/>
      <c r="CN23" s="260"/>
      <c r="CO23" s="260"/>
      <c r="CP23" s="261"/>
      <c r="CQ23" s="261"/>
      <c r="CR23" s="262"/>
      <c r="CS23" s="262"/>
      <c r="CT23" s="262"/>
      <c r="CU23" s="262"/>
      <c r="CV23" s="262"/>
      <c r="CW23" s="262"/>
      <c r="CX23" s="262"/>
      <c r="CY23" s="262"/>
      <c r="CZ23" s="262"/>
      <c r="DA23" s="262"/>
    </row>
    <row r="24" spans="1:105" ht="57.5">
      <c r="A24" s="248">
        <v>40</v>
      </c>
      <c r="B24" s="264" t="s">
        <v>56</v>
      </c>
      <c r="C24" s="265" t="s">
        <v>57</v>
      </c>
      <c r="D24" s="264"/>
      <c r="E24" s="244">
        <v>7506110694076</v>
      </c>
      <c r="F24" s="244" t="s">
        <v>97</v>
      </c>
      <c r="G24" s="245" t="s">
        <v>98</v>
      </c>
      <c r="H24" s="506" t="s">
        <v>60</v>
      </c>
      <c r="I24" s="247" t="s">
        <v>95</v>
      </c>
      <c r="J24" s="248" t="s">
        <v>62</v>
      </c>
      <c r="K24" s="249" t="s">
        <v>63</v>
      </c>
      <c r="L24" s="245">
        <v>1</v>
      </c>
      <c r="M24" s="277">
        <v>2</v>
      </c>
      <c r="N24" s="251" t="s">
        <v>74</v>
      </c>
      <c r="O24" s="280">
        <v>10000</v>
      </c>
      <c r="P24" s="252">
        <v>36</v>
      </c>
      <c r="Q24" s="252"/>
      <c r="R24" s="252"/>
      <c r="S24" s="252">
        <v>43.2</v>
      </c>
      <c r="T24" s="253" t="s">
        <v>99</v>
      </c>
      <c r="U24" s="254">
        <v>229</v>
      </c>
      <c r="V24" s="252">
        <f t="shared" si="0"/>
        <v>118.44827586206897</v>
      </c>
      <c r="W24" s="255">
        <f t="shared" si="1"/>
        <v>0.3647161572052402</v>
      </c>
      <c r="X24" s="256">
        <f t="shared" si="2"/>
        <v>0.6352838427947598</v>
      </c>
      <c r="Y24" s="257">
        <v>0.3</v>
      </c>
      <c r="Z24" s="248" t="s">
        <v>66</v>
      </c>
      <c r="AA24" s="251" t="s">
        <v>67</v>
      </c>
      <c r="AB24" s="249"/>
      <c r="AC24" s="249"/>
      <c r="AD24" s="249"/>
      <c r="BA24" s="248">
        <v>1</v>
      </c>
      <c r="BB24" s="265"/>
      <c r="BC24" s="265"/>
      <c r="BD24" s="265"/>
      <c r="BE24" s="265"/>
      <c r="BF24" s="265"/>
      <c r="BG24" s="265"/>
      <c r="BH24" s="265"/>
      <c r="BI24" s="265"/>
      <c r="BJ24" s="244">
        <v>9</v>
      </c>
      <c r="BK24" s="244">
        <f t="shared" si="3"/>
        <v>1</v>
      </c>
      <c r="BL24" s="258">
        <f t="shared" si="4"/>
        <v>0.1111111111111111</v>
      </c>
      <c r="BM24" s="259"/>
      <c r="BN24" s="259"/>
      <c r="BO24" s="259"/>
      <c r="BP24" s="259"/>
      <c r="BQ24" s="259"/>
      <c r="BR24" s="259"/>
      <c r="BS24" s="260" t="s">
        <v>82</v>
      </c>
      <c r="BT24" s="283">
        <f t="shared" si="5"/>
        <v>0</v>
      </c>
      <c r="BU24" s="283"/>
      <c r="BV24" s="260"/>
      <c r="CJ24" s="260"/>
      <c r="CK24" s="260"/>
      <c r="CL24" s="260"/>
      <c r="CM24" s="260"/>
      <c r="CN24" s="260"/>
      <c r="CO24" s="260"/>
      <c r="CP24" s="261"/>
      <c r="CQ24" s="261"/>
      <c r="CR24" s="262"/>
      <c r="CS24" s="262"/>
      <c r="CT24" s="262"/>
      <c r="CU24" s="262"/>
      <c r="CV24" s="262"/>
      <c r="CW24" s="262"/>
      <c r="CX24" s="262"/>
      <c r="CY24" s="262"/>
      <c r="CZ24" s="262"/>
      <c r="DA24" s="262"/>
    </row>
    <row r="25" spans="1:105" ht="46">
      <c r="A25" s="248">
        <v>46</v>
      </c>
      <c r="B25" s="264" t="s">
        <v>56</v>
      </c>
      <c r="C25" s="265" t="s">
        <v>57</v>
      </c>
      <c r="D25" s="264"/>
      <c r="E25" s="244">
        <v>7506110694014</v>
      </c>
      <c r="F25" s="244" t="s">
        <v>100</v>
      </c>
      <c r="G25" s="245" t="s">
        <v>101</v>
      </c>
      <c r="H25" s="506" t="s">
        <v>60</v>
      </c>
      <c r="I25" s="247" t="s">
        <v>102</v>
      </c>
      <c r="J25" s="248" t="s">
        <v>62</v>
      </c>
      <c r="K25" s="249" t="s">
        <v>63</v>
      </c>
      <c r="L25" s="245">
        <v>1</v>
      </c>
      <c r="M25" s="277"/>
      <c r="N25" s="251" t="s">
        <v>74</v>
      </c>
      <c r="O25" s="251">
        <v>20000</v>
      </c>
      <c r="P25" s="252">
        <v>0</v>
      </c>
      <c r="Q25" s="252"/>
      <c r="R25" s="252"/>
      <c r="S25" s="252">
        <v>0</v>
      </c>
      <c r="T25" s="253" t="s">
        <v>103</v>
      </c>
      <c r="U25" s="254">
        <v>79</v>
      </c>
      <c r="V25" s="252">
        <f t="shared" si="0"/>
        <v>40.862068965517246</v>
      </c>
      <c r="W25" s="255">
        <f t="shared" si="1"/>
        <v>0</v>
      </c>
      <c r="X25" s="256">
        <f t="shared" si="2"/>
        <v>1</v>
      </c>
      <c r="Y25" s="257">
        <v>0.4</v>
      </c>
      <c r="Z25" s="248" t="s">
        <v>66</v>
      </c>
      <c r="AA25" s="251" t="s">
        <v>67</v>
      </c>
      <c r="AB25" s="249"/>
      <c r="AC25" s="249"/>
      <c r="AD25" s="249"/>
      <c r="BA25" s="248">
        <v>1</v>
      </c>
      <c r="BB25" s="265"/>
      <c r="BC25" s="265"/>
      <c r="BD25" s="265"/>
      <c r="BE25" s="265"/>
      <c r="BF25" s="265"/>
      <c r="BG25" s="265"/>
      <c r="BH25" s="265"/>
      <c r="BI25" s="265"/>
      <c r="BJ25" s="244">
        <v>9</v>
      </c>
      <c r="BK25" s="244">
        <f t="shared" si="3"/>
        <v>1</v>
      </c>
      <c r="BL25" s="258">
        <f t="shared" si="4"/>
        <v>0.1111111111111111</v>
      </c>
      <c r="BM25" s="259"/>
      <c r="BN25" s="259"/>
      <c r="BO25" s="259"/>
      <c r="BP25" s="259"/>
      <c r="BQ25" s="259"/>
      <c r="BR25" s="259"/>
      <c r="BS25" s="260"/>
      <c r="BT25" s="283">
        <f t="shared" si="5"/>
        <v>0</v>
      </c>
      <c r="BU25" s="283"/>
      <c r="BV25" s="260"/>
      <c r="CJ25" s="260"/>
      <c r="CK25" s="260"/>
      <c r="CL25" s="260"/>
      <c r="CM25" s="260"/>
      <c r="CN25" s="260"/>
      <c r="CO25" s="260"/>
      <c r="CP25" s="261"/>
      <c r="CQ25" s="261"/>
      <c r="CR25" s="262"/>
      <c r="CS25" s="262"/>
      <c r="CT25" s="262"/>
      <c r="CU25" s="262"/>
      <c r="CV25" s="262"/>
      <c r="CW25" s="262"/>
      <c r="CX25" s="262"/>
      <c r="CY25" s="262"/>
      <c r="CZ25" s="262"/>
      <c r="DA25" s="262"/>
    </row>
    <row r="26" spans="1:105" ht="46">
      <c r="A26" s="248">
        <v>47</v>
      </c>
      <c r="B26" s="264" t="s">
        <v>56</v>
      </c>
      <c r="C26" s="265" t="s">
        <v>57</v>
      </c>
      <c r="D26" s="264"/>
      <c r="E26" s="244">
        <v>7506110694021</v>
      </c>
      <c r="F26" s="244" t="s">
        <v>104</v>
      </c>
      <c r="G26" s="245" t="s">
        <v>105</v>
      </c>
      <c r="H26" s="506" t="s">
        <v>60</v>
      </c>
      <c r="I26" s="247" t="s">
        <v>102</v>
      </c>
      <c r="J26" s="248" t="s">
        <v>62</v>
      </c>
      <c r="K26" s="249" t="s">
        <v>63</v>
      </c>
      <c r="L26" s="245">
        <v>1</v>
      </c>
      <c r="M26" s="277"/>
      <c r="N26" s="251" t="s">
        <v>74</v>
      </c>
      <c r="O26" s="251">
        <v>20000</v>
      </c>
      <c r="P26" s="252">
        <v>0</v>
      </c>
      <c r="Q26" s="252"/>
      <c r="R26" s="252"/>
      <c r="S26" s="252">
        <v>0</v>
      </c>
      <c r="T26" s="253" t="s">
        <v>103</v>
      </c>
      <c r="U26" s="254">
        <v>79</v>
      </c>
      <c r="V26" s="252">
        <f t="shared" si="0"/>
        <v>40.862068965517246</v>
      </c>
      <c r="W26" s="255">
        <f t="shared" si="1"/>
        <v>0</v>
      </c>
      <c r="X26" s="256">
        <f t="shared" si="2"/>
        <v>1</v>
      </c>
      <c r="Y26" s="257">
        <v>0.4</v>
      </c>
      <c r="Z26" s="248" t="s">
        <v>66</v>
      </c>
      <c r="AA26" s="251" t="s">
        <v>67</v>
      </c>
      <c r="AB26" s="249"/>
      <c r="AC26" s="249"/>
      <c r="AD26" s="249"/>
      <c r="BA26" s="248">
        <v>1</v>
      </c>
      <c r="BB26" s="265"/>
      <c r="BC26" s="265"/>
      <c r="BD26" s="265"/>
      <c r="BE26" s="265"/>
      <c r="BF26" s="265"/>
      <c r="BG26" s="265"/>
      <c r="BH26" s="265"/>
      <c r="BI26" s="265"/>
      <c r="BJ26" s="244">
        <v>9</v>
      </c>
      <c r="BK26" s="244">
        <f t="shared" si="3"/>
        <v>1</v>
      </c>
      <c r="BL26" s="258">
        <f t="shared" si="4"/>
        <v>0.1111111111111111</v>
      </c>
      <c r="BM26" s="259"/>
      <c r="BN26" s="259"/>
      <c r="BO26" s="259"/>
      <c r="BP26" s="259"/>
      <c r="BQ26" s="259"/>
      <c r="BR26" s="259"/>
      <c r="BS26" s="260">
        <v>0</v>
      </c>
      <c r="BT26" s="283">
        <f t="shared" si="5"/>
        <v>0</v>
      </c>
      <c r="BU26" s="283"/>
      <c r="BV26" s="260"/>
      <c r="CJ26" s="260"/>
      <c r="CK26" s="260"/>
      <c r="CL26" s="260"/>
      <c r="CM26" s="260"/>
      <c r="CN26" s="260"/>
      <c r="CO26" s="260"/>
      <c r="CP26" s="261"/>
      <c r="CQ26" s="261"/>
      <c r="CR26" s="262"/>
      <c r="CS26" s="262"/>
      <c r="CT26" s="262"/>
      <c r="CU26" s="262"/>
      <c r="CV26" s="262"/>
      <c r="CW26" s="262"/>
      <c r="CX26" s="262"/>
      <c r="CY26" s="262"/>
      <c r="CZ26" s="262"/>
      <c r="DA26" s="262"/>
    </row>
    <row r="27" spans="1:105" ht="34.5">
      <c r="A27" s="248">
        <v>48</v>
      </c>
      <c r="B27" s="264" t="s">
        <v>56</v>
      </c>
      <c r="C27" s="265" t="s">
        <v>57</v>
      </c>
      <c r="D27" s="264"/>
      <c r="E27" s="244"/>
      <c r="F27" s="244" t="s">
        <v>106</v>
      </c>
      <c r="G27" s="245" t="s">
        <v>107</v>
      </c>
      <c r="H27" s="506" t="s">
        <v>60</v>
      </c>
      <c r="I27" s="272" t="s">
        <v>108</v>
      </c>
      <c r="J27" s="248" t="s">
        <v>62</v>
      </c>
      <c r="K27" s="249" t="s">
        <v>63</v>
      </c>
      <c r="L27" s="245">
        <v>1</v>
      </c>
      <c r="M27" s="277"/>
      <c r="N27" s="251" t="s">
        <v>74</v>
      </c>
      <c r="O27" s="251">
        <v>20000</v>
      </c>
      <c r="P27" s="252">
        <v>0</v>
      </c>
      <c r="Q27" s="252"/>
      <c r="R27" s="252"/>
      <c r="S27" s="252">
        <v>0</v>
      </c>
      <c r="T27" s="253" t="s">
        <v>109</v>
      </c>
      <c r="U27" s="254">
        <v>119</v>
      </c>
      <c r="V27" s="252">
        <f t="shared" si="0"/>
        <v>61.551724137931032</v>
      </c>
      <c r="W27" s="255">
        <f t="shared" si="1"/>
        <v>0</v>
      </c>
      <c r="X27" s="256">
        <f t="shared" si="2"/>
        <v>1</v>
      </c>
      <c r="Y27" s="257">
        <v>0.4</v>
      </c>
      <c r="Z27" s="248"/>
      <c r="AA27" s="273"/>
      <c r="AB27" s="245"/>
      <c r="AC27" s="245"/>
      <c r="AD27" s="245"/>
      <c r="BA27" s="248">
        <v>1</v>
      </c>
      <c r="BB27" s="248"/>
      <c r="BC27" s="248"/>
      <c r="BD27" s="248"/>
      <c r="BE27" s="248"/>
      <c r="BF27" s="248"/>
      <c r="BG27" s="248"/>
      <c r="BH27" s="248"/>
      <c r="BI27" s="248"/>
      <c r="BJ27" s="244">
        <v>9</v>
      </c>
      <c r="BK27" s="244">
        <f t="shared" si="3"/>
        <v>1</v>
      </c>
      <c r="BL27" s="258">
        <f t="shared" si="4"/>
        <v>0.1111111111111111</v>
      </c>
      <c r="BM27" s="259"/>
      <c r="BN27" s="259"/>
      <c r="BO27" s="259"/>
      <c r="BP27" s="259"/>
      <c r="BQ27" s="259"/>
      <c r="BR27" s="259"/>
      <c r="BS27" s="260">
        <v>0</v>
      </c>
      <c r="BT27" s="283">
        <f t="shared" si="5"/>
        <v>0</v>
      </c>
      <c r="BU27" s="283"/>
      <c r="BV27" s="260"/>
      <c r="CJ27" s="260"/>
      <c r="CK27" s="260"/>
      <c r="CL27" s="260"/>
      <c r="CM27" s="260"/>
      <c r="CN27" s="260"/>
      <c r="CO27" s="260"/>
      <c r="CP27" s="261"/>
      <c r="CQ27" s="261"/>
      <c r="CR27" s="262"/>
      <c r="CS27" s="262"/>
      <c r="CT27" s="262"/>
      <c r="CU27" s="262"/>
      <c r="CV27" s="262"/>
      <c r="CW27" s="262"/>
      <c r="CX27" s="262"/>
      <c r="CY27" s="262"/>
      <c r="CZ27" s="262"/>
      <c r="DA27" s="262"/>
    </row>
    <row r="28" spans="1:105" ht="46">
      <c r="A28" s="248">
        <v>49</v>
      </c>
      <c r="B28" s="264" t="s">
        <v>56</v>
      </c>
      <c r="C28" s="265" t="s">
        <v>57</v>
      </c>
      <c r="D28" s="264"/>
      <c r="E28" s="244"/>
      <c r="F28" s="244"/>
      <c r="G28" s="245" t="s">
        <v>110</v>
      </c>
      <c r="H28" s="506" t="s">
        <v>60</v>
      </c>
      <c r="I28" s="247" t="s">
        <v>95</v>
      </c>
      <c r="J28" s="248" t="s">
        <v>62</v>
      </c>
      <c r="K28" s="249" t="s">
        <v>63</v>
      </c>
      <c r="L28" s="245">
        <v>1</v>
      </c>
      <c r="M28" s="277"/>
      <c r="N28" s="251" t="s">
        <v>74</v>
      </c>
      <c r="O28" s="251">
        <v>10000</v>
      </c>
      <c r="P28" s="252">
        <v>0</v>
      </c>
      <c r="Q28" s="252"/>
      <c r="R28" s="252"/>
      <c r="S28" s="252">
        <v>0</v>
      </c>
      <c r="T28" s="253" t="s">
        <v>111</v>
      </c>
      <c r="U28" s="254">
        <v>699</v>
      </c>
      <c r="V28" s="252">
        <f t="shared" si="0"/>
        <v>361.55172413793105</v>
      </c>
      <c r="W28" s="255">
        <f t="shared" si="1"/>
        <v>0</v>
      </c>
      <c r="X28" s="256">
        <f t="shared" si="2"/>
        <v>1</v>
      </c>
      <c r="Y28" s="257">
        <v>0.4</v>
      </c>
      <c r="Z28" s="248"/>
      <c r="AA28" s="273"/>
      <c r="AB28" s="245"/>
      <c r="AC28" s="245"/>
      <c r="AD28" s="245"/>
      <c r="BA28" s="248">
        <v>1</v>
      </c>
      <c r="BB28" s="248"/>
      <c r="BC28" s="248"/>
      <c r="BD28" s="248"/>
      <c r="BE28" s="248"/>
      <c r="BF28" s="248"/>
      <c r="BG28" s="248"/>
      <c r="BH28" s="248"/>
      <c r="BI28" s="248"/>
      <c r="BJ28" s="244">
        <v>9</v>
      </c>
      <c r="BK28" s="244">
        <f t="shared" si="3"/>
        <v>1</v>
      </c>
      <c r="BL28" s="258">
        <f t="shared" si="4"/>
        <v>0.1111111111111111</v>
      </c>
      <c r="BM28" s="259"/>
      <c r="BN28" s="259"/>
      <c r="BO28" s="259"/>
      <c r="BP28" s="259"/>
      <c r="BQ28" s="259"/>
      <c r="BR28" s="259"/>
      <c r="BS28" s="260">
        <v>0</v>
      </c>
      <c r="BT28" s="283">
        <f t="shared" si="5"/>
        <v>0</v>
      </c>
      <c r="BU28" s="283"/>
      <c r="BV28" s="260"/>
      <c r="CJ28" s="260"/>
      <c r="CK28" s="260"/>
      <c r="CL28" s="260"/>
      <c r="CM28" s="260"/>
      <c r="CN28" s="260"/>
      <c r="CO28" s="260"/>
      <c r="CP28" s="261"/>
      <c r="CQ28" s="261"/>
      <c r="CR28" s="262"/>
      <c r="CS28" s="262"/>
      <c r="CT28" s="262"/>
      <c r="CU28" s="262"/>
      <c r="CV28" s="262"/>
      <c r="CW28" s="262"/>
      <c r="CX28" s="262"/>
      <c r="CY28" s="262"/>
      <c r="CZ28" s="262"/>
      <c r="DA28" s="262"/>
    </row>
    <row r="29" spans="1:105" ht="34.5">
      <c r="A29" s="248">
        <v>50</v>
      </c>
      <c r="B29" s="264" t="s">
        <v>56</v>
      </c>
      <c r="C29" s="265" t="s">
        <v>57</v>
      </c>
      <c r="D29" s="264"/>
      <c r="E29" s="244"/>
      <c r="F29" s="244"/>
      <c r="G29" s="245" t="s">
        <v>112</v>
      </c>
      <c r="H29" s="506" t="s">
        <v>60</v>
      </c>
      <c r="I29" s="247" t="s">
        <v>95</v>
      </c>
      <c r="J29" s="248" t="s">
        <v>62</v>
      </c>
      <c r="K29" s="249" t="s">
        <v>63</v>
      </c>
      <c r="L29" s="245">
        <v>1</v>
      </c>
      <c r="M29" s="277"/>
      <c r="N29" s="251" t="s">
        <v>74</v>
      </c>
      <c r="O29" s="251">
        <v>10000</v>
      </c>
      <c r="P29" s="252">
        <v>0</v>
      </c>
      <c r="Q29" s="252"/>
      <c r="R29" s="252"/>
      <c r="S29" s="252">
        <v>0</v>
      </c>
      <c r="T29" s="253" t="s">
        <v>113</v>
      </c>
      <c r="U29" s="254">
        <v>599</v>
      </c>
      <c r="V29" s="252">
        <f t="shared" si="0"/>
        <v>309.82758620689657</v>
      </c>
      <c r="W29" s="255">
        <f t="shared" si="1"/>
        <v>0</v>
      </c>
      <c r="X29" s="256">
        <f t="shared" si="2"/>
        <v>1</v>
      </c>
      <c r="Y29" s="257">
        <v>0.4</v>
      </c>
      <c r="Z29" s="248"/>
      <c r="AA29" s="273"/>
      <c r="AB29" s="245"/>
      <c r="AC29" s="245"/>
      <c r="AD29" s="245"/>
      <c r="BA29" s="248">
        <v>1</v>
      </c>
      <c r="BB29" s="248"/>
      <c r="BC29" s="248"/>
      <c r="BD29" s="248"/>
      <c r="BE29" s="248"/>
      <c r="BF29" s="248"/>
      <c r="BG29" s="248"/>
      <c r="BH29" s="248"/>
      <c r="BI29" s="248"/>
      <c r="BJ29" s="244">
        <v>9</v>
      </c>
      <c r="BK29" s="244">
        <f t="shared" si="3"/>
        <v>1</v>
      </c>
      <c r="BL29" s="258">
        <f t="shared" si="4"/>
        <v>0.1111111111111111</v>
      </c>
      <c r="BM29" s="259"/>
      <c r="BN29" s="259"/>
      <c r="BO29" s="259"/>
      <c r="BP29" s="259"/>
      <c r="BQ29" s="259"/>
      <c r="BR29" s="259"/>
      <c r="BS29" s="260">
        <v>0</v>
      </c>
      <c r="BT29" s="283">
        <f t="shared" si="5"/>
        <v>0</v>
      </c>
      <c r="BU29" s="283"/>
      <c r="BV29" s="260"/>
      <c r="CJ29" s="260"/>
      <c r="CK29" s="260"/>
      <c r="CL29" s="260"/>
      <c r="CM29" s="260"/>
      <c r="CN29" s="260"/>
      <c r="CO29" s="260"/>
      <c r="CP29" s="261"/>
      <c r="CQ29" s="261"/>
      <c r="CR29" s="262"/>
      <c r="CS29" s="262"/>
      <c r="CT29" s="262"/>
      <c r="CU29" s="262"/>
      <c r="CV29" s="262"/>
      <c r="CW29" s="262"/>
      <c r="CX29" s="262"/>
      <c r="CY29" s="262"/>
      <c r="CZ29" s="262"/>
      <c r="DA29" s="262"/>
    </row>
    <row r="30" spans="1:105" ht="69">
      <c r="A30" s="248">
        <v>51</v>
      </c>
      <c r="B30" s="264" t="s">
        <v>56</v>
      </c>
      <c r="C30" s="265" t="s">
        <v>57</v>
      </c>
      <c r="D30" s="264"/>
      <c r="E30" s="244"/>
      <c r="F30" s="244"/>
      <c r="G30" s="245" t="s">
        <v>114</v>
      </c>
      <c r="H30" s="506" t="s">
        <v>60</v>
      </c>
      <c r="I30" s="247" t="s">
        <v>95</v>
      </c>
      <c r="J30" s="248" t="s">
        <v>62</v>
      </c>
      <c r="K30" s="249" t="s">
        <v>63</v>
      </c>
      <c r="L30" s="245">
        <v>1</v>
      </c>
      <c r="M30" s="277">
        <v>0.42</v>
      </c>
      <c r="N30" s="251" t="s">
        <v>74</v>
      </c>
      <c r="O30" s="251">
        <v>10000</v>
      </c>
      <c r="P30" s="252">
        <v>7.56</v>
      </c>
      <c r="Q30" s="252">
        <v>0.5292</v>
      </c>
      <c r="R30" s="252">
        <v>0.16178400000000001</v>
      </c>
      <c r="S30" s="276">
        <v>8.2509840000000008</v>
      </c>
      <c r="T30" s="253" t="s">
        <v>115</v>
      </c>
      <c r="U30" s="254">
        <v>599</v>
      </c>
      <c r="V30" s="252">
        <f t="shared" si="0"/>
        <v>309.82758620689657</v>
      </c>
      <c r="W30" s="255">
        <f t="shared" si="1"/>
        <v>2.6630888814691153E-2</v>
      </c>
      <c r="X30" s="256">
        <f t="shared" si="2"/>
        <v>0.97336911118530889</v>
      </c>
      <c r="Y30" s="257">
        <v>0.4</v>
      </c>
      <c r="Z30" s="248"/>
      <c r="AA30" s="273"/>
      <c r="AB30" s="245"/>
      <c r="AC30" s="245"/>
      <c r="AD30" s="245"/>
      <c r="BA30" s="248">
        <v>1</v>
      </c>
      <c r="BB30" s="248"/>
      <c r="BC30" s="248"/>
      <c r="BD30" s="248"/>
      <c r="BE30" s="248"/>
      <c r="BF30" s="248"/>
      <c r="BG30" s="248"/>
      <c r="BH30" s="248"/>
      <c r="BI30" s="248"/>
      <c r="BJ30" s="244">
        <v>9</v>
      </c>
      <c r="BK30" s="244">
        <f t="shared" si="3"/>
        <v>1</v>
      </c>
      <c r="BL30" s="258">
        <f t="shared" si="4"/>
        <v>0.1111111111111111</v>
      </c>
      <c r="BM30" s="259"/>
      <c r="BN30" s="259"/>
      <c r="BO30" s="259"/>
      <c r="BP30" s="259"/>
      <c r="BQ30" s="259"/>
      <c r="BR30" s="259"/>
      <c r="BS30" s="260">
        <v>0</v>
      </c>
      <c r="BT30" s="283">
        <f t="shared" si="5"/>
        <v>0</v>
      </c>
      <c r="BU30" s="283"/>
      <c r="BV30" s="260"/>
      <c r="CJ30" s="260"/>
      <c r="CK30" s="260"/>
      <c r="CL30" s="260"/>
      <c r="CM30" s="260"/>
      <c r="CN30" s="260"/>
      <c r="CO30" s="260"/>
      <c r="CP30" s="261"/>
      <c r="CQ30" s="261"/>
      <c r="CR30" s="262"/>
      <c r="CS30" s="262"/>
      <c r="CT30" s="262"/>
      <c r="CU30" s="262"/>
      <c r="CV30" s="262"/>
      <c r="CW30" s="262"/>
      <c r="CX30" s="262"/>
      <c r="CY30" s="262"/>
      <c r="CZ30" s="262"/>
      <c r="DA30" s="262"/>
    </row>
    <row r="31" spans="1:105" ht="12">
      <c r="A31" s="248">
        <v>52</v>
      </c>
      <c r="B31" s="264" t="s">
        <v>56</v>
      </c>
      <c r="C31" s="265" t="s">
        <v>57</v>
      </c>
      <c r="D31" s="264"/>
      <c r="E31" s="244"/>
      <c r="F31" s="244" t="s">
        <v>116</v>
      </c>
      <c r="G31" s="245" t="s">
        <v>117</v>
      </c>
      <c r="H31" s="506"/>
      <c r="I31" s="247"/>
      <c r="J31" s="248"/>
      <c r="K31" s="249" t="s">
        <v>63</v>
      </c>
      <c r="L31" s="245">
        <v>1</v>
      </c>
      <c r="M31" s="267"/>
      <c r="N31" s="251" t="s">
        <v>74</v>
      </c>
      <c r="O31" s="251">
        <v>20002</v>
      </c>
      <c r="P31" s="252">
        <v>0</v>
      </c>
      <c r="Q31" s="252"/>
      <c r="R31" s="252"/>
      <c r="S31" s="252">
        <v>16.53</v>
      </c>
      <c r="T31" s="252">
        <v>249</v>
      </c>
      <c r="U31" s="254">
        <v>89</v>
      </c>
      <c r="V31" s="252">
        <f t="shared" si="0"/>
        <v>46.03448275862069</v>
      </c>
      <c r="W31" s="255">
        <f t="shared" si="1"/>
        <v>0.35907865168539327</v>
      </c>
      <c r="X31" s="256">
        <f t="shared" si="2"/>
        <v>0.64092134831460679</v>
      </c>
      <c r="Y31" s="257">
        <v>0.4</v>
      </c>
      <c r="Z31" s="248"/>
      <c r="AA31" s="251"/>
      <c r="AB31" s="249"/>
      <c r="AC31" s="249"/>
      <c r="AD31" s="249"/>
      <c r="BA31" s="248">
        <v>1</v>
      </c>
      <c r="BB31" s="265"/>
      <c r="BC31" s="265"/>
      <c r="BD31" s="265"/>
      <c r="BE31" s="265"/>
      <c r="BF31" s="265"/>
      <c r="BG31" s="265"/>
      <c r="BH31" s="265"/>
      <c r="BI31" s="265"/>
      <c r="BJ31" s="244">
        <v>9</v>
      </c>
      <c r="BK31" s="244">
        <f t="shared" si="3"/>
        <v>1</v>
      </c>
      <c r="BL31" s="258">
        <f t="shared" si="4"/>
        <v>0.1111111111111111</v>
      </c>
      <c r="BM31" s="259"/>
      <c r="BN31" s="259"/>
      <c r="BO31" s="259"/>
      <c r="BP31" s="259"/>
      <c r="BQ31" s="259"/>
      <c r="BR31" s="259"/>
      <c r="BS31" s="260">
        <v>0</v>
      </c>
      <c r="BT31" s="283">
        <f t="shared" si="5"/>
        <v>0</v>
      </c>
      <c r="BU31" s="283"/>
      <c r="BV31" s="260"/>
      <c r="CJ31" s="260"/>
      <c r="CK31" s="260"/>
      <c r="CL31" s="260"/>
      <c r="CM31" s="260"/>
      <c r="CN31" s="260"/>
      <c r="CO31" s="260"/>
      <c r="CP31" s="261"/>
      <c r="CQ31" s="261"/>
      <c r="CR31" s="262"/>
      <c r="CS31" s="262"/>
      <c r="CT31" s="262"/>
      <c r="CU31" s="262"/>
      <c r="CV31" s="262"/>
      <c r="CW31" s="262"/>
      <c r="CX31" s="262"/>
      <c r="CY31" s="262"/>
      <c r="CZ31" s="262"/>
      <c r="DA31" s="262"/>
    </row>
    <row r="32" spans="1:105" ht="12">
      <c r="A32" s="248">
        <v>53</v>
      </c>
      <c r="B32" s="264" t="s">
        <v>56</v>
      </c>
      <c r="C32" s="265" t="s">
        <v>57</v>
      </c>
      <c r="D32" s="264"/>
      <c r="E32" s="244"/>
      <c r="F32" s="244" t="s">
        <v>118</v>
      </c>
      <c r="G32" s="245" t="s">
        <v>119</v>
      </c>
      <c r="H32" s="506"/>
      <c r="I32" s="247"/>
      <c r="J32" s="248"/>
      <c r="K32" s="249" t="s">
        <v>63</v>
      </c>
      <c r="L32" s="245">
        <v>1</v>
      </c>
      <c r="M32" s="267"/>
      <c r="N32" s="251" t="s">
        <v>74</v>
      </c>
      <c r="O32" s="251">
        <v>20003</v>
      </c>
      <c r="P32" s="252">
        <v>0</v>
      </c>
      <c r="Q32" s="252"/>
      <c r="R32" s="252"/>
      <c r="S32" s="252">
        <v>17.89</v>
      </c>
      <c r="T32" s="252">
        <v>249</v>
      </c>
      <c r="U32" s="254">
        <v>89</v>
      </c>
      <c r="V32" s="252">
        <f t="shared" si="0"/>
        <v>46.03448275862069</v>
      </c>
      <c r="W32" s="255">
        <f t="shared" si="1"/>
        <v>0.38862172284644197</v>
      </c>
      <c r="X32" s="256">
        <f t="shared" si="2"/>
        <v>0.61137827715355808</v>
      </c>
      <c r="Y32" s="257">
        <v>0.4</v>
      </c>
      <c r="Z32" s="248"/>
      <c r="AA32" s="251"/>
      <c r="AB32" s="249"/>
      <c r="AC32" s="249"/>
      <c r="AD32" s="249"/>
      <c r="BA32" s="248">
        <v>1</v>
      </c>
      <c r="BB32" s="265"/>
      <c r="BC32" s="265"/>
      <c r="BD32" s="265"/>
      <c r="BE32" s="265"/>
      <c r="BF32" s="265"/>
      <c r="BG32" s="265"/>
      <c r="BH32" s="265"/>
      <c r="BI32" s="265"/>
      <c r="BJ32" s="244">
        <v>9</v>
      </c>
      <c r="BK32" s="244">
        <f t="shared" si="3"/>
        <v>1</v>
      </c>
      <c r="BL32" s="258">
        <f t="shared" si="4"/>
        <v>0.1111111111111111</v>
      </c>
      <c r="BM32" s="259"/>
      <c r="BN32" s="259"/>
      <c r="BO32" s="259"/>
      <c r="BP32" s="259"/>
      <c r="BQ32" s="259"/>
      <c r="BR32" s="259"/>
      <c r="BS32" s="260">
        <v>0</v>
      </c>
      <c r="BT32" s="283">
        <f t="shared" si="5"/>
        <v>0</v>
      </c>
      <c r="BU32" s="283"/>
      <c r="BV32" s="260"/>
      <c r="CJ32" s="260"/>
      <c r="CK32" s="260"/>
      <c r="CL32" s="260"/>
      <c r="CM32" s="260"/>
      <c r="CN32" s="260"/>
      <c r="CO32" s="260"/>
      <c r="CP32" s="261"/>
      <c r="CQ32" s="261"/>
      <c r="CR32" s="262"/>
      <c r="CS32" s="262"/>
      <c r="CT32" s="262"/>
      <c r="CU32" s="262"/>
      <c r="CV32" s="262"/>
      <c r="CW32" s="262"/>
      <c r="CX32" s="262"/>
      <c r="CY32" s="262"/>
      <c r="CZ32" s="262"/>
      <c r="DA32" s="262"/>
    </row>
    <row r="33" spans="1:105" ht="12">
      <c r="A33" s="248">
        <v>54</v>
      </c>
      <c r="B33" s="264" t="s">
        <v>56</v>
      </c>
      <c r="C33" s="265" t="s">
        <v>57</v>
      </c>
      <c r="D33" s="264"/>
      <c r="E33" s="244"/>
      <c r="F33" s="244" t="s">
        <v>120</v>
      </c>
      <c r="G33" s="245" t="s">
        <v>121</v>
      </c>
      <c r="H33" s="506"/>
      <c r="I33" s="247"/>
      <c r="J33" s="248"/>
      <c r="K33" s="249" t="s">
        <v>63</v>
      </c>
      <c r="L33" s="245">
        <v>1</v>
      </c>
      <c r="M33" s="267"/>
      <c r="N33" s="251" t="s">
        <v>74</v>
      </c>
      <c r="O33" s="251">
        <v>20005</v>
      </c>
      <c r="P33" s="252">
        <v>0</v>
      </c>
      <c r="Q33" s="252"/>
      <c r="R33" s="252"/>
      <c r="S33" s="252">
        <v>17.89</v>
      </c>
      <c r="T33" s="252">
        <v>249</v>
      </c>
      <c r="U33" s="254">
        <v>89</v>
      </c>
      <c r="V33" s="252">
        <f t="shared" si="0"/>
        <v>46.03448275862069</v>
      </c>
      <c r="W33" s="255">
        <f t="shared" si="1"/>
        <v>0.38862172284644197</v>
      </c>
      <c r="X33" s="256">
        <f t="shared" si="2"/>
        <v>0.61137827715355808</v>
      </c>
      <c r="Y33" s="257">
        <v>0.4</v>
      </c>
      <c r="Z33" s="248"/>
      <c r="AA33" s="251"/>
      <c r="AB33" s="249"/>
      <c r="AC33" s="249"/>
      <c r="AD33" s="249"/>
      <c r="BA33" s="248">
        <v>1</v>
      </c>
      <c r="BB33" s="265"/>
      <c r="BC33" s="265"/>
      <c r="BD33" s="265"/>
      <c r="BE33" s="265"/>
      <c r="BF33" s="265"/>
      <c r="BG33" s="265"/>
      <c r="BH33" s="265"/>
      <c r="BI33" s="265"/>
      <c r="BJ33" s="244">
        <v>9</v>
      </c>
      <c r="BK33" s="244">
        <f t="shared" si="3"/>
        <v>1</v>
      </c>
      <c r="BL33" s="258">
        <f t="shared" si="4"/>
        <v>0.1111111111111111</v>
      </c>
      <c r="BM33" s="259"/>
      <c r="BN33" s="259"/>
      <c r="BO33" s="259"/>
      <c r="BP33" s="259"/>
      <c r="BQ33" s="259"/>
      <c r="BR33" s="259"/>
      <c r="BS33" s="260">
        <v>0</v>
      </c>
      <c r="BT33" s="283">
        <f t="shared" si="5"/>
        <v>0</v>
      </c>
      <c r="BU33" s="283"/>
      <c r="BV33" s="260"/>
      <c r="CJ33" s="260"/>
      <c r="CK33" s="260"/>
      <c r="CL33" s="260"/>
      <c r="CM33" s="260"/>
      <c r="CN33" s="260"/>
      <c r="CO33" s="260"/>
      <c r="CP33" s="261"/>
      <c r="CQ33" s="261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</row>
    <row r="34" spans="1:105" ht="12">
      <c r="A34" s="248">
        <v>55</v>
      </c>
      <c r="B34" s="264" t="s">
        <v>56</v>
      </c>
      <c r="C34" s="265" t="s">
        <v>57</v>
      </c>
      <c r="D34" s="264"/>
      <c r="E34" s="244"/>
      <c r="F34" s="244" t="s">
        <v>122</v>
      </c>
      <c r="G34" s="245" t="s">
        <v>123</v>
      </c>
      <c r="H34" s="509"/>
      <c r="I34" s="247"/>
      <c r="J34" s="248"/>
      <c r="K34" s="249" t="s">
        <v>63</v>
      </c>
      <c r="L34" s="245">
        <v>1</v>
      </c>
      <c r="M34" s="267"/>
      <c r="N34" s="251" t="s">
        <v>74</v>
      </c>
      <c r="O34" s="251">
        <v>20006</v>
      </c>
      <c r="P34" s="252">
        <v>0</v>
      </c>
      <c r="Q34" s="252"/>
      <c r="R34" s="252"/>
      <c r="S34" s="252">
        <v>17.89</v>
      </c>
      <c r="T34" s="252">
        <v>249</v>
      </c>
      <c r="U34" s="254">
        <v>89</v>
      </c>
      <c r="V34" s="252">
        <f t="shared" si="0"/>
        <v>46.03448275862069</v>
      </c>
      <c r="W34" s="255">
        <f t="shared" si="1"/>
        <v>0.38862172284644197</v>
      </c>
      <c r="X34" s="256">
        <f t="shared" si="2"/>
        <v>0.61137827715355808</v>
      </c>
      <c r="Y34" s="257">
        <v>0.4</v>
      </c>
      <c r="Z34" s="248"/>
      <c r="AA34" s="251"/>
      <c r="AB34" s="249"/>
      <c r="AC34" s="249"/>
      <c r="AD34" s="249"/>
      <c r="BA34" s="248">
        <v>1</v>
      </c>
      <c r="BB34" s="265"/>
      <c r="BC34" s="265"/>
      <c r="BD34" s="265"/>
      <c r="BE34" s="265"/>
      <c r="BF34" s="265"/>
      <c r="BG34" s="265"/>
      <c r="BH34" s="265"/>
      <c r="BI34" s="265"/>
      <c r="BJ34" s="244">
        <v>9</v>
      </c>
      <c r="BK34" s="244">
        <f t="shared" si="3"/>
        <v>1</v>
      </c>
      <c r="BL34" s="258">
        <f t="shared" si="4"/>
        <v>0.1111111111111111</v>
      </c>
      <c r="BM34" s="259"/>
      <c r="BN34" s="259"/>
      <c r="BO34" s="259"/>
      <c r="BP34" s="259"/>
      <c r="BQ34" s="259"/>
      <c r="BR34" s="259"/>
      <c r="BS34" s="260">
        <v>0</v>
      </c>
      <c r="BT34" s="283">
        <f t="shared" si="5"/>
        <v>0</v>
      </c>
      <c r="BU34" s="283"/>
      <c r="BV34" s="260"/>
      <c r="CJ34" s="260"/>
      <c r="CK34" s="260"/>
      <c r="CL34" s="260"/>
      <c r="CM34" s="260"/>
      <c r="CN34" s="260"/>
      <c r="CO34" s="260"/>
      <c r="CP34" s="261"/>
      <c r="CQ34" s="261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</row>
    <row r="35" spans="1:105" ht="23">
      <c r="A35" s="248">
        <v>56</v>
      </c>
      <c r="B35" s="264" t="s">
        <v>56</v>
      </c>
      <c r="C35" s="265" t="s">
        <v>57</v>
      </c>
      <c r="D35" s="264"/>
      <c r="E35" s="244"/>
      <c r="F35" s="244" t="s">
        <v>124</v>
      </c>
      <c r="G35" s="245" t="s">
        <v>125</v>
      </c>
      <c r="H35" s="506"/>
      <c r="I35" s="247"/>
      <c r="J35" s="248"/>
      <c r="K35" s="249" t="s">
        <v>63</v>
      </c>
      <c r="L35" s="245">
        <v>1</v>
      </c>
      <c r="M35" s="267"/>
      <c r="N35" s="251" t="s">
        <v>74</v>
      </c>
      <c r="O35" s="251">
        <v>20008</v>
      </c>
      <c r="P35" s="252">
        <v>0</v>
      </c>
      <c r="Q35" s="252"/>
      <c r="R35" s="252"/>
      <c r="S35" s="252">
        <v>15.9</v>
      </c>
      <c r="T35" s="252">
        <v>249</v>
      </c>
      <c r="U35" s="254">
        <v>79</v>
      </c>
      <c r="V35" s="252">
        <f t="shared" si="0"/>
        <v>40.862068965517246</v>
      </c>
      <c r="W35" s="255">
        <f t="shared" si="1"/>
        <v>0.38911392405063289</v>
      </c>
      <c r="X35" s="256">
        <f t="shared" si="2"/>
        <v>0.61088607594936706</v>
      </c>
      <c r="Y35" s="257">
        <v>0.4</v>
      </c>
      <c r="Z35" s="248"/>
      <c r="AA35" s="251"/>
      <c r="AB35" s="249"/>
      <c r="AC35" s="249"/>
      <c r="AD35" s="249"/>
      <c r="BA35" s="248">
        <v>1</v>
      </c>
      <c r="BB35" s="265"/>
      <c r="BC35" s="265"/>
      <c r="BD35" s="265"/>
      <c r="BE35" s="265"/>
      <c r="BF35" s="265"/>
      <c r="BG35" s="265"/>
      <c r="BH35" s="265"/>
      <c r="BI35" s="265"/>
      <c r="BJ35" s="244">
        <v>9</v>
      </c>
      <c r="BK35" s="244">
        <f t="shared" si="3"/>
        <v>1</v>
      </c>
      <c r="BL35" s="258">
        <f t="shared" si="4"/>
        <v>0.1111111111111111</v>
      </c>
      <c r="BM35" s="259"/>
      <c r="BN35" s="259"/>
      <c r="BO35" s="259"/>
      <c r="BP35" s="259"/>
      <c r="BQ35" s="259"/>
      <c r="BR35" s="259"/>
      <c r="BS35" s="260">
        <v>0</v>
      </c>
      <c r="BT35" s="283">
        <f t="shared" si="5"/>
        <v>0</v>
      </c>
      <c r="BU35" s="283"/>
      <c r="BV35" s="260"/>
      <c r="CJ35" s="260"/>
      <c r="CK35" s="260"/>
      <c r="CL35" s="260"/>
      <c r="CM35" s="260"/>
      <c r="CN35" s="260"/>
      <c r="CO35" s="260"/>
      <c r="CP35" s="261"/>
      <c r="CQ35" s="261"/>
      <c r="CR35" s="262"/>
      <c r="CS35" s="262"/>
      <c r="CT35" s="262"/>
      <c r="CU35" s="262"/>
      <c r="CV35" s="262"/>
      <c r="CW35" s="262"/>
      <c r="CX35" s="262"/>
      <c r="CY35" s="262"/>
      <c r="CZ35" s="262"/>
      <c r="DA35" s="262"/>
    </row>
    <row r="36" spans="1:105" ht="12">
      <c r="A36" s="248">
        <v>57</v>
      </c>
      <c r="B36" s="264" t="s">
        <v>56</v>
      </c>
      <c r="C36" s="265" t="s">
        <v>57</v>
      </c>
      <c r="D36" s="264"/>
      <c r="E36" s="244"/>
      <c r="F36" s="244" t="s">
        <v>126</v>
      </c>
      <c r="G36" s="245" t="s">
        <v>127</v>
      </c>
      <c r="H36" s="506"/>
      <c r="I36" s="247"/>
      <c r="J36" s="248"/>
      <c r="K36" s="249" t="s">
        <v>63</v>
      </c>
      <c r="L36" s="245">
        <v>1</v>
      </c>
      <c r="M36" s="267"/>
      <c r="N36" s="251" t="s">
        <v>74</v>
      </c>
      <c r="O36" s="251">
        <v>20009</v>
      </c>
      <c r="P36" s="252">
        <v>0</v>
      </c>
      <c r="Q36" s="252"/>
      <c r="R36" s="252"/>
      <c r="S36" s="252">
        <v>15.9</v>
      </c>
      <c r="T36" s="252">
        <v>249</v>
      </c>
      <c r="U36" s="254">
        <v>79</v>
      </c>
      <c r="V36" s="252">
        <f t="shared" si="0"/>
        <v>40.862068965517246</v>
      </c>
      <c r="W36" s="255">
        <f t="shared" si="1"/>
        <v>0.38911392405063289</v>
      </c>
      <c r="X36" s="256">
        <f t="shared" si="2"/>
        <v>0.61088607594936706</v>
      </c>
      <c r="Y36" s="257">
        <v>0.4</v>
      </c>
      <c r="Z36" s="248"/>
      <c r="AA36" s="251"/>
      <c r="AB36" s="249"/>
      <c r="AC36" s="249"/>
      <c r="AD36" s="249"/>
      <c r="BA36" s="248">
        <v>1</v>
      </c>
      <c r="BB36" s="265"/>
      <c r="BC36" s="265"/>
      <c r="BD36" s="265"/>
      <c r="BE36" s="265"/>
      <c r="BF36" s="265"/>
      <c r="BG36" s="265"/>
      <c r="BH36" s="265"/>
      <c r="BI36" s="265"/>
      <c r="BJ36" s="244">
        <v>9</v>
      </c>
      <c r="BK36" s="244">
        <f t="shared" si="3"/>
        <v>1</v>
      </c>
      <c r="BL36" s="258">
        <f t="shared" si="4"/>
        <v>0.1111111111111111</v>
      </c>
      <c r="BM36" s="259"/>
      <c r="BN36" s="259"/>
      <c r="BO36" s="259"/>
      <c r="BP36" s="259"/>
      <c r="BQ36" s="259"/>
      <c r="BR36" s="259"/>
      <c r="BS36" s="260">
        <v>0</v>
      </c>
      <c r="BT36" s="283">
        <f t="shared" si="5"/>
        <v>0</v>
      </c>
      <c r="BU36" s="283"/>
      <c r="BV36" s="260"/>
      <c r="CJ36" s="260"/>
      <c r="CK36" s="260"/>
      <c r="CL36" s="260"/>
      <c r="CM36" s="260"/>
      <c r="CN36" s="260"/>
      <c r="CO36" s="260"/>
      <c r="CP36" s="261"/>
      <c r="CQ36" s="261"/>
      <c r="CR36" s="262"/>
      <c r="CS36" s="262"/>
      <c r="CT36" s="262"/>
      <c r="CU36" s="262"/>
      <c r="CV36" s="262"/>
      <c r="CW36" s="262"/>
      <c r="CX36" s="262"/>
      <c r="CY36" s="262"/>
      <c r="CZ36" s="262"/>
      <c r="DA36" s="262"/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4"/>
  <sheetViews>
    <sheetView zoomScale="70" zoomScaleNormal="70" workbookViewId="0">
      <pane xSplit="7" ySplit="16" topLeftCell="BA50" activePane="bottomRight" state="frozen"/>
      <selection pane="topRight"/>
      <selection pane="bottomLeft"/>
      <selection pane="bottomRight" activeCell="BL63" sqref="BL17:BL63"/>
    </sheetView>
  </sheetViews>
  <sheetFormatPr baseColWidth="10" defaultColWidth="11.54296875" defaultRowHeight="11.5"/>
  <cols>
    <col min="1" max="1" width="4" style="239" bestFit="1" customWidth="1"/>
    <col min="2" max="2" width="15.81640625" style="239" customWidth="1"/>
    <col min="3" max="3" width="13.1796875" style="239" customWidth="1"/>
    <col min="4" max="4" width="13.81640625" style="239" bestFit="1" customWidth="1"/>
    <col min="5" max="5" width="17.453125" style="239" customWidth="1"/>
    <col min="6" max="6" width="9.81640625" style="239" customWidth="1"/>
    <col min="7" max="7" width="27.81640625" style="239" customWidth="1"/>
    <col min="8" max="8" width="9.54296875" style="239" bestFit="1" customWidth="1"/>
    <col min="9" max="9" width="23.7265625" style="239" hidden="1" customWidth="1"/>
    <col min="10" max="10" width="6.26953125" style="239" bestFit="1" customWidth="1"/>
    <col min="11" max="11" width="26.54296875" style="239" hidden="1" customWidth="1"/>
    <col min="12" max="12" width="11.1796875" style="239" hidden="1" customWidth="1"/>
    <col min="13" max="13" width="9.26953125" style="239" hidden="1" customWidth="1"/>
    <col min="14" max="14" width="6.54296875" style="239" hidden="1" customWidth="1"/>
    <col min="15" max="15" width="8.1796875" style="239" hidden="1" customWidth="1"/>
    <col min="16" max="16" width="9.26953125" style="239" hidden="1" customWidth="1"/>
    <col min="17" max="18" width="8.1796875" style="239" hidden="1" customWidth="1"/>
    <col min="19" max="20" width="10.54296875" style="239" bestFit="1" customWidth="1"/>
    <col min="21" max="21" width="11.81640625" style="239" customWidth="1"/>
    <col min="22" max="22" width="10.54296875" style="239" bestFit="1" customWidth="1"/>
    <col min="23" max="23" width="9.54296875" style="239" customWidth="1"/>
    <col min="24" max="24" width="12.54296875" style="239" customWidth="1"/>
    <col min="25" max="25" width="13.453125" style="239" bestFit="1" customWidth="1"/>
    <col min="26" max="26" width="11.1796875" style="239" bestFit="1" customWidth="1"/>
    <col min="27" max="27" width="8.81640625" style="239" bestFit="1" customWidth="1"/>
    <col min="28" max="28" width="25.453125" style="239" hidden="1" customWidth="1"/>
    <col min="29" max="29" width="43.7265625" style="239" hidden="1" customWidth="1"/>
    <col min="30" max="30" width="18" style="239" customWidth="1"/>
    <col min="31" max="52" width="2.453125" style="239" customWidth="1"/>
    <col min="53" max="64" width="11.81640625" style="239" customWidth="1"/>
    <col min="65" max="70" width="2.81640625" style="233" customWidth="1"/>
    <col min="71" max="74" width="13" style="281" customWidth="1"/>
    <col min="75" max="87" width="3.453125" style="239" customWidth="1"/>
    <col min="88" max="88" width="13" style="281" bestFit="1" customWidth="1"/>
    <col min="89" max="89" width="11.1796875" style="281" bestFit="1" customWidth="1"/>
    <col min="90" max="90" width="19.1796875" style="281" bestFit="1" customWidth="1"/>
    <col min="91" max="91" width="11.1796875" style="281" bestFit="1" customWidth="1"/>
    <col min="92" max="92" width="27.81640625" style="281" bestFit="1" customWidth="1"/>
    <col min="93" max="93" width="11.1796875" style="281" bestFit="1" customWidth="1"/>
    <col min="94" max="94" width="20" style="239" bestFit="1" customWidth="1"/>
    <col min="95" max="95" width="12.81640625" style="239" bestFit="1" customWidth="1"/>
    <col min="96" max="96" width="32" style="239" bestFit="1" customWidth="1"/>
    <col min="97" max="97" width="6.81640625" style="239" bestFit="1" customWidth="1"/>
    <col min="98" max="98" width="28.26953125" style="239" bestFit="1" customWidth="1"/>
    <col min="99" max="99" width="6.81640625" style="239" bestFit="1" customWidth="1"/>
    <col min="100" max="100" width="17" style="239" bestFit="1" customWidth="1"/>
    <col min="101" max="101" width="6.81640625" style="239" bestFit="1" customWidth="1"/>
    <col min="102" max="102" width="24.54296875" style="239" bestFit="1" customWidth="1"/>
    <col min="103" max="103" width="6.81640625" style="239" bestFit="1" customWidth="1"/>
    <col min="104" max="104" width="35.453125" style="239" customWidth="1"/>
    <col min="105" max="105" width="6.81640625" style="239" bestFit="1" customWidth="1"/>
    <col min="106" max="16384" width="11.54296875" style="239"/>
  </cols>
  <sheetData>
    <row r="1" spans="1:105" s="233" customFormat="1" hidden="1">
      <c r="A1" s="229"/>
      <c r="B1" s="230"/>
      <c r="C1" s="230"/>
      <c r="D1" s="229"/>
      <c r="E1" s="231"/>
      <c r="F1" s="229"/>
      <c r="G1" s="229"/>
      <c r="H1" s="232"/>
      <c r="I1" s="229"/>
      <c r="J1" s="229"/>
      <c r="K1" s="229"/>
      <c r="L1" s="229"/>
      <c r="M1" s="229"/>
      <c r="N1" s="232"/>
      <c r="O1" s="232"/>
      <c r="P1" s="232"/>
      <c r="Q1" s="232"/>
      <c r="R1" s="232"/>
      <c r="S1" s="230"/>
      <c r="T1" s="232"/>
      <c r="U1" s="232"/>
      <c r="V1" s="232"/>
      <c r="W1" s="232"/>
      <c r="X1" s="232"/>
      <c r="Y1" s="232"/>
      <c r="Z1" s="229"/>
      <c r="AA1" s="232"/>
      <c r="AB1" s="232"/>
      <c r="AC1" s="229"/>
      <c r="AD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29"/>
      <c r="BR1" s="229"/>
      <c r="BS1" s="229"/>
      <c r="BT1" s="229"/>
      <c r="BU1" s="229"/>
      <c r="BV1" s="229"/>
      <c r="CJ1" s="229"/>
      <c r="CK1" s="229"/>
      <c r="CL1" s="229"/>
      <c r="CM1" s="229"/>
      <c r="CN1" s="229"/>
      <c r="CO1" s="229"/>
      <c r="CP1" s="229"/>
      <c r="CQ1" s="229"/>
      <c r="CR1" s="229"/>
      <c r="CS1" s="229"/>
      <c r="CT1" s="229"/>
      <c r="CU1" s="229"/>
      <c r="CV1" s="229"/>
      <c r="CW1" s="229"/>
      <c r="CX1" s="229"/>
      <c r="CY1" s="229"/>
      <c r="CZ1" s="229"/>
      <c r="DA1" s="229"/>
    </row>
    <row r="2" spans="1:105" s="233" customFormat="1" hidden="1">
      <c r="A2" s="229"/>
      <c r="B2" s="230"/>
      <c r="C2" s="230"/>
      <c r="D2" s="229"/>
      <c r="E2" s="231"/>
      <c r="F2" s="229"/>
      <c r="G2" s="229"/>
      <c r="H2" s="232"/>
      <c r="I2" s="229"/>
      <c r="J2" s="229"/>
      <c r="K2" s="229"/>
      <c r="L2" s="229"/>
      <c r="M2" s="229"/>
      <c r="N2" s="232"/>
      <c r="O2" s="232"/>
      <c r="P2" s="232"/>
      <c r="Q2" s="232"/>
      <c r="R2" s="232"/>
      <c r="S2" s="230"/>
      <c r="T2" s="232"/>
      <c r="U2" s="232"/>
      <c r="V2" s="232"/>
      <c r="W2" s="232"/>
      <c r="X2" s="232"/>
      <c r="Y2" s="232"/>
      <c r="Z2" s="229"/>
      <c r="AA2" s="232"/>
      <c r="AB2" s="232"/>
      <c r="AC2" s="229"/>
      <c r="AD2" s="229"/>
      <c r="BA2" s="229"/>
      <c r="BB2" s="229"/>
      <c r="BC2" s="229"/>
      <c r="BD2" s="229"/>
      <c r="BE2" s="229"/>
      <c r="BF2" s="229"/>
      <c r="BG2" s="229"/>
      <c r="BH2" s="229"/>
      <c r="BI2" s="229"/>
      <c r="BJ2" s="229"/>
      <c r="BK2" s="229"/>
      <c r="BL2" s="229"/>
      <c r="BM2" s="229"/>
      <c r="BN2" s="229"/>
      <c r="BO2" s="229"/>
      <c r="BP2" s="229"/>
      <c r="BQ2" s="229"/>
      <c r="BR2" s="229"/>
      <c r="BS2" s="229"/>
      <c r="BT2" s="229"/>
      <c r="BU2" s="229"/>
      <c r="BV2" s="229"/>
      <c r="CJ2" s="229"/>
      <c r="CK2" s="229"/>
      <c r="CL2" s="229"/>
      <c r="CM2" s="229"/>
      <c r="CN2" s="229"/>
      <c r="CO2" s="229"/>
      <c r="CP2" s="229"/>
      <c r="CQ2" s="229"/>
      <c r="CR2" s="229"/>
      <c r="CS2" s="229"/>
      <c r="CT2" s="229"/>
      <c r="CU2" s="229"/>
      <c r="CV2" s="229"/>
      <c r="CW2" s="229"/>
      <c r="CX2" s="229"/>
      <c r="CY2" s="229"/>
      <c r="CZ2" s="229"/>
      <c r="DA2" s="229"/>
    </row>
    <row r="3" spans="1:105" s="233" customFormat="1" hidden="1">
      <c r="A3" s="229"/>
      <c r="B3" s="230"/>
      <c r="C3" s="230"/>
      <c r="D3" s="229"/>
      <c r="E3" s="231"/>
      <c r="F3" s="229"/>
      <c r="G3" s="229"/>
      <c r="H3" s="232"/>
      <c r="I3" s="229"/>
      <c r="J3" s="229"/>
      <c r="K3" s="229"/>
      <c r="L3" s="229"/>
      <c r="M3" s="229"/>
      <c r="N3" s="232"/>
      <c r="O3" s="232"/>
      <c r="P3" s="232"/>
      <c r="Q3" s="232"/>
      <c r="R3" s="232"/>
      <c r="S3" s="230"/>
      <c r="T3" s="232"/>
      <c r="U3" s="232"/>
      <c r="V3" s="232"/>
      <c r="W3" s="232"/>
      <c r="X3" s="232"/>
      <c r="Y3" s="232"/>
      <c r="Z3" s="229"/>
      <c r="AA3" s="232"/>
      <c r="AB3" s="232"/>
      <c r="AC3" s="229"/>
      <c r="AD3" s="229"/>
      <c r="BA3" s="229"/>
      <c r="BB3" s="229"/>
      <c r="BC3" s="229"/>
      <c r="BD3" s="229"/>
      <c r="BE3" s="229"/>
      <c r="BF3" s="229"/>
      <c r="BG3" s="229"/>
      <c r="BH3" s="229"/>
      <c r="BI3" s="229"/>
      <c r="BJ3" s="229"/>
      <c r="BK3" s="229"/>
      <c r="BL3" s="229"/>
      <c r="BM3" s="229"/>
      <c r="BN3" s="229"/>
      <c r="BO3" s="229"/>
      <c r="BP3" s="229"/>
      <c r="BQ3" s="229"/>
      <c r="BR3" s="229"/>
      <c r="BS3" s="229"/>
      <c r="BT3" s="229"/>
      <c r="BU3" s="229"/>
      <c r="BV3" s="229"/>
      <c r="CJ3" s="229"/>
      <c r="CK3" s="229"/>
      <c r="CL3" s="229"/>
      <c r="CM3" s="229"/>
      <c r="CN3" s="229"/>
      <c r="CO3" s="229"/>
      <c r="CP3" s="229"/>
      <c r="CQ3" s="229"/>
      <c r="CR3" s="229"/>
      <c r="CS3" s="229"/>
      <c r="CT3" s="229"/>
      <c r="CU3" s="229"/>
      <c r="CV3" s="229"/>
      <c r="CW3" s="229"/>
      <c r="CX3" s="229"/>
      <c r="CY3" s="229"/>
      <c r="CZ3" s="229"/>
      <c r="DA3" s="229"/>
    </row>
    <row r="4" spans="1:105" s="233" customFormat="1" hidden="1">
      <c r="A4" s="229"/>
      <c r="B4" s="230"/>
      <c r="C4" s="230"/>
      <c r="D4" s="229"/>
      <c r="E4" s="231"/>
      <c r="F4" s="229"/>
      <c r="G4" s="229"/>
      <c r="H4" s="232"/>
      <c r="I4" s="229"/>
      <c r="J4" s="229"/>
      <c r="K4" s="229"/>
      <c r="L4" s="229"/>
      <c r="M4" s="229"/>
      <c r="N4" s="232"/>
      <c r="O4" s="232"/>
      <c r="P4" s="232"/>
      <c r="Q4" s="232"/>
      <c r="R4" s="232"/>
      <c r="S4" s="230"/>
      <c r="T4" s="232"/>
      <c r="U4" s="232"/>
      <c r="V4" s="232"/>
      <c r="W4" s="232"/>
      <c r="X4" s="232"/>
      <c r="Y4" s="232"/>
      <c r="Z4" s="229"/>
      <c r="AA4" s="232"/>
      <c r="AB4" s="232"/>
      <c r="AC4" s="229"/>
      <c r="AD4" s="229"/>
      <c r="BA4" s="229"/>
      <c r="BB4" s="229"/>
      <c r="BC4" s="229"/>
      <c r="BD4" s="229"/>
      <c r="BE4" s="229"/>
      <c r="BF4" s="229"/>
      <c r="BG4" s="229"/>
      <c r="BH4" s="229"/>
      <c r="BI4" s="229"/>
      <c r="BJ4" s="229"/>
      <c r="BK4" s="229"/>
      <c r="BL4" s="229"/>
      <c r="BM4" s="229"/>
      <c r="BN4" s="229"/>
      <c r="BO4" s="229"/>
      <c r="BP4" s="229"/>
      <c r="BQ4" s="229"/>
      <c r="BR4" s="229"/>
      <c r="BS4" s="229"/>
      <c r="BT4" s="229"/>
      <c r="BU4" s="229"/>
      <c r="BV4" s="229"/>
      <c r="CJ4" s="229"/>
      <c r="CK4" s="229"/>
      <c r="CL4" s="229"/>
      <c r="CM4" s="229"/>
      <c r="CN4" s="229"/>
      <c r="CO4" s="229"/>
      <c r="CP4" s="229"/>
      <c r="CQ4" s="229"/>
      <c r="CR4" s="229"/>
      <c r="CS4" s="229"/>
      <c r="CT4" s="229"/>
      <c r="CU4" s="229"/>
      <c r="CV4" s="229"/>
      <c r="CW4" s="229"/>
      <c r="CX4" s="229"/>
      <c r="CY4" s="229"/>
      <c r="CZ4" s="229"/>
      <c r="DA4" s="229"/>
    </row>
    <row r="5" spans="1:105" s="233" customFormat="1" hidden="1">
      <c r="A5" s="229"/>
      <c r="B5" s="230"/>
      <c r="C5" s="230"/>
      <c r="D5" s="229"/>
      <c r="E5" s="231"/>
      <c r="F5" s="229"/>
      <c r="G5" s="229"/>
      <c r="H5" s="232"/>
      <c r="I5" s="229"/>
      <c r="J5" s="229"/>
      <c r="K5" s="229"/>
      <c r="L5" s="229"/>
      <c r="M5" s="229"/>
      <c r="N5" s="232"/>
      <c r="O5" s="232"/>
      <c r="P5" s="232"/>
      <c r="Q5" s="232"/>
      <c r="R5" s="232"/>
      <c r="S5" s="230"/>
      <c r="T5" s="232"/>
      <c r="U5" s="232"/>
      <c r="V5" s="232"/>
      <c r="W5" s="232"/>
      <c r="X5" s="232"/>
      <c r="Y5" s="232"/>
      <c r="Z5" s="229"/>
      <c r="AA5" s="232"/>
      <c r="AB5" s="232"/>
      <c r="AC5" s="229"/>
      <c r="AD5" s="229"/>
      <c r="BA5" s="229"/>
      <c r="BB5" s="229"/>
      <c r="BC5" s="229"/>
      <c r="BD5" s="229"/>
      <c r="BE5" s="229"/>
      <c r="BF5" s="229"/>
      <c r="BG5" s="229"/>
      <c r="BH5" s="229"/>
      <c r="BI5" s="229"/>
      <c r="BJ5" s="229"/>
      <c r="BK5" s="229"/>
      <c r="BL5" s="229"/>
      <c r="BM5" s="229"/>
      <c r="BN5" s="229"/>
      <c r="BO5" s="229"/>
      <c r="BP5" s="229"/>
      <c r="BQ5" s="229"/>
      <c r="BR5" s="229"/>
      <c r="BS5" s="229"/>
      <c r="BT5" s="229"/>
      <c r="BU5" s="229"/>
      <c r="BV5" s="229"/>
      <c r="CJ5" s="229"/>
      <c r="CK5" s="229"/>
      <c r="CL5" s="229"/>
      <c r="CM5" s="229"/>
      <c r="CN5" s="229"/>
      <c r="CO5" s="229"/>
      <c r="CP5" s="229"/>
      <c r="CQ5" s="229"/>
      <c r="CR5" s="229"/>
      <c r="CS5" s="229"/>
      <c r="CT5" s="229"/>
      <c r="CU5" s="229"/>
      <c r="CV5" s="229"/>
      <c r="CW5" s="229"/>
      <c r="CX5" s="229"/>
      <c r="CY5" s="229"/>
      <c r="CZ5" s="229"/>
      <c r="DA5" s="229"/>
    </row>
    <row r="6" spans="1:105" s="233" customFormat="1" hidden="1">
      <c r="A6" s="229"/>
      <c r="B6" s="230"/>
      <c r="C6" s="230"/>
      <c r="D6" s="229"/>
      <c r="E6" s="231"/>
      <c r="F6" s="229"/>
      <c r="G6" s="229"/>
      <c r="H6" s="232"/>
      <c r="I6" s="229"/>
      <c r="J6" s="229"/>
      <c r="K6" s="229"/>
      <c r="L6" s="229"/>
      <c r="M6" s="229"/>
      <c r="N6" s="232"/>
      <c r="O6" s="232"/>
      <c r="P6" s="232"/>
      <c r="Q6" s="232"/>
      <c r="R6" s="232"/>
      <c r="S6" s="230"/>
      <c r="T6" s="232"/>
      <c r="U6" s="232"/>
      <c r="V6" s="232"/>
      <c r="W6" s="232"/>
      <c r="X6" s="232"/>
      <c r="Y6" s="232"/>
      <c r="Z6" s="229"/>
      <c r="AA6" s="232"/>
      <c r="AB6" s="232"/>
      <c r="AC6" s="229"/>
      <c r="AD6" s="229"/>
      <c r="BA6" s="229"/>
      <c r="BB6" s="229"/>
      <c r="BC6" s="229"/>
      <c r="BD6" s="229"/>
      <c r="BE6" s="229"/>
      <c r="BF6" s="229"/>
      <c r="BG6" s="229"/>
      <c r="BH6" s="229"/>
      <c r="BI6" s="229"/>
      <c r="BJ6" s="229"/>
      <c r="BK6" s="229"/>
      <c r="BL6" s="229"/>
      <c r="BM6" s="229"/>
      <c r="BN6" s="229"/>
      <c r="BO6" s="229"/>
      <c r="BP6" s="229"/>
      <c r="BQ6" s="229"/>
      <c r="BR6" s="229"/>
      <c r="BS6" s="229"/>
      <c r="BT6" s="229"/>
      <c r="BU6" s="229"/>
      <c r="BV6" s="229"/>
      <c r="CJ6" s="229"/>
      <c r="CK6" s="229"/>
      <c r="CL6" s="229"/>
      <c r="CM6" s="229"/>
      <c r="CN6" s="229"/>
      <c r="CO6" s="229"/>
      <c r="CP6" s="229"/>
      <c r="CQ6" s="229"/>
      <c r="CR6" s="229"/>
      <c r="CS6" s="229"/>
      <c r="CT6" s="229"/>
      <c r="CU6" s="229"/>
      <c r="CV6" s="229"/>
      <c r="CW6" s="229"/>
      <c r="CX6" s="229"/>
      <c r="CY6" s="229"/>
      <c r="CZ6" s="229"/>
      <c r="DA6" s="229"/>
    </row>
    <row r="7" spans="1:105" s="233" customFormat="1" hidden="1">
      <c r="A7" s="229"/>
      <c r="B7" s="230"/>
      <c r="C7" s="230"/>
      <c r="D7" s="229"/>
      <c r="E7" s="231"/>
      <c r="F7" s="229"/>
      <c r="G7" s="229"/>
      <c r="H7" s="232"/>
      <c r="I7" s="229"/>
      <c r="J7" s="229"/>
      <c r="K7" s="229"/>
      <c r="L7" s="229"/>
      <c r="M7" s="229"/>
      <c r="N7" s="232"/>
      <c r="O7" s="232"/>
      <c r="P7" s="232"/>
      <c r="Q7" s="232"/>
      <c r="R7" s="232"/>
      <c r="S7" s="230"/>
      <c r="T7" s="232"/>
      <c r="U7" s="232"/>
      <c r="V7" s="232"/>
      <c r="W7" s="232"/>
      <c r="X7" s="232"/>
      <c r="Y7" s="232"/>
      <c r="Z7" s="229"/>
      <c r="AA7" s="232"/>
      <c r="AB7" s="232"/>
      <c r="AC7" s="229"/>
      <c r="AD7" s="229"/>
      <c r="BA7" s="229"/>
      <c r="BB7" s="229"/>
      <c r="BC7" s="229"/>
      <c r="BD7" s="229"/>
      <c r="BE7" s="229"/>
      <c r="BF7" s="229"/>
      <c r="BG7" s="229"/>
      <c r="BH7" s="229"/>
      <c r="BI7" s="229"/>
      <c r="BJ7" s="229"/>
      <c r="BK7" s="229"/>
      <c r="BL7" s="229"/>
      <c r="BM7" s="229"/>
      <c r="BN7" s="229"/>
      <c r="BO7" s="229"/>
      <c r="BP7" s="229"/>
      <c r="BQ7" s="229"/>
      <c r="BR7" s="229"/>
      <c r="BS7" s="229"/>
      <c r="BT7" s="229"/>
      <c r="BU7" s="229"/>
      <c r="BV7" s="229"/>
      <c r="CJ7" s="229"/>
      <c r="CK7" s="229"/>
      <c r="CL7" s="229"/>
      <c r="CM7" s="229"/>
      <c r="CN7" s="229"/>
      <c r="CO7" s="229"/>
      <c r="CP7" s="229"/>
      <c r="CQ7" s="229"/>
      <c r="CR7" s="229"/>
      <c r="CS7" s="229"/>
      <c r="CT7" s="229"/>
      <c r="CU7" s="229"/>
      <c r="CV7" s="229"/>
      <c r="CW7" s="229"/>
      <c r="CX7" s="229"/>
      <c r="CY7" s="229"/>
      <c r="CZ7" s="229"/>
      <c r="DA7" s="229"/>
    </row>
    <row r="8" spans="1:105" s="233" customFormat="1" hidden="1">
      <c r="A8" s="229"/>
      <c r="B8" s="230"/>
      <c r="C8" s="230"/>
      <c r="D8" s="229"/>
      <c r="E8" s="231"/>
      <c r="F8" s="229"/>
      <c r="G8" s="229"/>
      <c r="H8" s="232"/>
      <c r="I8" s="229"/>
      <c r="J8" s="229"/>
      <c r="K8" s="229"/>
      <c r="L8" s="229"/>
      <c r="M8" s="229"/>
      <c r="N8" s="232"/>
      <c r="O8" s="232"/>
      <c r="P8" s="232"/>
      <c r="Q8" s="232"/>
      <c r="R8" s="232"/>
      <c r="S8" s="230"/>
      <c r="T8" s="232"/>
      <c r="U8" s="232"/>
      <c r="V8" s="232"/>
      <c r="W8" s="232"/>
      <c r="X8" s="232"/>
      <c r="Y8" s="232"/>
      <c r="Z8" s="229"/>
      <c r="AA8" s="232"/>
      <c r="AB8" s="232"/>
      <c r="AC8" s="229"/>
      <c r="AD8" s="229"/>
      <c r="BA8" s="229"/>
      <c r="BB8" s="229"/>
      <c r="BC8" s="229"/>
      <c r="BD8" s="229"/>
      <c r="BE8" s="229"/>
      <c r="BF8" s="229"/>
      <c r="BG8" s="229"/>
      <c r="BH8" s="229"/>
      <c r="BI8" s="229"/>
      <c r="BJ8" s="229"/>
      <c r="BK8" s="229"/>
      <c r="BL8" s="229"/>
      <c r="BM8" s="229"/>
      <c r="BN8" s="229"/>
      <c r="BO8" s="229"/>
      <c r="BP8" s="229"/>
      <c r="BQ8" s="229"/>
      <c r="BR8" s="229"/>
      <c r="BS8" s="229"/>
      <c r="BT8" s="229"/>
      <c r="BU8" s="229"/>
      <c r="BV8" s="229"/>
      <c r="CJ8" s="229"/>
      <c r="CK8" s="229"/>
      <c r="CL8" s="229"/>
      <c r="CM8" s="229"/>
      <c r="CN8" s="229"/>
      <c r="CO8" s="229"/>
      <c r="CP8" s="229"/>
      <c r="CQ8" s="229"/>
      <c r="CR8" s="229"/>
      <c r="CS8" s="229"/>
      <c r="CT8" s="229"/>
      <c r="CU8" s="229"/>
      <c r="CV8" s="229"/>
      <c r="CW8" s="229"/>
      <c r="CX8" s="229"/>
      <c r="CY8" s="229"/>
      <c r="CZ8" s="229"/>
      <c r="DA8" s="229"/>
    </row>
    <row r="9" spans="1:105" s="233" customFormat="1" hidden="1">
      <c r="A9" s="229"/>
      <c r="B9" s="230"/>
      <c r="C9" s="230"/>
      <c r="D9" s="229"/>
      <c r="E9" s="231"/>
      <c r="F9" s="229"/>
      <c r="G9" s="229"/>
      <c r="H9" s="232"/>
      <c r="I9" s="229"/>
      <c r="J9" s="229"/>
      <c r="K9" s="229"/>
      <c r="L9" s="229"/>
      <c r="M9" s="229"/>
      <c r="N9" s="232"/>
      <c r="O9" s="232"/>
      <c r="P9" s="232"/>
      <c r="Q9" s="232"/>
      <c r="R9" s="232"/>
      <c r="S9" s="230"/>
      <c r="T9" s="232"/>
      <c r="U9" s="232"/>
      <c r="V9" s="232"/>
      <c r="W9" s="232"/>
      <c r="X9" s="232"/>
      <c r="Y9" s="232"/>
      <c r="Z9" s="229"/>
      <c r="AA9" s="232"/>
      <c r="AB9" s="232"/>
      <c r="AC9" s="229"/>
      <c r="AD9" s="229"/>
      <c r="BA9" s="229"/>
      <c r="BB9" s="229"/>
      <c r="BC9" s="229"/>
      <c r="BD9" s="229"/>
      <c r="BE9" s="229"/>
      <c r="BF9" s="229"/>
      <c r="BG9" s="229"/>
      <c r="BH9" s="229"/>
      <c r="BI9" s="229"/>
      <c r="BJ9" s="229"/>
      <c r="BK9" s="229"/>
      <c r="BL9" s="229"/>
      <c r="BM9" s="229"/>
      <c r="BN9" s="229"/>
      <c r="BO9" s="229"/>
      <c r="BP9" s="229"/>
      <c r="BQ9" s="229"/>
      <c r="BR9" s="229"/>
      <c r="BS9" s="229"/>
      <c r="BT9" s="229"/>
      <c r="BU9" s="229"/>
      <c r="BV9" s="229"/>
      <c r="CJ9" s="229"/>
      <c r="CK9" s="229"/>
      <c r="CL9" s="229"/>
      <c r="CM9" s="229"/>
      <c r="CN9" s="229"/>
      <c r="CO9" s="229"/>
      <c r="CP9" s="229"/>
      <c r="CQ9" s="229"/>
      <c r="CR9" s="229"/>
      <c r="CS9" s="229"/>
      <c r="CT9" s="229"/>
      <c r="CU9" s="229"/>
      <c r="CV9" s="229"/>
      <c r="CW9" s="229"/>
      <c r="CX9" s="229"/>
      <c r="CY9" s="229"/>
      <c r="CZ9" s="229"/>
      <c r="DA9" s="229"/>
    </row>
    <row r="10" spans="1:105" s="233" customFormat="1" hidden="1">
      <c r="A10" s="229"/>
      <c r="B10" s="230"/>
      <c r="C10" s="230"/>
      <c r="D10" s="229"/>
      <c r="E10" s="231"/>
      <c r="F10" s="229"/>
      <c r="G10" s="229"/>
      <c r="H10" s="232"/>
      <c r="I10" s="229"/>
      <c r="J10" s="229"/>
      <c r="K10" s="229"/>
      <c r="L10" s="229"/>
      <c r="M10" s="229"/>
      <c r="N10" s="232"/>
      <c r="O10" s="232"/>
      <c r="P10" s="232"/>
      <c r="Q10" s="232"/>
      <c r="R10" s="232"/>
      <c r="S10" s="230"/>
      <c r="T10" s="232"/>
      <c r="U10" s="232"/>
      <c r="V10" s="232"/>
      <c r="W10" s="232"/>
      <c r="X10" s="232"/>
      <c r="Y10" s="232"/>
      <c r="Z10" s="229"/>
      <c r="AA10" s="232"/>
      <c r="AB10" s="232"/>
      <c r="AC10" s="229"/>
      <c r="AD10" s="229"/>
      <c r="BA10" s="229"/>
      <c r="BB10" s="229"/>
      <c r="BC10" s="229"/>
      <c r="BD10" s="229"/>
      <c r="BE10" s="229"/>
      <c r="BF10" s="229"/>
      <c r="BG10" s="229"/>
      <c r="BH10" s="229"/>
      <c r="BI10" s="229"/>
      <c r="BJ10" s="229"/>
      <c r="BK10" s="229"/>
      <c r="BL10" s="229"/>
      <c r="BM10" s="229"/>
      <c r="BN10" s="229"/>
      <c r="BO10" s="229"/>
      <c r="BP10" s="229"/>
      <c r="BQ10" s="229"/>
      <c r="BR10" s="229"/>
      <c r="BS10" s="229"/>
      <c r="BT10" s="229"/>
      <c r="BU10" s="229"/>
      <c r="BV10" s="229"/>
      <c r="CJ10" s="229"/>
      <c r="CK10" s="229"/>
      <c r="CL10" s="229"/>
      <c r="CM10" s="229"/>
      <c r="CN10" s="229"/>
      <c r="CO10" s="229"/>
      <c r="CP10" s="229"/>
      <c r="CQ10" s="229"/>
      <c r="CR10" s="229"/>
      <c r="CS10" s="229"/>
      <c r="CT10" s="229"/>
      <c r="CU10" s="229"/>
      <c r="CV10" s="229"/>
      <c r="CW10" s="229"/>
      <c r="CX10" s="229"/>
      <c r="CY10" s="229"/>
      <c r="CZ10" s="229"/>
      <c r="DA10" s="229"/>
    </row>
    <row r="11" spans="1:105" s="233" customFormat="1" hidden="1">
      <c r="A11" s="229"/>
      <c r="B11" s="230"/>
      <c r="C11" s="230"/>
      <c r="D11" s="229"/>
      <c r="E11" s="231"/>
      <c r="F11" s="229"/>
      <c r="G11" s="229"/>
      <c r="H11" s="232"/>
      <c r="I11" s="229"/>
      <c r="J11" s="229"/>
      <c r="K11" s="229"/>
      <c r="L11" s="229"/>
      <c r="M11" s="229"/>
      <c r="N11" s="232"/>
      <c r="O11" s="232"/>
      <c r="P11" s="232"/>
      <c r="Q11" s="232"/>
      <c r="R11" s="232"/>
      <c r="S11" s="230"/>
      <c r="T11" s="232"/>
      <c r="U11" s="232"/>
      <c r="V11" s="232"/>
      <c r="W11" s="232"/>
      <c r="X11" s="232"/>
      <c r="Y11" s="232"/>
      <c r="Z11" s="229"/>
      <c r="AA11" s="232"/>
      <c r="AB11" s="232"/>
      <c r="AC11" s="229"/>
      <c r="AD11" s="229"/>
      <c r="BA11" s="229"/>
      <c r="BB11" s="229"/>
      <c r="BC11" s="229"/>
      <c r="BD11" s="229"/>
      <c r="BE11" s="229"/>
      <c r="BF11" s="229"/>
      <c r="BG11" s="229"/>
      <c r="BH11" s="229"/>
      <c r="BI11" s="229"/>
      <c r="BJ11" s="229"/>
      <c r="BK11" s="229"/>
      <c r="BL11" s="229"/>
      <c r="BM11" s="229"/>
      <c r="BN11" s="229"/>
      <c r="BO11" s="229"/>
      <c r="BP11" s="229"/>
      <c r="BQ11" s="229"/>
      <c r="BR11" s="229"/>
      <c r="BS11" s="229"/>
      <c r="BT11" s="229"/>
      <c r="BU11" s="229"/>
      <c r="BV11" s="229"/>
      <c r="CJ11" s="229"/>
      <c r="CK11" s="229"/>
      <c r="CL11" s="229"/>
      <c r="CM11" s="229"/>
      <c r="CN11" s="229"/>
      <c r="CO11" s="229"/>
      <c r="CP11" s="229"/>
      <c r="CQ11" s="229"/>
      <c r="CR11" s="229"/>
      <c r="CS11" s="229"/>
      <c r="CT11" s="229"/>
      <c r="CU11" s="229"/>
      <c r="CV11" s="229"/>
      <c r="CW11" s="229"/>
      <c r="CX11" s="229"/>
      <c r="CY11" s="229"/>
      <c r="CZ11" s="229"/>
      <c r="DA11" s="229"/>
    </row>
    <row r="12" spans="1:105" s="233" customFormat="1" hidden="1">
      <c r="A12" s="229"/>
      <c r="B12" s="230"/>
      <c r="C12" s="230"/>
      <c r="D12" s="229"/>
      <c r="E12" s="231"/>
      <c r="F12" s="229"/>
      <c r="G12" s="229"/>
      <c r="H12" s="232"/>
      <c r="I12" s="229"/>
      <c r="J12" s="229"/>
      <c r="K12" s="229"/>
      <c r="L12" s="229"/>
      <c r="M12" s="229"/>
      <c r="N12" s="232"/>
      <c r="O12" s="232"/>
      <c r="P12" s="232"/>
      <c r="Q12" s="232"/>
      <c r="R12" s="232"/>
      <c r="S12" s="230"/>
      <c r="T12" s="232"/>
      <c r="U12" s="232"/>
      <c r="V12" s="232"/>
      <c r="W12" s="232"/>
      <c r="X12" s="232"/>
      <c r="Y12" s="232"/>
      <c r="Z12" s="229"/>
      <c r="AA12" s="232"/>
      <c r="AB12" s="232"/>
      <c r="AC12" s="229"/>
      <c r="AD12" s="229"/>
      <c r="BA12" s="229"/>
      <c r="BB12" s="229"/>
      <c r="BC12" s="229"/>
      <c r="BD12" s="229"/>
      <c r="BE12" s="229"/>
      <c r="BF12" s="229"/>
      <c r="BG12" s="229"/>
      <c r="BH12" s="229"/>
      <c r="BI12" s="229"/>
      <c r="BJ12" s="229"/>
      <c r="BK12" s="229"/>
      <c r="BL12" s="229"/>
      <c r="BM12" s="229"/>
      <c r="BN12" s="229"/>
      <c r="BO12" s="229"/>
      <c r="BP12" s="229"/>
      <c r="BQ12" s="229"/>
      <c r="BR12" s="229"/>
      <c r="BS12" s="229"/>
      <c r="BT12" s="229"/>
      <c r="BU12" s="229"/>
      <c r="BV12" s="229"/>
      <c r="CJ12" s="229"/>
      <c r="CK12" s="229"/>
      <c r="CL12" s="229"/>
      <c r="CM12" s="229"/>
      <c r="CN12" s="229"/>
      <c r="CO12" s="229"/>
      <c r="CP12" s="229"/>
      <c r="CQ12" s="229"/>
      <c r="CR12" s="229"/>
      <c r="CS12" s="229"/>
      <c r="CT12" s="229"/>
      <c r="CU12" s="229"/>
      <c r="CV12" s="229"/>
      <c r="CW12" s="229"/>
      <c r="CX12" s="229"/>
      <c r="CY12" s="229"/>
      <c r="CZ12" s="229"/>
      <c r="DA12" s="229"/>
    </row>
    <row r="13" spans="1:105" s="233" customFormat="1">
      <c r="A13" s="229"/>
      <c r="B13" s="230"/>
      <c r="C13" s="230"/>
      <c r="D13" s="229"/>
      <c r="E13" s="231"/>
      <c r="F13" s="229"/>
      <c r="G13" s="229"/>
      <c r="H13" s="232"/>
      <c r="I13" s="229"/>
      <c r="J13" s="229"/>
      <c r="K13" s="229"/>
      <c r="L13" s="229"/>
      <c r="M13" s="229"/>
      <c r="N13" s="232"/>
      <c r="O13" s="232"/>
      <c r="P13" s="232"/>
      <c r="Q13" s="232"/>
      <c r="R13" s="232"/>
      <c r="S13" s="230"/>
      <c r="T13" s="232"/>
      <c r="U13" s="232"/>
      <c r="V13" s="232"/>
      <c r="W13" s="232"/>
      <c r="X13" s="232"/>
      <c r="Y13" s="232"/>
      <c r="Z13" s="229"/>
      <c r="AA13" s="232"/>
      <c r="AB13" s="232"/>
      <c r="AC13" s="229"/>
      <c r="AD13" s="229"/>
      <c r="BA13" s="229"/>
      <c r="BB13" s="229"/>
      <c r="BC13" s="229"/>
      <c r="BD13" s="229"/>
      <c r="BE13" s="229"/>
      <c r="BF13" s="229"/>
      <c r="BG13" s="229"/>
      <c r="BH13" s="229"/>
      <c r="BI13" s="229"/>
      <c r="BJ13" s="229"/>
      <c r="BK13" s="229"/>
      <c r="BL13" s="229"/>
      <c r="BM13" s="229"/>
      <c r="BN13" s="229"/>
      <c r="BO13" s="229"/>
      <c r="BP13" s="229"/>
      <c r="BQ13" s="229"/>
      <c r="BR13" s="229"/>
      <c r="BS13" s="229"/>
      <c r="BT13" s="229"/>
      <c r="BU13" s="229"/>
      <c r="BV13" s="229"/>
    </row>
    <row r="14" spans="1:105" s="233" customFormat="1">
      <c r="A14" s="229"/>
      <c r="B14" s="230"/>
      <c r="C14" s="230"/>
      <c r="D14" s="229"/>
      <c r="E14" s="231"/>
      <c r="F14" s="229"/>
      <c r="G14" s="229"/>
      <c r="H14" s="232"/>
      <c r="I14" s="229"/>
      <c r="J14" s="229"/>
      <c r="K14" s="229"/>
      <c r="L14" s="229"/>
      <c r="M14" s="229"/>
      <c r="N14" s="232"/>
      <c r="O14" s="232"/>
      <c r="P14" s="232"/>
      <c r="Q14" s="232"/>
      <c r="R14" s="232"/>
      <c r="S14" s="230"/>
      <c r="T14" s="232"/>
      <c r="U14" s="232"/>
      <c r="V14" s="232"/>
      <c r="W14" s="232"/>
      <c r="X14" s="232"/>
      <c r="Y14" s="232"/>
      <c r="Z14" s="229"/>
      <c r="AA14" s="232"/>
      <c r="AB14" s="232"/>
      <c r="AC14" s="229"/>
      <c r="AD14" s="229"/>
      <c r="BA14" s="229"/>
      <c r="BB14" s="229"/>
      <c r="BC14" s="229"/>
      <c r="BD14" s="229"/>
      <c r="BE14" s="229"/>
      <c r="BF14" s="229"/>
      <c r="BG14" s="229"/>
      <c r="BH14" s="229"/>
      <c r="BI14" s="229"/>
      <c r="BJ14" s="229"/>
      <c r="BK14" s="229"/>
      <c r="BL14" s="229"/>
      <c r="BM14" s="229"/>
      <c r="BN14" s="229"/>
      <c r="BO14" s="229"/>
      <c r="BP14" s="229"/>
      <c r="BQ14" s="229"/>
      <c r="BR14" s="229"/>
      <c r="BS14" s="229"/>
      <c r="BT14" s="229"/>
      <c r="BU14" s="229"/>
      <c r="BV14" s="229"/>
      <c r="CJ14" s="520" t="s">
        <v>0</v>
      </c>
      <c r="CK14" s="521"/>
      <c r="CL14" s="521"/>
      <c r="CM14" s="521"/>
      <c r="CN14" s="521"/>
      <c r="CO14" s="521"/>
      <c r="CP14" s="521"/>
      <c r="CQ14" s="521"/>
      <c r="CR14" s="521"/>
      <c r="CS14" s="521"/>
      <c r="CT14" s="521"/>
      <c r="CU14" s="521"/>
      <c r="CV14" s="521"/>
      <c r="CW14" s="521"/>
      <c r="CX14" s="521"/>
      <c r="CY14" s="521"/>
      <c r="CZ14" s="521"/>
      <c r="DA14" s="521"/>
    </row>
    <row r="15" spans="1:105" s="233" customFormat="1">
      <c r="A15" s="229"/>
      <c r="B15" s="230"/>
      <c r="C15" s="230"/>
      <c r="D15" s="229"/>
      <c r="E15" s="231"/>
      <c r="F15" s="229"/>
      <c r="G15" s="229"/>
      <c r="H15" s="232"/>
      <c r="I15" s="229"/>
      <c r="J15" s="229"/>
      <c r="K15" s="229"/>
      <c r="L15" s="229"/>
      <c r="M15" s="229"/>
      <c r="N15" s="232"/>
      <c r="O15" s="232"/>
      <c r="P15" s="232"/>
      <c r="Q15" s="232"/>
      <c r="R15" s="232"/>
      <c r="S15" s="230"/>
      <c r="T15" s="232"/>
      <c r="U15" s="232"/>
      <c r="V15" s="232"/>
      <c r="W15" s="232"/>
      <c r="X15" s="232"/>
      <c r="Y15" s="232"/>
      <c r="Z15" s="229"/>
      <c r="AA15" s="232"/>
      <c r="AB15" s="232"/>
      <c r="AC15" s="229"/>
      <c r="AD15" s="229"/>
      <c r="BA15" s="229"/>
      <c r="BB15" s="229"/>
      <c r="BC15" s="229"/>
      <c r="BD15" s="229"/>
      <c r="BE15" s="229"/>
      <c r="BF15" s="229"/>
      <c r="BG15" s="229"/>
      <c r="BH15" s="229"/>
      <c r="BI15" s="229"/>
      <c r="BJ15" s="229"/>
      <c r="BK15" s="229"/>
      <c r="BL15" s="229"/>
      <c r="BM15" s="229"/>
      <c r="BN15" s="229"/>
      <c r="BO15" s="229"/>
      <c r="BP15" s="229"/>
      <c r="BQ15" s="229"/>
      <c r="BR15" s="229"/>
      <c r="BS15" s="229"/>
      <c r="BT15" s="229"/>
      <c r="BU15" s="229"/>
      <c r="BV15" s="229"/>
      <c r="CJ15" s="234" t="s">
        <v>1</v>
      </c>
      <c r="CK15" s="234"/>
      <c r="CL15" s="234" t="s">
        <v>2</v>
      </c>
      <c r="CM15" s="234"/>
      <c r="CN15" s="234" t="s">
        <v>3</v>
      </c>
      <c r="CO15" s="234"/>
      <c r="CP15" s="234" t="s">
        <v>4</v>
      </c>
      <c r="CQ15" s="234"/>
      <c r="CR15" s="234" t="s">
        <v>5</v>
      </c>
      <c r="CS15" s="234"/>
      <c r="CT15" s="234" t="s">
        <v>6</v>
      </c>
      <c r="CU15" s="234"/>
      <c r="CV15" s="234" t="s">
        <v>7</v>
      </c>
      <c r="CW15" s="234"/>
      <c r="CX15" s="234" t="s">
        <v>8</v>
      </c>
      <c r="CY15" s="234"/>
      <c r="CZ15" s="234" t="s">
        <v>9</v>
      </c>
      <c r="DA15" s="234"/>
    </row>
    <row r="16" spans="1:105" ht="57.5">
      <c r="A16" s="235" t="s">
        <v>10</v>
      </c>
      <c r="B16" s="236" t="s">
        <v>11</v>
      </c>
      <c r="C16" s="236" t="s">
        <v>12</v>
      </c>
      <c r="D16" s="235" t="s">
        <v>13</v>
      </c>
      <c r="E16" s="237" t="s">
        <v>14</v>
      </c>
      <c r="F16" s="235" t="s">
        <v>15</v>
      </c>
      <c r="G16" s="235" t="s">
        <v>16</v>
      </c>
      <c r="H16" s="238" t="s">
        <v>17</v>
      </c>
      <c r="I16" s="235" t="s">
        <v>18</v>
      </c>
      <c r="J16" s="235" t="s">
        <v>19</v>
      </c>
      <c r="K16" s="235" t="s">
        <v>20</v>
      </c>
      <c r="L16" s="235" t="s">
        <v>21</v>
      </c>
      <c r="M16" s="235" t="s">
        <v>22</v>
      </c>
      <c r="N16" s="238" t="s">
        <v>23</v>
      </c>
      <c r="O16" s="238" t="s">
        <v>24</v>
      </c>
      <c r="P16" s="238" t="s">
        <v>25</v>
      </c>
      <c r="Q16" s="238" t="s">
        <v>26</v>
      </c>
      <c r="R16" s="238" t="s">
        <v>27</v>
      </c>
      <c r="S16" s="236" t="s">
        <v>28</v>
      </c>
      <c r="T16" s="238" t="s">
        <v>29</v>
      </c>
      <c r="U16" s="238" t="s">
        <v>30</v>
      </c>
      <c r="V16" s="238" t="s">
        <v>31</v>
      </c>
      <c r="W16" s="238" t="s">
        <v>32</v>
      </c>
      <c r="X16" s="238" t="s">
        <v>33</v>
      </c>
      <c r="Y16" s="238" t="s">
        <v>34</v>
      </c>
      <c r="Z16" s="235" t="s">
        <v>35</v>
      </c>
      <c r="AA16" s="238" t="s">
        <v>36</v>
      </c>
      <c r="AB16" s="238" t="s">
        <v>37</v>
      </c>
      <c r="AC16" s="235" t="s">
        <v>38</v>
      </c>
      <c r="AD16" s="235" t="s">
        <v>39</v>
      </c>
      <c r="BA16" s="240" t="s">
        <v>40</v>
      </c>
      <c r="BB16" s="240" t="s">
        <v>41</v>
      </c>
      <c r="BC16" s="240" t="s">
        <v>42</v>
      </c>
      <c r="BD16" s="240" t="s">
        <v>43</v>
      </c>
      <c r="BE16" s="240" t="s">
        <v>44</v>
      </c>
      <c r="BF16" s="240" t="s">
        <v>45</v>
      </c>
      <c r="BG16" s="240" t="s">
        <v>46</v>
      </c>
      <c r="BH16" s="240" t="s">
        <v>47</v>
      </c>
      <c r="BI16" s="240" t="s">
        <v>48</v>
      </c>
      <c r="BJ16" s="240" t="s">
        <v>49</v>
      </c>
      <c r="BK16" s="240" t="s">
        <v>13</v>
      </c>
      <c r="BL16" s="240" t="s">
        <v>50</v>
      </c>
      <c r="BM16" s="229"/>
      <c r="BN16" s="229"/>
      <c r="BO16" s="229"/>
      <c r="BP16" s="229"/>
      <c r="BQ16" s="229"/>
      <c r="BR16" s="229"/>
      <c r="BS16" s="240" t="s">
        <v>51</v>
      </c>
      <c r="BT16" s="240" t="s">
        <v>48</v>
      </c>
      <c r="BU16" s="240" t="s">
        <v>52</v>
      </c>
      <c r="BV16" s="240" t="s">
        <v>53</v>
      </c>
      <c r="CJ16" s="241" t="s">
        <v>54</v>
      </c>
      <c r="CK16" s="241" t="s">
        <v>55</v>
      </c>
      <c r="CL16" s="241" t="s">
        <v>54</v>
      </c>
      <c r="CM16" s="241" t="s">
        <v>55</v>
      </c>
      <c r="CN16" s="241" t="s">
        <v>54</v>
      </c>
      <c r="CO16" s="241" t="s">
        <v>55</v>
      </c>
      <c r="CP16" s="241" t="s">
        <v>54</v>
      </c>
      <c r="CQ16" s="241" t="s">
        <v>55</v>
      </c>
      <c r="CR16" s="241" t="s">
        <v>54</v>
      </c>
      <c r="CS16" s="241" t="s">
        <v>55</v>
      </c>
      <c r="CT16" s="241" t="s">
        <v>54</v>
      </c>
      <c r="CU16" s="241" t="s">
        <v>55</v>
      </c>
      <c r="CV16" s="241" t="s">
        <v>54</v>
      </c>
      <c r="CW16" s="241" t="s">
        <v>55</v>
      </c>
      <c r="CX16" s="241" t="s">
        <v>54</v>
      </c>
      <c r="CY16" s="241" t="s">
        <v>55</v>
      </c>
      <c r="CZ16" s="241" t="s">
        <v>54</v>
      </c>
      <c r="DA16" s="241" t="s">
        <v>55</v>
      </c>
    </row>
    <row r="17" spans="1:105" ht="46">
      <c r="A17" s="242">
        <v>1</v>
      </c>
      <c r="B17" s="243">
        <v>46044</v>
      </c>
      <c r="C17" s="243" t="s">
        <v>128</v>
      </c>
      <c r="D17" s="243" t="s">
        <v>129</v>
      </c>
      <c r="E17" s="244">
        <v>7506110695028</v>
      </c>
      <c r="F17" s="244" t="s">
        <v>130</v>
      </c>
      <c r="G17" s="245" t="s">
        <v>131</v>
      </c>
      <c r="H17" s="246" t="s">
        <v>60</v>
      </c>
      <c r="I17" s="247" t="s">
        <v>132</v>
      </c>
      <c r="J17" s="248" t="s">
        <v>62</v>
      </c>
      <c r="K17" s="249" t="s">
        <v>63</v>
      </c>
      <c r="L17" s="245">
        <v>1</v>
      </c>
      <c r="M17" s="250">
        <v>0.43</v>
      </c>
      <c r="N17" s="251" t="s">
        <v>74</v>
      </c>
      <c r="O17" s="251">
        <v>30000</v>
      </c>
      <c r="P17" s="252">
        <v>7.74</v>
      </c>
      <c r="Q17" s="252"/>
      <c r="R17" s="252">
        <v>1.548</v>
      </c>
      <c r="S17" s="252">
        <v>10.1</v>
      </c>
      <c r="T17" s="253" t="s">
        <v>133</v>
      </c>
      <c r="U17" s="254">
        <v>89</v>
      </c>
      <c r="V17" s="252">
        <f>(U17/1.16)*0.6</f>
        <v>46.03448275862069</v>
      </c>
      <c r="W17" s="255">
        <f>+S17/V17</f>
        <v>0.21940074906367041</v>
      </c>
      <c r="X17" s="256">
        <f>1-(S17/V17)</f>
        <v>0.78059925093632954</v>
      </c>
      <c r="Y17" s="257">
        <v>0.4</v>
      </c>
      <c r="Z17" s="248" t="s">
        <v>66</v>
      </c>
      <c r="AA17" s="251" t="s">
        <v>134</v>
      </c>
      <c r="AB17" s="249"/>
      <c r="AC17" s="244" t="s">
        <v>135</v>
      </c>
      <c r="AD17" s="282">
        <v>45992</v>
      </c>
      <c r="BA17" s="244">
        <v>1</v>
      </c>
      <c r="BB17" s="244">
        <v>1</v>
      </c>
      <c r="BC17" s="244">
        <v>1</v>
      </c>
      <c r="BD17" s="244">
        <v>1</v>
      </c>
      <c r="BE17" s="244">
        <v>1</v>
      </c>
      <c r="BF17" s="244">
        <v>1</v>
      </c>
      <c r="BG17" s="244">
        <v>1</v>
      </c>
      <c r="BH17" s="244">
        <v>1</v>
      </c>
      <c r="BI17" s="244">
        <v>1</v>
      </c>
      <c r="BJ17" s="244">
        <v>9</v>
      </c>
      <c r="BK17" s="244">
        <f t="shared" ref="BK17:BK52" si="0">SUM(BA17:BI17)</f>
        <v>9</v>
      </c>
      <c r="BL17" s="258">
        <f t="shared" ref="BL17:BL60" si="1">+BK17/BJ17</f>
        <v>1</v>
      </c>
      <c r="BM17" s="259"/>
      <c r="BN17" s="259"/>
      <c r="BO17" s="259"/>
      <c r="BP17" s="259"/>
      <c r="BQ17" s="259"/>
      <c r="BR17" s="259"/>
      <c r="BS17" s="260" t="s">
        <v>135</v>
      </c>
      <c r="BT17" s="283">
        <f>+AD17</f>
        <v>45992</v>
      </c>
      <c r="BU17" s="283"/>
      <c r="BV17" s="260" t="s">
        <v>136</v>
      </c>
      <c r="CJ17" s="263">
        <v>45809</v>
      </c>
      <c r="CK17" s="263">
        <v>45809</v>
      </c>
      <c r="CL17" s="263">
        <f>+CJ17+10</f>
        <v>45819</v>
      </c>
      <c r="CM17" s="263">
        <f>+CK17+10</f>
        <v>45819</v>
      </c>
      <c r="CN17" s="263">
        <f>+CL17+14</f>
        <v>45833</v>
      </c>
      <c r="CO17" s="263">
        <f>+CM17+14</f>
        <v>45833</v>
      </c>
      <c r="CP17" s="261">
        <f>+CN17+40</f>
        <v>45873</v>
      </c>
      <c r="CQ17" s="261">
        <f>+CO17+40</f>
        <v>45873</v>
      </c>
      <c r="CR17" s="261">
        <f>+CP17-15</f>
        <v>45858</v>
      </c>
      <c r="CS17" s="262"/>
      <c r="CT17" s="261">
        <f>+CP17+7</f>
        <v>45880</v>
      </c>
      <c r="CU17" s="262"/>
      <c r="CV17" s="261">
        <f>+CT17+5</f>
        <v>45885</v>
      </c>
      <c r="CW17" s="262"/>
      <c r="CX17" s="261">
        <f>+CV17+45</f>
        <v>45930</v>
      </c>
      <c r="CY17" s="262"/>
      <c r="CZ17" s="261">
        <f>+CX17+8</f>
        <v>45938</v>
      </c>
      <c r="DA17" s="262"/>
    </row>
    <row r="18" spans="1:105" ht="46">
      <c r="A18" s="242">
        <v>2</v>
      </c>
      <c r="B18" s="243">
        <v>46044</v>
      </c>
      <c r="C18" s="243" t="s">
        <v>128</v>
      </c>
      <c r="D18" s="243" t="s">
        <v>129</v>
      </c>
      <c r="E18" s="244">
        <v>7506110695035</v>
      </c>
      <c r="F18" s="244" t="s">
        <v>137</v>
      </c>
      <c r="G18" s="245" t="s">
        <v>138</v>
      </c>
      <c r="H18" s="246" t="s">
        <v>60</v>
      </c>
      <c r="I18" s="247" t="s">
        <v>139</v>
      </c>
      <c r="J18" s="248" t="s">
        <v>62</v>
      </c>
      <c r="K18" s="249" t="s">
        <v>63</v>
      </c>
      <c r="L18" s="245">
        <v>1</v>
      </c>
      <c r="M18" s="250">
        <v>0.43</v>
      </c>
      <c r="N18" s="251" t="s">
        <v>74</v>
      </c>
      <c r="O18" s="251">
        <v>30000</v>
      </c>
      <c r="P18" s="252">
        <v>7.74</v>
      </c>
      <c r="Q18" s="252"/>
      <c r="R18" s="252">
        <v>1.548</v>
      </c>
      <c r="S18" s="252">
        <v>10.1</v>
      </c>
      <c r="T18" s="253" t="s">
        <v>133</v>
      </c>
      <c r="U18" s="254">
        <v>89</v>
      </c>
      <c r="V18" s="252">
        <f t="shared" ref="V18:V52" si="2">(U18/1.16)*0.6</f>
        <v>46.03448275862069</v>
      </c>
      <c r="W18" s="255">
        <f t="shared" ref="W18:W52" si="3">+S18/V18</f>
        <v>0.21940074906367041</v>
      </c>
      <c r="X18" s="256">
        <f t="shared" ref="X18:X52" si="4">1-(S18/V18)</f>
        <v>0.78059925093632954</v>
      </c>
      <c r="Y18" s="257">
        <v>0.4</v>
      </c>
      <c r="Z18" s="248" t="s">
        <v>66</v>
      </c>
      <c r="AA18" s="251" t="s">
        <v>134</v>
      </c>
      <c r="AB18" s="249"/>
      <c r="AC18" s="244" t="s">
        <v>135</v>
      </c>
      <c r="AD18" s="282">
        <v>45992</v>
      </c>
      <c r="BA18" s="244">
        <v>1</v>
      </c>
      <c r="BB18" s="244">
        <v>1</v>
      </c>
      <c r="BC18" s="244">
        <v>1</v>
      </c>
      <c r="BD18" s="244">
        <v>1</v>
      </c>
      <c r="BE18" s="244">
        <v>1</v>
      </c>
      <c r="BF18" s="244">
        <v>1</v>
      </c>
      <c r="BG18" s="244">
        <v>1</v>
      </c>
      <c r="BH18" s="244">
        <v>1</v>
      </c>
      <c r="BI18" s="244">
        <v>1</v>
      </c>
      <c r="BJ18" s="244">
        <v>9</v>
      </c>
      <c r="BK18" s="244">
        <f t="shared" si="0"/>
        <v>9</v>
      </c>
      <c r="BL18" s="258">
        <f t="shared" si="1"/>
        <v>1</v>
      </c>
      <c r="BM18" s="259"/>
      <c r="BN18" s="259"/>
      <c r="BO18" s="259"/>
      <c r="BP18" s="259"/>
      <c r="BQ18" s="259"/>
      <c r="BR18" s="259"/>
      <c r="BS18" s="260" t="s">
        <v>135</v>
      </c>
      <c r="BT18" s="283">
        <f t="shared" ref="BT18:BT52" si="5">+AD18</f>
        <v>45992</v>
      </c>
      <c r="BU18" s="283"/>
      <c r="BV18" s="260" t="s">
        <v>136</v>
      </c>
      <c r="CJ18" s="260"/>
      <c r="CK18" s="260"/>
      <c r="CL18" s="260"/>
      <c r="CM18" s="260"/>
      <c r="CN18" s="260"/>
      <c r="CO18" s="260"/>
      <c r="CP18" s="261"/>
      <c r="CQ18" s="261"/>
      <c r="CR18" s="262"/>
      <c r="CS18" s="262"/>
      <c r="CT18" s="262"/>
      <c r="CU18" s="262"/>
      <c r="CV18" s="262"/>
      <c r="CW18" s="262"/>
      <c r="CX18" s="262"/>
      <c r="CY18" s="262"/>
      <c r="CZ18" s="261"/>
      <c r="DA18" s="262"/>
    </row>
    <row r="19" spans="1:105" ht="46">
      <c r="A19" s="242">
        <v>3</v>
      </c>
      <c r="B19" s="243">
        <v>46044</v>
      </c>
      <c r="C19" s="243" t="s">
        <v>128</v>
      </c>
      <c r="D19" s="243" t="s">
        <v>129</v>
      </c>
      <c r="E19" s="244">
        <v>7506110695042</v>
      </c>
      <c r="F19" s="244" t="s">
        <v>140</v>
      </c>
      <c r="G19" s="245" t="s">
        <v>141</v>
      </c>
      <c r="H19" s="246" t="s">
        <v>60</v>
      </c>
      <c r="I19" s="247" t="s">
        <v>139</v>
      </c>
      <c r="J19" s="248" t="s">
        <v>62</v>
      </c>
      <c r="K19" s="249" t="s">
        <v>63</v>
      </c>
      <c r="L19" s="245">
        <v>1</v>
      </c>
      <c r="M19" s="250">
        <v>0.77</v>
      </c>
      <c r="N19" s="251" t="s">
        <v>74</v>
      </c>
      <c r="O19" s="251">
        <v>30000</v>
      </c>
      <c r="P19" s="252">
        <v>13.86</v>
      </c>
      <c r="Q19" s="252"/>
      <c r="R19" s="252">
        <v>2.7719999999999998</v>
      </c>
      <c r="S19" s="252">
        <v>18.09</v>
      </c>
      <c r="T19" s="253" t="s">
        <v>133</v>
      </c>
      <c r="U19" s="254">
        <v>139</v>
      </c>
      <c r="V19" s="252">
        <f t="shared" si="2"/>
        <v>71.896551724137936</v>
      </c>
      <c r="W19" s="255">
        <f t="shared" si="3"/>
        <v>0.2516115107913669</v>
      </c>
      <c r="X19" s="256">
        <f t="shared" si="4"/>
        <v>0.7483884892086331</v>
      </c>
      <c r="Y19" s="257">
        <v>0.4</v>
      </c>
      <c r="Z19" s="248" t="s">
        <v>66</v>
      </c>
      <c r="AA19" s="251" t="s">
        <v>134</v>
      </c>
      <c r="AB19" s="249"/>
      <c r="AC19" s="244" t="s">
        <v>135</v>
      </c>
      <c r="AD19" s="282">
        <v>45992</v>
      </c>
      <c r="BA19" s="244">
        <v>1</v>
      </c>
      <c r="BB19" s="244">
        <v>1</v>
      </c>
      <c r="BC19" s="244">
        <v>1</v>
      </c>
      <c r="BD19" s="244">
        <v>1</v>
      </c>
      <c r="BE19" s="244">
        <v>1</v>
      </c>
      <c r="BF19" s="244">
        <v>1</v>
      </c>
      <c r="BG19" s="244">
        <v>1</v>
      </c>
      <c r="BH19" s="244">
        <v>1</v>
      </c>
      <c r="BI19" s="244">
        <v>1</v>
      </c>
      <c r="BJ19" s="244">
        <v>9</v>
      </c>
      <c r="BK19" s="244">
        <f t="shared" si="0"/>
        <v>9</v>
      </c>
      <c r="BL19" s="258">
        <f t="shared" si="1"/>
        <v>1</v>
      </c>
      <c r="BM19" s="259"/>
      <c r="BN19" s="259"/>
      <c r="BO19" s="259"/>
      <c r="BP19" s="259"/>
      <c r="BQ19" s="259"/>
      <c r="BR19" s="259"/>
      <c r="BS19" s="260" t="s">
        <v>135</v>
      </c>
      <c r="BT19" s="283">
        <f t="shared" si="5"/>
        <v>45992</v>
      </c>
      <c r="BU19" s="283"/>
      <c r="BV19" s="260" t="s">
        <v>136</v>
      </c>
      <c r="CJ19" s="260"/>
      <c r="CK19" s="260"/>
      <c r="CL19" s="260"/>
      <c r="CM19" s="260"/>
      <c r="CN19" s="260"/>
      <c r="CO19" s="260"/>
      <c r="CP19" s="261"/>
      <c r="CQ19" s="261"/>
      <c r="CR19" s="262"/>
      <c r="CS19" s="262"/>
      <c r="CT19" s="262"/>
      <c r="CU19" s="262"/>
      <c r="CV19" s="262"/>
      <c r="CW19" s="262"/>
      <c r="CX19" s="262"/>
      <c r="CY19" s="262"/>
      <c r="CZ19" s="262"/>
      <c r="DA19" s="262"/>
    </row>
    <row r="20" spans="1:105" ht="23">
      <c r="A20" s="242">
        <v>4</v>
      </c>
      <c r="B20" s="243"/>
      <c r="C20" s="243" t="s">
        <v>142</v>
      </c>
      <c r="D20" s="243" t="s">
        <v>129</v>
      </c>
      <c r="E20" s="244"/>
      <c r="F20" s="244" t="s">
        <v>143</v>
      </c>
      <c r="G20" s="245" t="s">
        <v>144</v>
      </c>
      <c r="H20" s="246"/>
      <c r="I20" s="247"/>
      <c r="J20" s="248" t="s">
        <v>62</v>
      </c>
      <c r="K20" s="249"/>
      <c r="L20" s="245"/>
      <c r="M20" s="250"/>
      <c r="N20" s="251"/>
      <c r="O20" s="251"/>
      <c r="P20" s="252"/>
      <c r="Q20" s="252"/>
      <c r="R20" s="252"/>
      <c r="S20" s="252"/>
      <c r="T20" s="253"/>
      <c r="U20" s="254"/>
      <c r="V20" s="252"/>
      <c r="W20" s="255"/>
      <c r="X20" s="256"/>
      <c r="Y20" s="257"/>
      <c r="Z20" s="248" t="s">
        <v>145</v>
      </c>
      <c r="AA20" s="251"/>
      <c r="AB20" s="249"/>
      <c r="AC20" s="244"/>
      <c r="AD20" s="282">
        <v>46143</v>
      </c>
      <c r="BA20" s="244">
        <v>1</v>
      </c>
      <c r="BB20" s="244">
        <v>1</v>
      </c>
      <c r="BC20" s="244">
        <v>1</v>
      </c>
      <c r="BD20" s="244">
        <v>1</v>
      </c>
      <c r="BE20" s="244">
        <v>1</v>
      </c>
      <c r="BF20" s="244">
        <v>1</v>
      </c>
      <c r="BG20" s="244">
        <v>1</v>
      </c>
      <c r="BH20" s="244">
        <v>1</v>
      </c>
      <c r="BI20" s="244">
        <v>1</v>
      </c>
      <c r="BJ20" s="244">
        <v>9</v>
      </c>
      <c r="BK20" s="244">
        <f t="shared" ref="BK20:BK28" si="6">SUM(BA20:BI20)</f>
        <v>9</v>
      </c>
      <c r="BL20" s="258">
        <f t="shared" ref="BL20:BL28" si="7">+BK20/BJ20</f>
        <v>1</v>
      </c>
      <c r="BM20" s="259"/>
      <c r="BN20" s="259"/>
      <c r="BO20" s="259"/>
      <c r="BP20" s="259"/>
      <c r="BQ20" s="259"/>
      <c r="BR20" s="259"/>
      <c r="BS20" s="260" t="s">
        <v>135</v>
      </c>
      <c r="BT20" s="283">
        <f t="shared" ref="BT20:BT33" si="8">+AD20</f>
        <v>46143</v>
      </c>
      <c r="BU20" s="283"/>
      <c r="BV20" s="260" t="s">
        <v>136</v>
      </c>
      <c r="CJ20" s="260"/>
      <c r="CK20" s="260"/>
      <c r="CL20" s="260"/>
      <c r="CM20" s="260"/>
      <c r="CN20" s="260"/>
      <c r="CO20" s="260"/>
      <c r="CP20" s="261"/>
      <c r="CQ20" s="261"/>
      <c r="CR20" s="262"/>
      <c r="CS20" s="262"/>
      <c r="CT20" s="262"/>
      <c r="CU20" s="262"/>
      <c r="CV20" s="262"/>
      <c r="CW20" s="262"/>
      <c r="CX20" s="262"/>
      <c r="CY20" s="262"/>
      <c r="CZ20" s="262"/>
      <c r="DA20" s="262"/>
    </row>
    <row r="21" spans="1:105" ht="23">
      <c r="A21" s="242">
        <v>5</v>
      </c>
      <c r="B21" s="243"/>
      <c r="C21" s="243" t="s">
        <v>142</v>
      </c>
      <c r="D21" s="243" t="s">
        <v>129</v>
      </c>
      <c r="E21" s="244"/>
      <c r="F21" s="244" t="s">
        <v>146</v>
      </c>
      <c r="G21" s="245" t="s">
        <v>147</v>
      </c>
      <c r="H21" s="246"/>
      <c r="I21" s="247"/>
      <c r="J21" s="248" t="s">
        <v>62</v>
      </c>
      <c r="K21" s="249"/>
      <c r="L21" s="245"/>
      <c r="M21" s="250"/>
      <c r="N21" s="251"/>
      <c r="O21" s="251"/>
      <c r="P21" s="252"/>
      <c r="Q21" s="252"/>
      <c r="R21" s="252"/>
      <c r="S21" s="252"/>
      <c r="T21" s="253"/>
      <c r="U21" s="254"/>
      <c r="V21" s="252"/>
      <c r="W21" s="255"/>
      <c r="X21" s="256"/>
      <c r="Y21" s="257"/>
      <c r="Z21" s="248" t="s">
        <v>145</v>
      </c>
      <c r="AA21" s="251"/>
      <c r="AB21" s="249"/>
      <c r="AC21" s="244"/>
      <c r="AD21" s="282">
        <v>46143</v>
      </c>
      <c r="BA21" s="244">
        <v>1</v>
      </c>
      <c r="BB21" s="244">
        <v>1</v>
      </c>
      <c r="BC21" s="244">
        <v>1</v>
      </c>
      <c r="BD21" s="244">
        <v>1</v>
      </c>
      <c r="BE21" s="244">
        <v>1</v>
      </c>
      <c r="BF21" s="244">
        <v>1</v>
      </c>
      <c r="BG21" s="244">
        <v>1</v>
      </c>
      <c r="BH21" s="244">
        <v>1</v>
      </c>
      <c r="BI21" s="244">
        <v>1</v>
      </c>
      <c r="BJ21" s="244">
        <v>9</v>
      </c>
      <c r="BK21" s="244">
        <f t="shared" si="6"/>
        <v>9</v>
      </c>
      <c r="BL21" s="258">
        <f t="shared" si="7"/>
        <v>1</v>
      </c>
      <c r="BM21" s="259"/>
      <c r="BN21" s="259"/>
      <c r="BO21" s="259"/>
      <c r="BP21" s="259"/>
      <c r="BQ21" s="259"/>
      <c r="BR21" s="259"/>
      <c r="BS21" s="260" t="s">
        <v>135</v>
      </c>
      <c r="BT21" s="283">
        <f t="shared" si="8"/>
        <v>46143</v>
      </c>
      <c r="BU21" s="283"/>
      <c r="BV21" s="260" t="s">
        <v>136</v>
      </c>
      <c r="CJ21" s="260"/>
      <c r="CK21" s="260"/>
      <c r="CL21" s="260"/>
      <c r="CM21" s="260"/>
      <c r="CN21" s="260"/>
      <c r="CO21" s="260"/>
      <c r="CP21" s="261"/>
      <c r="CQ21" s="261"/>
      <c r="CR21" s="262"/>
      <c r="CS21" s="262"/>
      <c r="CT21" s="262"/>
      <c r="CU21" s="262"/>
      <c r="CV21" s="262"/>
      <c r="CW21" s="262"/>
      <c r="CX21" s="262"/>
      <c r="CY21" s="262"/>
      <c r="CZ21" s="262"/>
      <c r="DA21" s="262"/>
    </row>
    <row r="22" spans="1:105" ht="46">
      <c r="A22" s="242">
        <v>6</v>
      </c>
      <c r="B22" s="243"/>
      <c r="C22" s="243" t="s">
        <v>142</v>
      </c>
      <c r="D22" s="243" t="s">
        <v>129</v>
      </c>
      <c r="E22" s="244"/>
      <c r="F22" s="244" t="s">
        <v>148</v>
      </c>
      <c r="G22" s="245" t="s">
        <v>149</v>
      </c>
      <c r="H22" s="246"/>
      <c r="I22" s="247"/>
      <c r="J22" s="248" t="s">
        <v>62</v>
      </c>
      <c r="K22" s="249"/>
      <c r="L22" s="245"/>
      <c r="M22" s="250"/>
      <c r="N22" s="251"/>
      <c r="O22" s="251"/>
      <c r="P22" s="252"/>
      <c r="Q22" s="252"/>
      <c r="R22" s="252"/>
      <c r="S22" s="252"/>
      <c r="T22" s="253"/>
      <c r="U22" s="254"/>
      <c r="V22" s="252"/>
      <c r="W22" s="255"/>
      <c r="X22" s="256"/>
      <c r="Y22" s="257"/>
      <c r="Z22" s="248" t="s">
        <v>145</v>
      </c>
      <c r="AA22" s="251"/>
      <c r="AB22" s="249"/>
      <c r="AC22" s="244"/>
      <c r="AD22" s="282">
        <v>46143</v>
      </c>
      <c r="BA22" s="244">
        <v>1</v>
      </c>
      <c r="BB22" s="244">
        <v>1</v>
      </c>
      <c r="BC22" s="244">
        <v>1</v>
      </c>
      <c r="BD22" s="244">
        <v>1</v>
      </c>
      <c r="BE22" s="244">
        <v>1</v>
      </c>
      <c r="BF22" s="244">
        <v>1</v>
      </c>
      <c r="BG22" s="244">
        <v>1</v>
      </c>
      <c r="BH22" s="244">
        <v>1</v>
      </c>
      <c r="BI22" s="244">
        <v>1</v>
      </c>
      <c r="BJ22" s="244">
        <v>9</v>
      </c>
      <c r="BK22" s="244">
        <f t="shared" si="6"/>
        <v>9</v>
      </c>
      <c r="BL22" s="258">
        <f t="shared" si="7"/>
        <v>1</v>
      </c>
      <c r="BM22" s="259"/>
      <c r="BN22" s="259"/>
      <c r="BO22" s="259"/>
      <c r="BP22" s="259"/>
      <c r="BQ22" s="259"/>
      <c r="BR22" s="259"/>
      <c r="BS22" s="260" t="s">
        <v>135</v>
      </c>
      <c r="BT22" s="283">
        <f t="shared" si="8"/>
        <v>46143</v>
      </c>
      <c r="BU22" s="283"/>
      <c r="BV22" s="260" t="s">
        <v>136</v>
      </c>
      <c r="CJ22" s="260"/>
      <c r="CK22" s="260"/>
      <c r="CL22" s="260"/>
      <c r="CM22" s="260"/>
      <c r="CN22" s="260"/>
      <c r="CO22" s="260"/>
      <c r="CP22" s="261"/>
      <c r="CQ22" s="261"/>
      <c r="CR22" s="262"/>
      <c r="CS22" s="262"/>
      <c r="CT22" s="262"/>
      <c r="CU22" s="262"/>
      <c r="CV22" s="262"/>
      <c r="CW22" s="262"/>
      <c r="CX22" s="262"/>
      <c r="CY22" s="262"/>
      <c r="CZ22" s="262"/>
      <c r="DA22" s="262"/>
    </row>
    <row r="23" spans="1:105" ht="46">
      <c r="A23" s="242"/>
      <c r="B23" s="243"/>
      <c r="C23" s="243" t="s">
        <v>142</v>
      </c>
      <c r="D23" s="243" t="s">
        <v>129</v>
      </c>
      <c r="E23" s="244"/>
      <c r="F23" s="244" t="s">
        <v>150</v>
      </c>
      <c r="G23" s="245" t="s">
        <v>151</v>
      </c>
      <c r="H23" s="246"/>
      <c r="I23" s="247"/>
      <c r="J23" s="248" t="s">
        <v>62</v>
      </c>
      <c r="K23" s="249"/>
      <c r="L23" s="245"/>
      <c r="M23" s="250"/>
      <c r="N23" s="251"/>
      <c r="O23" s="251"/>
      <c r="P23" s="252"/>
      <c r="Q23" s="252"/>
      <c r="R23" s="252"/>
      <c r="S23" s="252"/>
      <c r="T23" s="253"/>
      <c r="U23" s="254"/>
      <c r="V23" s="252"/>
      <c r="W23" s="255"/>
      <c r="X23" s="256"/>
      <c r="Y23" s="257"/>
      <c r="Z23" s="248" t="s">
        <v>145</v>
      </c>
      <c r="AA23" s="251"/>
      <c r="AB23" s="249"/>
      <c r="AC23" s="244"/>
      <c r="AD23" s="282">
        <v>46143</v>
      </c>
      <c r="BA23" s="244">
        <v>1</v>
      </c>
      <c r="BB23" s="244">
        <v>1</v>
      </c>
      <c r="BC23" s="244">
        <v>1</v>
      </c>
      <c r="BD23" s="244">
        <v>1</v>
      </c>
      <c r="BE23" s="244">
        <v>1</v>
      </c>
      <c r="BF23" s="244">
        <v>1</v>
      </c>
      <c r="BG23" s="244">
        <v>1</v>
      </c>
      <c r="BH23" s="244">
        <v>1</v>
      </c>
      <c r="BI23" s="244">
        <v>1</v>
      </c>
      <c r="BJ23" s="244">
        <v>9</v>
      </c>
      <c r="BK23" s="244">
        <f t="shared" si="6"/>
        <v>9</v>
      </c>
      <c r="BL23" s="258">
        <f t="shared" si="7"/>
        <v>1</v>
      </c>
      <c r="BM23" s="259"/>
      <c r="BN23" s="259"/>
      <c r="BO23" s="259"/>
      <c r="BP23" s="259"/>
      <c r="BQ23" s="259"/>
      <c r="BR23" s="259"/>
      <c r="BS23" s="260" t="s">
        <v>135</v>
      </c>
      <c r="BT23" s="283">
        <f t="shared" si="8"/>
        <v>46143</v>
      </c>
      <c r="BU23" s="283"/>
      <c r="BV23" s="260" t="s">
        <v>136</v>
      </c>
      <c r="CJ23" s="260"/>
      <c r="CK23" s="260"/>
      <c r="CL23" s="260"/>
      <c r="CM23" s="260"/>
      <c r="CN23" s="260"/>
      <c r="CO23" s="260"/>
      <c r="CP23" s="261"/>
      <c r="CQ23" s="261"/>
      <c r="CR23" s="262"/>
      <c r="CS23" s="262"/>
      <c r="CT23" s="262"/>
      <c r="CU23" s="262"/>
      <c r="CV23" s="262"/>
      <c r="CW23" s="262"/>
      <c r="CX23" s="262"/>
      <c r="CY23" s="262"/>
      <c r="CZ23" s="262"/>
      <c r="DA23" s="262"/>
    </row>
    <row r="24" spans="1:105" ht="34.5">
      <c r="A24" s="242"/>
      <c r="B24" s="243"/>
      <c r="C24" s="243" t="s">
        <v>142</v>
      </c>
      <c r="D24" s="243" t="s">
        <v>129</v>
      </c>
      <c r="E24" s="244"/>
      <c r="F24" s="244" t="s">
        <v>152</v>
      </c>
      <c r="G24" s="245" t="s">
        <v>153</v>
      </c>
      <c r="H24" s="246"/>
      <c r="I24" s="247"/>
      <c r="J24" s="248" t="s">
        <v>62</v>
      </c>
      <c r="K24" s="249"/>
      <c r="L24" s="245"/>
      <c r="M24" s="250"/>
      <c r="N24" s="251"/>
      <c r="O24" s="251"/>
      <c r="P24" s="252"/>
      <c r="Q24" s="252"/>
      <c r="R24" s="252"/>
      <c r="S24" s="252"/>
      <c r="T24" s="253"/>
      <c r="U24" s="254"/>
      <c r="V24" s="252"/>
      <c r="W24" s="255"/>
      <c r="X24" s="256"/>
      <c r="Y24" s="257"/>
      <c r="Z24" s="248" t="s">
        <v>145</v>
      </c>
      <c r="AA24" s="251"/>
      <c r="AB24" s="249"/>
      <c r="AC24" s="244"/>
      <c r="AD24" s="282">
        <v>46143</v>
      </c>
      <c r="BA24" s="244">
        <v>1</v>
      </c>
      <c r="BB24" s="244">
        <v>1</v>
      </c>
      <c r="BC24" s="244">
        <v>1</v>
      </c>
      <c r="BD24" s="244">
        <v>1</v>
      </c>
      <c r="BE24" s="244">
        <v>1</v>
      </c>
      <c r="BF24" s="244">
        <v>1</v>
      </c>
      <c r="BG24" s="244">
        <v>1</v>
      </c>
      <c r="BH24" s="244">
        <v>1</v>
      </c>
      <c r="BI24" s="244">
        <v>1</v>
      </c>
      <c r="BJ24" s="244">
        <v>9</v>
      </c>
      <c r="BK24" s="244">
        <f t="shared" si="6"/>
        <v>9</v>
      </c>
      <c r="BL24" s="258">
        <f t="shared" si="7"/>
        <v>1</v>
      </c>
      <c r="BM24" s="259"/>
      <c r="BN24" s="259"/>
      <c r="BO24" s="259"/>
      <c r="BP24" s="259"/>
      <c r="BQ24" s="259"/>
      <c r="BR24" s="259"/>
      <c r="BS24" s="260" t="s">
        <v>135</v>
      </c>
      <c r="BT24" s="283">
        <f t="shared" si="8"/>
        <v>46143</v>
      </c>
      <c r="BU24" s="283"/>
      <c r="BV24" s="260" t="s">
        <v>136</v>
      </c>
      <c r="CJ24" s="260"/>
      <c r="CK24" s="260"/>
      <c r="CL24" s="260"/>
      <c r="CM24" s="260"/>
      <c r="CN24" s="260"/>
      <c r="CO24" s="260"/>
      <c r="CP24" s="261"/>
      <c r="CQ24" s="261"/>
      <c r="CR24" s="262"/>
      <c r="CS24" s="262"/>
      <c r="CT24" s="262"/>
      <c r="CU24" s="262"/>
      <c r="CV24" s="262"/>
      <c r="CW24" s="262"/>
      <c r="CX24" s="262"/>
      <c r="CY24" s="262"/>
      <c r="CZ24" s="262"/>
      <c r="DA24" s="262"/>
    </row>
    <row r="25" spans="1:105" ht="34.5">
      <c r="A25" s="242"/>
      <c r="B25" s="243"/>
      <c r="C25" s="243" t="s">
        <v>142</v>
      </c>
      <c r="D25" s="243" t="s">
        <v>129</v>
      </c>
      <c r="E25" s="244"/>
      <c r="F25" s="244" t="s">
        <v>154</v>
      </c>
      <c r="G25" s="245" t="s">
        <v>155</v>
      </c>
      <c r="H25" s="246"/>
      <c r="I25" s="247"/>
      <c r="J25" s="248" t="s">
        <v>62</v>
      </c>
      <c r="K25" s="249"/>
      <c r="L25" s="245"/>
      <c r="M25" s="250"/>
      <c r="N25" s="251"/>
      <c r="O25" s="251"/>
      <c r="P25" s="252"/>
      <c r="Q25" s="252"/>
      <c r="R25" s="252"/>
      <c r="S25" s="252"/>
      <c r="T25" s="253"/>
      <c r="U25" s="254"/>
      <c r="V25" s="252"/>
      <c r="W25" s="255"/>
      <c r="X25" s="256"/>
      <c r="Y25" s="257"/>
      <c r="Z25" s="248" t="s">
        <v>145</v>
      </c>
      <c r="AA25" s="251"/>
      <c r="AB25" s="249"/>
      <c r="AC25" s="244"/>
      <c r="AD25" s="282">
        <v>46143</v>
      </c>
      <c r="BA25" s="244">
        <v>1</v>
      </c>
      <c r="BB25" s="244">
        <v>1</v>
      </c>
      <c r="BC25" s="244">
        <v>1</v>
      </c>
      <c r="BD25" s="244">
        <v>1</v>
      </c>
      <c r="BE25" s="244">
        <v>1</v>
      </c>
      <c r="BF25" s="244">
        <v>1</v>
      </c>
      <c r="BG25" s="244">
        <v>1</v>
      </c>
      <c r="BH25" s="244">
        <v>1</v>
      </c>
      <c r="BI25" s="244">
        <v>1</v>
      </c>
      <c r="BJ25" s="244">
        <v>9</v>
      </c>
      <c r="BK25" s="244">
        <f t="shared" si="6"/>
        <v>9</v>
      </c>
      <c r="BL25" s="258">
        <f t="shared" si="7"/>
        <v>1</v>
      </c>
      <c r="BM25" s="259"/>
      <c r="BN25" s="259"/>
      <c r="BO25" s="259"/>
      <c r="BP25" s="259"/>
      <c r="BQ25" s="259"/>
      <c r="BR25" s="259"/>
      <c r="BS25" s="260" t="s">
        <v>135</v>
      </c>
      <c r="BT25" s="283">
        <f t="shared" si="8"/>
        <v>46143</v>
      </c>
      <c r="BU25" s="283"/>
      <c r="BV25" s="260" t="s">
        <v>136</v>
      </c>
      <c r="CJ25" s="260"/>
      <c r="CK25" s="260"/>
      <c r="CL25" s="260"/>
      <c r="CM25" s="260"/>
      <c r="CN25" s="260"/>
      <c r="CO25" s="260"/>
      <c r="CP25" s="261"/>
      <c r="CQ25" s="261"/>
      <c r="CR25" s="262"/>
      <c r="CS25" s="262"/>
      <c r="CT25" s="262"/>
      <c r="CU25" s="262"/>
      <c r="CV25" s="262"/>
      <c r="CW25" s="262"/>
      <c r="CX25" s="262"/>
      <c r="CY25" s="262"/>
      <c r="CZ25" s="262"/>
      <c r="DA25" s="262"/>
    </row>
    <row r="26" spans="1:105" ht="34.5">
      <c r="A26" s="242"/>
      <c r="B26" s="243"/>
      <c r="C26" s="243" t="s">
        <v>142</v>
      </c>
      <c r="D26" s="243" t="s">
        <v>129</v>
      </c>
      <c r="E26" s="244"/>
      <c r="F26" s="244" t="s">
        <v>156</v>
      </c>
      <c r="G26" s="245" t="s">
        <v>157</v>
      </c>
      <c r="H26" s="246"/>
      <c r="I26" s="247"/>
      <c r="J26" s="248" t="s">
        <v>62</v>
      </c>
      <c r="K26" s="249"/>
      <c r="L26" s="245"/>
      <c r="M26" s="250"/>
      <c r="N26" s="251"/>
      <c r="O26" s="251"/>
      <c r="P26" s="252"/>
      <c r="Q26" s="252"/>
      <c r="R26" s="252"/>
      <c r="S26" s="252"/>
      <c r="T26" s="253"/>
      <c r="U26" s="254"/>
      <c r="V26" s="252"/>
      <c r="W26" s="255"/>
      <c r="X26" s="256"/>
      <c r="Y26" s="257"/>
      <c r="Z26" s="248" t="s">
        <v>145</v>
      </c>
      <c r="AA26" s="251"/>
      <c r="AB26" s="249"/>
      <c r="AC26" s="244"/>
      <c r="AD26" s="282">
        <v>46143</v>
      </c>
      <c r="BA26" s="244">
        <v>1</v>
      </c>
      <c r="BB26" s="244">
        <v>1</v>
      </c>
      <c r="BC26" s="244">
        <v>1</v>
      </c>
      <c r="BD26" s="244">
        <v>1</v>
      </c>
      <c r="BE26" s="244">
        <v>1</v>
      </c>
      <c r="BF26" s="244">
        <v>1</v>
      </c>
      <c r="BG26" s="244">
        <v>1</v>
      </c>
      <c r="BH26" s="244">
        <v>1</v>
      </c>
      <c r="BI26" s="244">
        <v>1</v>
      </c>
      <c r="BJ26" s="244">
        <v>9</v>
      </c>
      <c r="BK26" s="244">
        <f t="shared" si="6"/>
        <v>9</v>
      </c>
      <c r="BL26" s="258">
        <f t="shared" si="7"/>
        <v>1</v>
      </c>
      <c r="BM26" s="259"/>
      <c r="BN26" s="259"/>
      <c r="BO26" s="259"/>
      <c r="BP26" s="259"/>
      <c r="BQ26" s="259"/>
      <c r="BR26" s="259"/>
      <c r="BS26" s="260" t="s">
        <v>135</v>
      </c>
      <c r="BT26" s="283">
        <f t="shared" si="8"/>
        <v>46143</v>
      </c>
      <c r="BU26" s="283"/>
      <c r="BV26" s="260" t="s">
        <v>136</v>
      </c>
      <c r="CJ26" s="260"/>
      <c r="CK26" s="260"/>
      <c r="CL26" s="260"/>
      <c r="CM26" s="260"/>
      <c r="CN26" s="260"/>
      <c r="CO26" s="260"/>
      <c r="CP26" s="261"/>
      <c r="CQ26" s="261"/>
      <c r="CR26" s="262"/>
      <c r="CS26" s="262"/>
      <c r="CT26" s="262"/>
      <c r="CU26" s="262"/>
      <c r="CV26" s="262"/>
      <c r="CW26" s="262"/>
      <c r="CX26" s="262"/>
      <c r="CY26" s="262"/>
      <c r="CZ26" s="262"/>
      <c r="DA26" s="262"/>
    </row>
    <row r="27" spans="1:105" ht="46">
      <c r="A27" s="242"/>
      <c r="B27" s="243"/>
      <c r="C27" s="243" t="s">
        <v>142</v>
      </c>
      <c r="D27" s="243" t="s">
        <v>129</v>
      </c>
      <c r="E27" s="244"/>
      <c r="F27" s="244" t="s">
        <v>158</v>
      </c>
      <c r="G27" s="245" t="s">
        <v>159</v>
      </c>
      <c r="H27" s="246"/>
      <c r="I27" s="247"/>
      <c r="J27" s="248" t="s">
        <v>62</v>
      </c>
      <c r="K27" s="249"/>
      <c r="L27" s="245"/>
      <c r="M27" s="250"/>
      <c r="N27" s="251"/>
      <c r="O27" s="251"/>
      <c r="P27" s="252"/>
      <c r="Q27" s="252"/>
      <c r="R27" s="252"/>
      <c r="S27" s="252"/>
      <c r="T27" s="253"/>
      <c r="U27" s="254"/>
      <c r="V27" s="252"/>
      <c r="W27" s="255"/>
      <c r="X27" s="256"/>
      <c r="Y27" s="257"/>
      <c r="Z27" s="248" t="s">
        <v>145</v>
      </c>
      <c r="AA27" s="251"/>
      <c r="AB27" s="249"/>
      <c r="AC27" s="244"/>
      <c r="AD27" s="282">
        <v>46143</v>
      </c>
      <c r="BA27" s="244">
        <v>1</v>
      </c>
      <c r="BB27" s="244">
        <v>1</v>
      </c>
      <c r="BC27" s="244">
        <v>1</v>
      </c>
      <c r="BD27" s="244">
        <v>1</v>
      </c>
      <c r="BE27" s="244">
        <v>1</v>
      </c>
      <c r="BF27" s="244">
        <v>1</v>
      </c>
      <c r="BG27" s="244">
        <v>1</v>
      </c>
      <c r="BH27" s="244">
        <v>1</v>
      </c>
      <c r="BI27" s="244">
        <v>1</v>
      </c>
      <c r="BJ27" s="244">
        <v>9</v>
      </c>
      <c r="BK27" s="244">
        <f t="shared" si="6"/>
        <v>9</v>
      </c>
      <c r="BL27" s="258">
        <f t="shared" si="7"/>
        <v>1</v>
      </c>
      <c r="BM27" s="259"/>
      <c r="BN27" s="259"/>
      <c r="BO27" s="259"/>
      <c r="BP27" s="259"/>
      <c r="BQ27" s="259"/>
      <c r="BR27" s="259"/>
      <c r="BS27" s="260" t="s">
        <v>135</v>
      </c>
      <c r="BT27" s="283">
        <f t="shared" si="8"/>
        <v>46143</v>
      </c>
      <c r="BU27" s="283"/>
      <c r="BV27" s="260" t="s">
        <v>136</v>
      </c>
      <c r="CJ27" s="260"/>
      <c r="CK27" s="260"/>
      <c r="CL27" s="260"/>
      <c r="CM27" s="260"/>
      <c r="CN27" s="260"/>
      <c r="CO27" s="260"/>
      <c r="CP27" s="261"/>
      <c r="CQ27" s="261"/>
      <c r="CR27" s="262"/>
      <c r="CS27" s="262"/>
      <c r="CT27" s="262"/>
      <c r="CU27" s="262"/>
      <c r="CV27" s="262"/>
      <c r="CW27" s="262"/>
      <c r="CX27" s="262"/>
      <c r="CY27" s="262"/>
      <c r="CZ27" s="262"/>
      <c r="DA27" s="262"/>
    </row>
    <row r="28" spans="1:105" ht="46">
      <c r="A28" s="242"/>
      <c r="B28" s="243"/>
      <c r="C28" s="243" t="s">
        <v>142</v>
      </c>
      <c r="D28" s="243" t="s">
        <v>129</v>
      </c>
      <c r="E28" s="244"/>
      <c r="F28" s="244" t="s">
        <v>160</v>
      </c>
      <c r="G28" s="245" t="s">
        <v>161</v>
      </c>
      <c r="H28" s="246"/>
      <c r="I28" s="247"/>
      <c r="J28" s="248" t="s">
        <v>62</v>
      </c>
      <c r="K28" s="249"/>
      <c r="L28" s="245"/>
      <c r="M28" s="250"/>
      <c r="N28" s="251"/>
      <c r="O28" s="251"/>
      <c r="P28" s="252"/>
      <c r="Q28" s="252"/>
      <c r="R28" s="252"/>
      <c r="S28" s="252"/>
      <c r="T28" s="253"/>
      <c r="U28" s="254"/>
      <c r="V28" s="252"/>
      <c r="W28" s="255"/>
      <c r="X28" s="256"/>
      <c r="Y28" s="257"/>
      <c r="Z28" s="248" t="s">
        <v>145</v>
      </c>
      <c r="AA28" s="251"/>
      <c r="AB28" s="249"/>
      <c r="AC28" s="244"/>
      <c r="AD28" s="282">
        <v>46143</v>
      </c>
      <c r="BA28" s="244">
        <v>1</v>
      </c>
      <c r="BB28" s="244">
        <v>1</v>
      </c>
      <c r="BC28" s="244">
        <v>1</v>
      </c>
      <c r="BD28" s="244">
        <v>1</v>
      </c>
      <c r="BE28" s="244">
        <v>1</v>
      </c>
      <c r="BF28" s="244">
        <v>1</v>
      </c>
      <c r="BG28" s="244">
        <v>1</v>
      </c>
      <c r="BH28" s="244">
        <v>1</v>
      </c>
      <c r="BI28" s="244">
        <v>1</v>
      </c>
      <c r="BJ28" s="244">
        <v>9</v>
      </c>
      <c r="BK28" s="244">
        <f t="shared" si="6"/>
        <v>9</v>
      </c>
      <c r="BL28" s="258">
        <f t="shared" si="7"/>
        <v>1</v>
      </c>
      <c r="BM28" s="259"/>
      <c r="BN28" s="259"/>
      <c r="BO28" s="259"/>
      <c r="BP28" s="259"/>
      <c r="BQ28" s="259"/>
      <c r="BR28" s="259"/>
      <c r="BS28" s="260" t="s">
        <v>135</v>
      </c>
      <c r="BT28" s="283">
        <f t="shared" si="8"/>
        <v>46143</v>
      </c>
      <c r="BU28" s="283"/>
      <c r="BV28" s="260" t="s">
        <v>136</v>
      </c>
      <c r="CJ28" s="260"/>
      <c r="CK28" s="260"/>
      <c r="CL28" s="260"/>
      <c r="CM28" s="260"/>
      <c r="CN28" s="260"/>
      <c r="CO28" s="260"/>
      <c r="CP28" s="261"/>
      <c r="CQ28" s="261"/>
      <c r="CR28" s="262"/>
      <c r="CS28" s="262"/>
      <c r="CT28" s="262"/>
      <c r="CU28" s="262"/>
      <c r="CV28" s="262"/>
      <c r="CW28" s="262"/>
      <c r="CX28" s="262"/>
      <c r="CY28" s="262"/>
      <c r="CZ28" s="262"/>
      <c r="DA28" s="262"/>
    </row>
    <row r="29" spans="1:105" ht="69">
      <c r="A29" s="248">
        <v>4</v>
      </c>
      <c r="B29" s="264" t="s">
        <v>56</v>
      </c>
      <c r="C29" s="265" t="s">
        <v>162</v>
      </c>
      <c r="D29" s="264" t="s">
        <v>163</v>
      </c>
      <c r="E29" s="244">
        <v>7506110691679</v>
      </c>
      <c r="F29" s="244" t="s">
        <v>164</v>
      </c>
      <c r="G29" s="245" t="s">
        <v>165</v>
      </c>
      <c r="H29" s="266" t="s">
        <v>60</v>
      </c>
      <c r="I29" s="247" t="s">
        <v>61</v>
      </c>
      <c r="J29" s="248" t="s">
        <v>62</v>
      </c>
      <c r="K29" s="249" t="s">
        <v>63</v>
      </c>
      <c r="L29" s="245">
        <v>1</v>
      </c>
      <c r="M29" s="267">
        <v>22.81</v>
      </c>
      <c r="N29" s="251" t="s">
        <v>64</v>
      </c>
      <c r="O29" s="251">
        <v>35000</v>
      </c>
      <c r="P29" s="267">
        <v>0</v>
      </c>
      <c r="Q29" s="252"/>
      <c r="R29" s="252"/>
      <c r="S29" s="267">
        <v>22.81</v>
      </c>
      <c r="T29" s="253" t="s">
        <v>166</v>
      </c>
      <c r="U29" s="254">
        <v>219</v>
      </c>
      <c r="V29" s="252">
        <f t="shared" si="2"/>
        <v>113.27586206896552</v>
      </c>
      <c r="W29" s="255">
        <f>+S29/V29</f>
        <v>0.20136681887366817</v>
      </c>
      <c r="X29" s="256">
        <f t="shared" si="4"/>
        <v>0.79863318112633186</v>
      </c>
      <c r="Y29" s="257">
        <v>0.4</v>
      </c>
      <c r="Z29" s="248" t="s">
        <v>167</v>
      </c>
      <c r="AA29" s="251" t="s">
        <v>168</v>
      </c>
      <c r="AB29" s="249"/>
      <c r="AC29" s="249" t="s">
        <v>169</v>
      </c>
      <c r="AD29" s="268">
        <v>46230</v>
      </c>
      <c r="BA29" s="265">
        <v>1</v>
      </c>
      <c r="BB29" s="265">
        <v>1</v>
      </c>
      <c r="BC29" s="265">
        <v>1</v>
      </c>
      <c r="BD29" s="265">
        <v>1</v>
      </c>
      <c r="BE29" s="265">
        <v>1</v>
      </c>
      <c r="BF29" s="265">
        <v>1</v>
      </c>
      <c r="BG29" s="265">
        <v>1</v>
      </c>
      <c r="BH29" s="265"/>
      <c r="BI29" s="244"/>
      <c r="BJ29" s="244">
        <v>9</v>
      </c>
      <c r="BK29" s="244">
        <f t="shared" si="0"/>
        <v>7</v>
      </c>
      <c r="BL29" s="258">
        <f t="shared" si="1"/>
        <v>0.77777777777777779</v>
      </c>
      <c r="BM29" s="259"/>
      <c r="BN29" s="259"/>
      <c r="BO29" s="259"/>
      <c r="BP29" s="259"/>
      <c r="BQ29" s="259"/>
      <c r="BR29" s="259"/>
      <c r="BS29" s="260" t="s">
        <v>169</v>
      </c>
      <c r="BT29" s="283">
        <f t="shared" si="8"/>
        <v>46230</v>
      </c>
      <c r="BU29" s="283"/>
      <c r="BV29" s="260" t="s">
        <v>170</v>
      </c>
      <c r="CJ29" s="260"/>
      <c r="CK29" s="260"/>
      <c r="CL29" s="260"/>
      <c r="CM29" s="260"/>
      <c r="CN29" s="260"/>
      <c r="CO29" s="260"/>
      <c r="CP29" s="261"/>
      <c r="CQ29" s="261"/>
      <c r="CR29" s="262"/>
      <c r="CS29" s="262"/>
      <c r="CT29" s="262"/>
      <c r="CU29" s="262"/>
      <c r="CV29" s="262"/>
      <c r="CW29" s="262"/>
      <c r="CX29" s="262"/>
      <c r="CY29" s="262"/>
      <c r="CZ29" s="262"/>
      <c r="DA29" s="262"/>
    </row>
    <row r="30" spans="1:105" ht="57.5">
      <c r="A30" s="248">
        <v>5</v>
      </c>
      <c r="B30" s="264" t="s">
        <v>56</v>
      </c>
      <c r="C30" s="265" t="s">
        <v>162</v>
      </c>
      <c r="D30" s="264" t="s">
        <v>163</v>
      </c>
      <c r="E30" s="244">
        <v>7506110691686</v>
      </c>
      <c r="F30" s="244" t="s">
        <v>171</v>
      </c>
      <c r="G30" s="245" t="s">
        <v>172</v>
      </c>
      <c r="H30" s="266" t="s">
        <v>60</v>
      </c>
      <c r="I30" s="247" t="s">
        <v>61</v>
      </c>
      <c r="J30" s="248" t="s">
        <v>62</v>
      </c>
      <c r="K30" s="249" t="s">
        <v>63</v>
      </c>
      <c r="L30" s="245">
        <v>1</v>
      </c>
      <c r="M30" s="267">
        <v>22.95</v>
      </c>
      <c r="N30" s="251" t="s">
        <v>64</v>
      </c>
      <c r="O30" s="251">
        <v>35000</v>
      </c>
      <c r="P30" s="267">
        <v>0</v>
      </c>
      <c r="Q30" s="252"/>
      <c r="R30" s="252"/>
      <c r="S30" s="267">
        <v>22.95</v>
      </c>
      <c r="T30" s="253" t="s">
        <v>173</v>
      </c>
      <c r="U30" s="254">
        <v>219</v>
      </c>
      <c r="V30" s="252">
        <f t="shared" si="2"/>
        <v>113.27586206896552</v>
      </c>
      <c r="W30" s="255">
        <f t="shared" si="3"/>
        <v>0.20260273972602738</v>
      </c>
      <c r="X30" s="256">
        <f t="shared" si="4"/>
        <v>0.79739726027397262</v>
      </c>
      <c r="Y30" s="257">
        <v>0.4</v>
      </c>
      <c r="Z30" s="248" t="s">
        <v>167</v>
      </c>
      <c r="AA30" s="251" t="s">
        <v>168</v>
      </c>
      <c r="AB30" s="249"/>
      <c r="AC30" s="249" t="s">
        <v>169</v>
      </c>
      <c r="AD30" s="268">
        <v>46230</v>
      </c>
      <c r="BA30" s="265">
        <v>1</v>
      </c>
      <c r="BB30" s="265">
        <v>1</v>
      </c>
      <c r="BC30" s="265">
        <v>1</v>
      </c>
      <c r="BD30" s="265">
        <v>1</v>
      </c>
      <c r="BE30" s="265">
        <v>1</v>
      </c>
      <c r="BF30" s="265">
        <v>1</v>
      </c>
      <c r="BG30" s="265">
        <v>1</v>
      </c>
      <c r="BH30" s="265"/>
      <c r="BI30" s="244"/>
      <c r="BJ30" s="244">
        <v>9</v>
      </c>
      <c r="BK30" s="244">
        <f t="shared" si="0"/>
        <v>7</v>
      </c>
      <c r="BL30" s="258">
        <f t="shared" si="1"/>
        <v>0.77777777777777779</v>
      </c>
      <c r="BM30" s="259"/>
      <c r="BN30" s="259"/>
      <c r="BO30" s="259"/>
      <c r="BP30" s="259"/>
      <c r="BQ30" s="259"/>
      <c r="BR30" s="259"/>
      <c r="BS30" s="260" t="s">
        <v>169</v>
      </c>
      <c r="BT30" s="283">
        <f t="shared" si="8"/>
        <v>46230</v>
      </c>
      <c r="BU30" s="283"/>
      <c r="BV30" s="260" t="s">
        <v>170</v>
      </c>
      <c r="CJ30" s="260"/>
      <c r="CK30" s="260"/>
      <c r="CL30" s="260"/>
      <c r="CM30" s="260"/>
      <c r="CN30" s="260"/>
      <c r="CO30" s="260"/>
      <c r="CP30" s="261"/>
      <c r="CQ30" s="261"/>
      <c r="CR30" s="262"/>
      <c r="CS30" s="262"/>
      <c r="CT30" s="262"/>
      <c r="CU30" s="262"/>
      <c r="CV30" s="262"/>
      <c r="CW30" s="262"/>
      <c r="CX30" s="262"/>
      <c r="CY30" s="262"/>
      <c r="CZ30" s="262"/>
      <c r="DA30" s="262"/>
    </row>
    <row r="31" spans="1:105" ht="57.5">
      <c r="A31" s="248">
        <v>6</v>
      </c>
      <c r="B31" s="264" t="s">
        <v>56</v>
      </c>
      <c r="C31" s="265" t="s">
        <v>162</v>
      </c>
      <c r="D31" s="264" t="s">
        <v>163</v>
      </c>
      <c r="E31" s="269">
        <v>7506110693925</v>
      </c>
      <c r="F31" s="244" t="s">
        <v>174</v>
      </c>
      <c r="G31" s="245" t="s">
        <v>175</v>
      </c>
      <c r="H31" s="266" t="s">
        <v>60</v>
      </c>
      <c r="I31" s="247" t="s">
        <v>61</v>
      </c>
      <c r="J31" s="248" t="s">
        <v>62</v>
      </c>
      <c r="K31" s="249" t="s">
        <v>63</v>
      </c>
      <c r="L31" s="245">
        <v>1</v>
      </c>
      <c r="M31" s="267">
        <v>23.64</v>
      </c>
      <c r="N31" s="251" t="s">
        <v>64</v>
      </c>
      <c r="O31" s="251">
        <v>35000</v>
      </c>
      <c r="P31" s="267">
        <v>0</v>
      </c>
      <c r="Q31" s="252"/>
      <c r="R31" s="252"/>
      <c r="S31" s="267">
        <v>23.64</v>
      </c>
      <c r="T31" s="253" t="s">
        <v>173</v>
      </c>
      <c r="U31" s="254">
        <v>219</v>
      </c>
      <c r="V31" s="252">
        <f t="shared" si="2"/>
        <v>113.27586206896552</v>
      </c>
      <c r="W31" s="255">
        <f t="shared" si="3"/>
        <v>0.20869406392694062</v>
      </c>
      <c r="X31" s="256">
        <f t="shared" si="4"/>
        <v>0.79130593607305943</v>
      </c>
      <c r="Y31" s="257">
        <v>0.4</v>
      </c>
      <c r="Z31" s="248" t="s">
        <v>167</v>
      </c>
      <c r="AA31" s="251" t="s">
        <v>168</v>
      </c>
      <c r="AB31" s="249"/>
      <c r="AC31" s="249" t="s">
        <v>169</v>
      </c>
      <c r="AD31" s="268">
        <v>46230</v>
      </c>
      <c r="BA31" s="265">
        <v>1</v>
      </c>
      <c r="BB31" s="265">
        <v>1</v>
      </c>
      <c r="BC31" s="265">
        <v>1</v>
      </c>
      <c r="BD31" s="265">
        <v>1</v>
      </c>
      <c r="BE31" s="265">
        <v>1</v>
      </c>
      <c r="BF31" s="265">
        <v>1</v>
      </c>
      <c r="BG31" s="265">
        <v>1</v>
      </c>
      <c r="BH31" s="265"/>
      <c r="BI31" s="265"/>
      <c r="BJ31" s="244">
        <v>9</v>
      </c>
      <c r="BK31" s="244">
        <f t="shared" si="0"/>
        <v>7</v>
      </c>
      <c r="BL31" s="258">
        <f t="shared" si="1"/>
        <v>0.77777777777777779</v>
      </c>
      <c r="BM31" s="259"/>
      <c r="BN31" s="259"/>
      <c r="BO31" s="259"/>
      <c r="BP31" s="259"/>
      <c r="BQ31" s="259"/>
      <c r="BR31" s="259"/>
      <c r="BS31" s="260" t="s">
        <v>169</v>
      </c>
      <c r="BT31" s="283">
        <f t="shared" si="8"/>
        <v>46230</v>
      </c>
      <c r="BU31" s="283"/>
      <c r="BV31" s="260" t="s">
        <v>170</v>
      </c>
      <c r="CJ31" s="260"/>
      <c r="CK31" s="260"/>
      <c r="CL31" s="260"/>
      <c r="CM31" s="260"/>
      <c r="CN31" s="260"/>
      <c r="CO31" s="260"/>
      <c r="CP31" s="261"/>
      <c r="CQ31" s="261"/>
      <c r="CR31" s="262"/>
      <c r="CS31" s="262"/>
      <c r="CT31" s="262"/>
      <c r="CU31" s="262"/>
      <c r="CV31" s="262"/>
      <c r="CW31" s="262"/>
      <c r="CX31" s="262"/>
      <c r="CY31" s="262"/>
      <c r="CZ31" s="262"/>
      <c r="DA31" s="262"/>
    </row>
    <row r="32" spans="1:105" ht="57.5">
      <c r="A32" s="248">
        <v>7</v>
      </c>
      <c r="B32" s="264" t="s">
        <v>56</v>
      </c>
      <c r="C32" s="265" t="s">
        <v>162</v>
      </c>
      <c r="D32" s="264" t="s">
        <v>163</v>
      </c>
      <c r="E32" s="269">
        <v>7506110693932</v>
      </c>
      <c r="F32" s="244" t="s">
        <v>176</v>
      </c>
      <c r="G32" s="245" t="s">
        <v>177</v>
      </c>
      <c r="H32" s="266" t="s">
        <v>60</v>
      </c>
      <c r="I32" s="247" t="s">
        <v>61</v>
      </c>
      <c r="J32" s="248" t="s">
        <v>62</v>
      </c>
      <c r="K32" s="249" t="s">
        <v>63</v>
      </c>
      <c r="L32" s="245">
        <v>1</v>
      </c>
      <c r="M32" s="267">
        <v>23.57</v>
      </c>
      <c r="N32" s="251" t="s">
        <v>64</v>
      </c>
      <c r="O32" s="251">
        <v>35000</v>
      </c>
      <c r="P32" s="267">
        <v>0</v>
      </c>
      <c r="Q32" s="252"/>
      <c r="R32" s="252"/>
      <c r="S32" s="267">
        <v>23.57</v>
      </c>
      <c r="T32" s="253" t="s">
        <v>173</v>
      </c>
      <c r="U32" s="254">
        <v>219</v>
      </c>
      <c r="V32" s="252">
        <f t="shared" si="2"/>
        <v>113.27586206896552</v>
      </c>
      <c r="W32" s="255">
        <f t="shared" si="3"/>
        <v>0.20807610350076103</v>
      </c>
      <c r="X32" s="256">
        <f t="shared" si="4"/>
        <v>0.791923896499239</v>
      </c>
      <c r="Y32" s="257">
        <v>0.4</v>
      </c>
      <c r="Z32" s="248" t="s">
        <v>167</v>
      </c>
      <c r="AA32" s="251" t="s">
        <v>168</v>
      </c>
      <c r="AB32" s="249"/>
      <c r="AC32" s="249" t="s">
        <v>169</v>
      </c>
      <c r="AD32" s="268">
        <v>46230</v>
      </c>
      <c r="BA32" s="265">
        <v>1</v>
      </c>
      <c r="BB32" s="265">
        <v>1</v>
      </c>
      <c r="BC32" s="265">
        <v>1</v>
      </c>
      <c r="BD32" s="265">
        <v>1</v>
      </c>
      <c r="BE32" s="265">
        <v>1</v>
      </c>
      <c r="BF32" s="265">
        <v>1</v>
      </c>
      <c r="BG32" s="265">
        <v>1</v>
      </c>
      <c r="BH32" s="265"/>
      <c r="BI32" s="265"/>
      <c r="BJ32" s="244">
        <v>9</v>
      </c>
      <c r="BK32" s="244">
        <f t="shared" si="0"/>
        <v>7</v>
      </c>
      <c r="BL32" s="258">
        <f t="shared" si="1"/>
        <v>0.77777777777777779</v>
      </c>
      <c r="BM32" s="259"/>
      <c r="BN32" s="259"/>
      <c r="BO32" s="259"/>
      <c r="BP32" s="259"/>
      <c r="BQ32" s="259"/>
      <c r="BR32" s="259"/>
      <c r="BS32" s="260" t="s">
        <v>169</v>
      </c>
      <c r="BT32" s="283">
        <f t="shared" si="8"/>
        <v>46230</v>
      </c>
      <c r="BU32" s="283"/>
      <c r="BV32" s="260" t="s">
        <v>170</v>
      </c>
      <c r="CJ32" s="260"/>
      <c r="CK32" s="260"/>
      <c r="CL32" s="260"/>
      <c r="CM32" s="260"/>
      <c r="CN32" s="260"/>
      <c r="CO32" s="260"/>
      <c r="CP32" s="261"/>
      <c r="CQ32" s="261"/>
      <c r="CR32" s="262"/>
      <c r="CS32" s="262"/>
      <c r="CT32" s="262"/>
      <c r="CU32" s="262"/>
      <c r="CV32" s="262"/>
      <c r="CW32" s="262"/>
      <c r="CX32" s="262"/>
      <c r="CY32" s="262"/>
      <c r="CZ32" s="262"/>
      <c r="DA32" s="262"/>
    </row>
    <row r="33" spans="1:105" ht="46">
      <c r="A33" s="248">
        <v>8</v>
      </c>
      <c r="B33" s="264" t="s">
        <v>56</v>
      </c>
      <c r="C33" s="265" t="s">
        <v>178</v>
      </c>
      <c r="D33" s="264" t="s">
        <v>163</v>
      </c>
      <c r="E33" s="269">
        <v>7502327990765</v>
      </c>
      <c r="F33" s="244" t="s">
        <v>179</v>
      </c>
      <c r="G33" s="245" t="s">
        <v>180</v>
      </c>
      <c r="H33" s="270"/>
      <c r="I33" s="247" t="s">
        <v>181</v>
      </c>
      <c r="J33" s="248" t="s">
        <v>62</v>
      </c>
      <c r="K33" s="249" t="s">
        <v>63</v>
      </c>
      <c r="L33" s="245">
        <v>1</v>
      </c>
      <c r="M33" s="250">
        <v>0.17</v>
      </c>
      <c r="N33" s="251" t="s">
        <v>74</v>
      </c>
      <c r="O33" s="251">
        <v>25000</v>
      </c>
      <c r="P33" s="252">
        <f>M33*18.5</f>
        <v>3.145</v>
      </c>
      <c r="Q33" s="271"/>
      <c r="R33" s="252">
        <v>0.1053</v>
      </c>
      <c r="S33" s="252">
        <f>P33+R33</f>
        <v>3.2503000000000002</v>
      </c>
      <c r="T33" s="253" t="s">
        <v>182</v>
      </c>
      <c r="U33" s="254">
        <v>59</v>
      </c>
      <c r="V33" s="252">
        <f t="shared" si="2"/>
        <v>30.517241379310345</v>
      </c>
      <c r="W33" s="255">
        <f t="shared" si="3"/>
        <v>0.10650700564971752</v>
      </c>
      <c r="X33" s="256">
        <f t="shared" si="4"/>
        <v>0.89349299435028251</v>
      </c>
      <c r="Y33" s="257">
        <v>0.4</v>
      </c>
      <c r="Z33" s="248" t="s">
        <v>66</v>
      </c>
      <c r="AA33" s="251" t="s">
        <v>67</v>
      </c>
      <c r="AB33" s="249"/>
      <c r="AC33" s="249" t="s">
        <v>169</v>
      </c>
      <c r="AD33" s="268">
        <v>46207</v>
      </c>
      <c r="BA33" s="265">
        <v>1</v>
      </c>
      <c r="BB33" s="265">
        <v>1</v>
      </c>
      <c r="BC33" s="265">
        <v>1</v>
      </c>
      <c r="BD33" s="265">
        <v>1</v>
      </c>
      <c r="BE33" s="265">
        <v>1</v>
      </c>
      <c r="BF33" s="265">
        <v>1</v>
      </c>
      <c r="BG33" s="265">
        <v>1</v>
      </c>
      <c r="BH33" s="265"/>
      <c r="BI33" s="244"/>
      <c r="BJ33" s="244">
        <v>9</v>
      </c>
      <c r="BK33" s="244">
        <f t="shared" si="0"/>
        <v>7</v>
      </c>
      <c r="BL33" s="258">
        <f t="shared" si="1"/>
        <v>0.77777777777777779</v>
      </c>
      <c r="BM33" s="259"/>
      <c r="BN33" s="259"/>
      <c r="BO33" s="259"/>
      <c r="BP33" s="259"/>
      <c r="BQ33" s="259"/>
      <c r="BR33" s="259"/>
      <c r="BS33" s="260" t="s">
        <v>169</v>
      </c>
      <c r="BT33" s="283">
        <f t="shared" si="8"/>
        <v>46207</v>
      </c>
      <c r="BU33" s="283"/>
      <c r="BV33" s="260" t="s">
        <v>170</v>
      </c>
      <c r="CJ33" s="260"/>
      <c r="CK33" s="260"/>
      <c r="CL33" s="260"/>
      <c r="CM33" s="260"/>
      <c r="CN33" s="260"/>
      <c r="CO33" s="260"/>
      <c r="CP33" s="261"/>
      <c r="CQ33" s="261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</row>
    <row r="34" spans="1:105" ht="46">
      <c r="A34" s="248">
        <v>9</v>
      </c>
      <c r="B34" s="264" t="s">
        <v>56</v>
      </c>
      <c r="C34" s="265" t="s">
        <v>178</v>
      </c>
      <c r="D34" s="264" t="s">
        <v>163</v>
      </c>
      <c r="E34" s="269">
        <v>7502327990772</v>
      </c>
      <c r="F34" s="244" t="s">
        <v>183</v>
      </c>
      <c r="G34" s="245" t="s">
        <v>184</v>
      </c>
      <c r="H34" s="270"/>
      <c r="I34" s="247" t="s">
        <v>181</v>
      </c>
      <c r="J34" s="248" t="s">
        <v>62</v>
      </c>
      <c r="K34" s="249" t="s">
        <v>63</v>
      </c>
      <c r="L34" s="245">
        <v>1</v>
      </c>
      <c r="M34" s="250">
        <v>0.17</v>
      </c>
      <c r="N34" s="251" t="s">
        <v>74</v>
      </c>
      <c r="O34" s="251">
        <v>15000</v>
      </c>
      <c r="P34" s="252">
        <f>M34*18.5</f>
        <v>3.145</v>
      </c>
      <c r="Q34" s="271"/>
      <c r="R34" s="252">
        <v>0.1053</v>
      </c>
      <c r="S34" s="252">
        <f>P34+R34</f>
        <v>3.2503000000000002</v>
      </c>
      <c r="T34" s="253" t="s">
        <v>182</v>
      </c>
      <c r="U34" s="254">
        <v>59</v>
      </c>
      <c r="V34" s="252">
        <f t="shared" si="2"/>
        <v>30.517241379310345</v>
      </c>
      <c r="W34" s="255">
        <f t="shared" si="3"/>
        <v>0.10650700564971752</v>
      </c>
      <c r="X34" s="256">
        <f t="shared" si="4"/>
        <v>0.89349299435028251</v>
      </c>
      <c r="Y34" s="257">
        <v>0.4</v>
      </c>
      <c r="Z34" s="248" t="s">
        <v>66</v>
      </c>
      <c r="AA34" s="251" t="s">
        <v>67</v>
      </c>
      <c r="AB34" s="249"/>
      <c r="AC34" s="249" t="s">
        <v>169</v>
      </c>
      <c r="AD34" s="268">
        <v>46207</v>
      </c>
      <c r="BA34" s="265">
        <v>1</v>
      </c>
      <c r="BB34" s="265">
        <v>1</v>
      </c>
      <c r="BC34" s="265">
        <v>1</v>
      </c>
      <c r="BD34" s="265">
        <v>1</v>
      </c>
      <c r="BE34" s="265">
        <v>1</v>
      </c>
      <c r="BF34" s="265">
        <v>1</v>
      </c>
      <c r="BG34" s="265">
        <v>1</v>
      </c>
      <c r="BH34" s="265"/>
      <c r="BI34" s="244"/>
      <c r="BJ34" s="244">
        <v>9</v>
      </c>
      <c r="BK34" s="244">
        <f t="shared" si="0"/>
        <v>7</v>
      </c>
      <c r="BL34" s="258">
        <f t="shared" si="1"/>
        <v>0.77777777777777779</v>
      </c>
      <c r="BM34" s="259"/>
      <c r="BN34" s="259"/>
      <c r="BO34" s="259"/>
      <c r="BP34" s="259"/>
      <c r="BQ34" s="259"/>
      <c r="BR34" s="259"/>
      <c r="BS34" s="260" t="s">
        <v>169</v>
      </c>
      <c r="BT34" s="283">
        <f t="shared" si="5"/>
        <v>46207</v>
      </c>
      <c r="BU34" s="283"/>
      <c r="BV34" s="260" t="s">
        <v>170</v>
      </c>
      <c r="CJ34" s="260"/>
      <c r="CK34" s="260"/>
      <c r="CL34" s="260"/>
      <c r="CM34" s="260"/>
      <c r="CN34" s="260"/>
      <c r="CO34" s="260"/>
      <c r="CP34" s="261"/>
      <c r="CQ34" s="261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</row>
    <row r="35" spans="1:105" ht="57.5">
      <c r="A35" s="248">
        <v>10</v>
      </c>
      <c r="B35" s="264" t="s">
        <v>56</v>
      </c>
      <c r="C35" s="265" t="s">
        <v>185</v>
      </c>
      <c r="D35" s="264" t="s">
        <v>163</v>
      </c>
      <c r="E35" s="244">
        <v>7502327992646</v>
      </c>
      <c r="F35" s="244" t="s">
        <v>186</v>
      </c>
      <c r="G35" s="244" t="s">
        <v>187</v>
      </c>
      <c r="H35" s="266" t="s">
        <v>60</v>
      </c>
      <c r="I35" s="272" t="s">
        <v>188</v>
      </c>
      <c r="J35" s="248" t="s">
        <v>62</v>
      </c>
      <c r="K35" s="249" t="s">
        <v>63</v>
      </c>
      <c r="L35" s="245">
        <v>1</v>
      </c>
      <c r="M35" s="250">
        <v>18.309999999999999</v>
      </c>
      <c r="N35" s="251" t="s">
        <v>64</v>
      </c>
      <c r="O35" s="273">
        <v>20000</v>
      </c>
      <c r="P35" s="252">
        <v>18.309999999999999</v>
      </c>
      <c r="Q35" s="252"/>
      <c r="R35" s="252"/>
      <c r="S35" s="252">
        <v>18.309999999999999</v>
      </c>
      <c r="T35" s="253" t="s">
        <v>189</v>
      </c>
      <c r="U35" s="254">
        <v>149</v>
      </c>
      <c r="V35" s="252">
        <f t="shared" si="2"/>
        <v>77.068965517241381</v>
      </c>
      <c r="W35" s="255">
        <f t="shared" si="3"/>
        <v>0.23757941834451898</v>
      </c>
      <c r="X35" s="256">
        <f t="shared" si="4"/>
        <v>0.76242058165548099</v>
      </c>
      <c r="Y35" s="257">
        <v>0.4</v>
      </c>
      <c r="Z35" s="248" t="s">
        <v>66</v>
      </c>
      <c r="AA35" s="251" t="s">
        <v>67</v>
      </c>
      <c r="AB35" s="245"/>
      <c r="AC35" s="245" t="s">
        <v>190</v>
      </c>
      <c r="AD35" s="268">
        <v>46318</v>
      </c>
      <c r="BA35" s="245">
        <v>1</v>
      </c>
      <c r="BB35" s="245">
        <v>1</v>
      </c>
      <c r="BC35" s="245">
        <v>1</v>
      </c>
      <c r="BD35" s="245">
        <v>1</v>
      </c>
      <c r="BE35" s="245">
        <v>1</v>
      </c>
      <c r="BF35" s="245"/>
      <c r="BG35" s="245"/>
      <c r="BH35" s="245"/>
      <c r="BI35" s="245"/>
      <c r="BJ35" s="244">
        <v>9</v>
      </c>
      <c r="BK35" s="244">
        <f t="shared" si="0"/>
        <v>5</v>
      </c>
      <c r="BL35" s="258">
        <f t="shared" si="1"/>
        <v>0.55555555555555558</v>
      </c>
      <c r="BM35" s="259"/>
      <c r="BN35" s="259"/>
      <c r="BO35" s="259"/>
      <c r="BP35" s="259"/>
      <c r="BQ35" s="259"/>
      <c r="BR35" s="259"/>
      <c r="BS35" s="260" t="s">
        <v>191</v>
      </c>
      <c r="BT35" s="283">
        <f t="shared" si="5"/>
        <v>46318</v>
      </c>
      <c r="BU35" s="283"/>
      <c r="BV35" s="260" t="s">
        <v>77</v>
      </c>
      <c r="CJ35" s="260"/>
      <c r="CK35" s="260"/>
      <c r="CL35" s="260"/>
      <c r="CM35" s="260"/>
      <c r="CN35" s="260"/>
      <c r="CO35" s="260"/>
      <c r="CP35" s="261"/>
      <c r="CQ35" s="261"/>
      <c r="CR35" s="262"/>
      <c r="CS35" s="262"/>
      <c r="CT35" s="262"/>
      <c r="CU35" s="262"/>
      <c r="CV35" s="262"/>
      <c r="CW35" s="262"/>
      <c r="CX35" s="262"/>
      <c r="CY35" s="262"/>
      <c r="CZ35" s="262"/>
      <c r="DA35" s="262"/>
    </row>
    <row r="36" spans="1:105" ht="57.5">
      <c r="A36" s="248">
        <v>11</v>
      </c>
      <c r="B36" s="264" t="s">
        <v>56</v>
      </c>
      <c r="C36" s="265" t="s">
        <v>185</v>
      </c>
      <c r="D36" s="264" t="s">
        <v>163</v>
      </c>
      <c r="E36" s="244">
        <v>7502327992653</v>
      </c>
      <c r="F36" s="244" t="s">
        <v>192</v>
      </c>
      <c r="G36" s="244" t="s">
        <v>193</v>
      </c>
      <c r="H36" s="266" t="s">
        <v>60</v>
      </c>
      <c r="I36" s="272" t="s">
        <v>188</v>
      </c>
      <c r="J36" s="248" t="s">
        <v>62</v>
      </c>
      <c r="K36" s="249" t="s">
        <v>63</v>
      </c>
      <c r="L36" s="245">
        <v>1</v>
      </c>
      <c r="M36" s="250">
        <v>18.309999999999999</v>
      </c>
      <c r="N36" s="251" t="s">
        <v>64</v>
      </c>
      <c r="O36" s="273">
        <v>20000</v>
      </c>
      <c r="P36" s="252">
        <v>18.309999999999999</v>
      </c>
      <c r="Q36" s="252"/>
      <c r="R36" s="252"/>
      <c r="S36" s="252">
        <v>18.309999999999999</v>
      </c>
      <c r="T36" s="253" t="s">
        <v>194</v>
      </c>
      <c r="U36" s="254">
        <v>149</v>
      </c>
      <c r="V36" s="252">
        <f t="shared" si="2"/>
        <v>77.068965517241381</v>
      </c>
      <c r="W36" s="255">
        <f t="shared" si="3"/>
        <v>0.23757941834451898</v>
      </c>
      <c r="X36" s="256">
        <f t="shared" si="4"/>
        <v>0.76242058165548099</v>
      </c>
      <c r="Y36" s="257">
        <v>0.4</v>
      </c>
      <c r="Z36" s="248" t="s">
        <v>66</v>
      </c>
      <c r="AA36" s="251" t="s">
        <v>67</v>
      </c>
      <c r="AB36" s="245"/>
      <c r="AC36" s="245" t="s">
        <v>190</v>
      </c>
      <c r="AD36" s="268">
        <v>46318</v>
      </c>
      <c r="BA36" s="245">
        <v>1</v>
      </c>
      <c r="BB36" s="245">
        <v>1</v>
      </c>
      <c r="BC36" s="245">
        <v>1</v>
      </c>
      <c r="BD36" s="245">
        <v>1</v>
      </c>
      <c r="BE36" s="248">
        <v>1</v>
      </c>
      <c r="BF36" s="248"/>
      <c r="BG36" s="248"/>
      <c r="BH36" s="248"/>
      <c r="BI36" s="248"/>
      <c r="BJ36" s="244">
        <v>9</v>
      </c>
      <c r="BK36" s="244">
        <f t="shared" si="0"/>
        <v>5</v>
      </c>
      <c r="BL36" s="258">
        <f t="shared" si="1"/>
        <v>0.55555555555555558</v>
      </c>
      <c r="BM36" s="259"/>
      <c r="BN36" s="259"/>
      <c r="BO36" s="259"/>
      <c r="BP36" s="259"/>
      <c r="BQ36" s="259"/>
      <c r="BR36" s="259"/>
      <c r="BS36" s="260" t="s">
        <v>191</v>
      </c>
      <c r="BT36" s="283">
        <f t="shared" si="5"/>
        <v>46318</v>
      </c>
      <c r="BU36" s="283"/>
      <c r="BV36" s="260" t="s">
        <v>77</v>
      </c>
      <c r="CJ36" s="260"/>
      <c r="CK36" s="260"/>
      <c r="CL36" s="260"/>
      <c r="CM36" s="260"/>
      <c r="CN36" s="260"/>
      <c r="CO36" s="260"/>
      <c r="CP36" s="261"/>
      <c r="CQ36" s="261"/>
      <c r="CR36" s="262"/>
      <c r="CS36" s="262"/>
      <c r="CT36" s="262"/>
      <c r="CU36" s="262"/>
      <c r="CV36" s="262"/>
      <c r="CW36" s="262"/>
      <c r="CX36" s="262"/>
      <c r="CY36" s="262"/>
      <c r="CZ36" s="262"/>
      <c r="DA36" s="262"/>
    </row>
    <row r="37" spans="1:105" ht="57.5">
      <c r="A37" s="248">
        <v>12</v>
      </c>
      <c r="B37" s="264" t="s">
        <v>56</v>
      </c>
      <c r="C37" s="265" t="s">
        <v>185</v>
      </c>
      <c r="D37" s="264" t="s">
        <v>163</v>
      </c>
      <c r="E37" s="244">
        <v>7502327992660</v>
      </c>
      <c r="F37" s="244" t="s">
        <v>195</v>
      </c>
      <c r="G37" s="244" t="s">
        <v>196</v>
      </c>
      <c r="H37" s="266" t="s">
        <v>60</v>
      </c>
      <c r="I37" s="272" t="s">
        <v>188</v>
      </c>
      <c r="J37" s="248" t="s">
        <v>62</v>
      </c>
      <c r="K37" s="249" t="s">
        <v>63</v>
      </c>
      <c r="L37" s="245">
        <v>1</v>
      </c>
      <c r="M37" s="250">
        <v>18.309999999999999</v>
      </c>
      <c r="N37" s="251" t="s">
        <v>64</v>
      </c>
      <c r="O37" s="273">
        <v>20000</v>
      </c>
      <c r="P37" s="252">
        <v>18.309999999999999</v>
      </c>
      <c r="Q37" s="252"/>
      <c r="R37" s="252"/>
      <c r="S37" s="252">
        <v>18.309999999999999</v>
      </c>
      <c r="T37" s="253" t="s">
        <v>197</v>
      </c>
      <c r="U37" s="254">
        <v>149</v>
      </c>
      <c r="V37" s="252">
        <f t="shared" si="2"/>
        <v>77.068965517241381</v>
      </c>
      <c r="W37" s="255">
        <f t="shared" si="3"/>
        <v>0.23757941834451898</v>
      </c>
      <c r="X37" s="256">
        <f t="shared" si="4"/>
        <v>0.76242058165548099</v>
      </c>
      <c r="Y37" s="257">
        <v>0.4</v>
      </c>
      <c r="Z37" s="248" t="s">
        <v>66</v>
      </c>
      <c r="AA37" s="251" t="s">
        <v>67</v>
      </c>
      <c r="AB37" s="245"/>
      <c r="AC37" s="245" t="s">
        <v>190</v>
      </c>
      <c r="AD37" s="268">
        <v>46318</v>
      </c>
      <c r="BA37" s="245">
        <v>1</v>
      </c>
      <c r="BB37" s="245">
        <v>1</v>
      </c>
      <c r="BC37" s="245">
        <v>1</v>
      </c>
      <c r="BD37" s="245">
        <v>1</v>
      </c>
      <c r="BE37" s="248">
        <v>1</v>
      </c>
      <c r="BF37" s="248"/>
      <c r="BG37" s="248"/>
      <c r="BH37" s="248"/>
      <c r="BI37" s="248"/>
      <c r="BJ37" s="244">
        <v>9</v>
      </c>
      <c r="BK37" s="244">
        <f t="shared" si="0"/>
        <v>5</v>
      </c>
      <c r="BL37" s="258">
        <f t="shared" si="1"/>
        <v>0.55555555555555558</v>
      </c>
      <c r="BM37" s="259"/>
      <c r="BN37" s="259"/>
      <c r="BO37" s="259"/>
      <c r="BP37" s="259"/>
      <c r="BQ37" s="259"/>
      <c r="BR37" s="259"/>
      <c r="BS37" s="260" t="s">
        <v>191</v>
      </c>
      <c r="BT37" s="283">
        <f t="shared" si="5"/>
        <v>46318</v>
      </c>
      <c r="BU37" s="283"/>
      <c r="BV37" s="260" t="s">
        <v>77</v>
      </c>
      <c r="CJ37" s="260"/>
      <c r="CK37" s="260"/>
      <c r="CL37" s="260"/>
      <c r="CM37" s="260"/>
      <c r="CN37" s="260"/>
      <c r="CO37" s="260"/>
      <c r="CP37" s="261"/>
      <c r="CQ37" s="261"/>
      <c r="CR37" s="262"/>
      <c r="CS37" s="262"/>
      <c r="CT37" s="262"/>
      <c r="CU37" s="262"/>
      <c r="CV37" s="262"/>
      <c r="CW37" s="262"/>
      <c r="CX37" s="262"/>
      <c r="CY37" s="262"/>
      <c r="CZ37" s="262"/>
      <c r="DA37" s="262"/>
    </row>
    <row r="38" spans="1:105" ht="57.5">
      <c r="A38" s="248">
        <v>13</v>
      </c>
      <c r="B38" s="264" t="s">
        <v>56</v>
      </c>
      <c r="C38" s="265" t="s">
        <v>185</v>
      </c>
      <c r="D38" s="264" t="s">
        <v>163</v>
      </c>
      <c r="E38" s="244">
        <v>7502327992677</v>
      </c>
      <c r="F38" s="244" t="s">
        <v>198</v>
      </c>
      <c r="G38" s="244" t="s">
        <v>199</v>
      </c>
      <c r="H38" s="266" t="s">
        <v>60</v>
      </c>
      <c r="I38" s="272" t="s">
        <v>188</v>
      </c>
      <c r="J38" s="248" t="s">
        <v>62</v>
      </c>
      <c r="K38" s="249" t="s">
        <v>63</v>
      </c>
      <c r="L38" s="245">
        <v>1</v>
      </c>
      <c r="M38" s="250">
        <v>18.309999999999999</v>
      </c>
      <c r="N38" s="251" t="s">
        <v>64</v>
      </c>
      <c r="O38" s="273">
        <v>20000</v>
      </c>
      <c r="P38" s="252">
        <v>18.309999999999999</v>
      </c>
      <c r="Q38" s="252"/>
      <c r="R38" s="252"/>
      <c r="S38" s="252">
        <v>18.309999999999999</v>
      </c>
      <c r="T38" s="253" t="s">
        <v>200</v>
      </c>
      <c r="U38" s="254">
        <v>149</v>
      </c>
      <c r="V38" s="252">
        <f t="shared" si="2"/>
        <v>77.068965517241381</v>
      </c>
      <c r="W38" s="255">
        <f t="shared" si="3"/>
        <v>0.23757941834451898</v>
      </c>
      <c r="X38" s="256">
        <f t="shared" si="4"/>
        <v>0.76242058165548099</v>
      </c>
      <c r="Y38" s="257">
        <v>0.4</v>
      </c>
      <c r="Z38" s="248" t="s">
        <v>66</v>
      </c>
      <c r="AA38" s="251" t="s">
        <v>67</v>
      </c>
      <c r="AB38" s="245"/>
      <c r="AC38" s="245" t="s">
        <v>190</v>
      </c>
      <c r="AD38" s="268">
        <v>46318</v>
      </c>
      <c r="BA38" s="245">
        <v>1</v>
      </c>
      <c r="BB38" s="245">
        <v>1</v>
      </c>
      <c r="BC38" s="245">
        <v>1</v>
      </c>
      <c r="BD38" s="245">
        <v>1</v>
      </c>
      <c r="BE38" s="248">
        <v>1</v>
      </c>
      <c r="BF38" s="248"/>
      <c r="BG38" s="248"/>
      <c r="BH38" s="248"/>
      <c r="BI38" s="248"/>
      <c r="BJ38" s="244">
        <v>9</v>
      </c>
      <c r="BK38" s="244">
        <f t="shared" si="0"/>
        <v>5</v>
      </c>
      <c r="BL38" s="258">
        <f t="shared" si="1"/>
        <v>0.55555555555555558</v>
      </c>
      <c r="BM38" s="259"/>
      <c r="BN38" s="259"/>
      <c r="BO38" s="259"/>
      <c r="BP38" s="259"/>
      <c r="BQ38" s="259"/>
      <c r="BR38" s="259"/>
      <c r="BS38" s="260" t="s">
        <v>191</v>
      </c>
      <c r="BT38" s="283">
        <f t="shared" si="5"/>
        <v>46318</v>
      </c>
      <c r="BU38" s="283"/>
      <c r="BV38" s="260" t="s">
        <v>77</v>
      </c>
      <c r="CJ38" s="260"/>
      <c r="CK38" s="260"/>
      <c r="CL38" s="260"/>
      <c r="CM38" s="260"/>
      <c r="CN38" s="260"/>
      <c r="CO38" s="260"/>
      <c r="CP38" s="261"/>
      <c r="CQ38" s="261"/>
      <c r="CR38" s="262"/>
      <c r="CS38" s="262"/>
      <c r="CT38" s="262"/>
      <c r="CU38" s="262"/>
      <c r="CV38" s="262"/>
      <c r="CW38" s="262"/>
      <c r="CX38" s="262"/>
      <c r="CY38" s="262"/>
      <c r="CZ38" s="262"/>
      <c r="DA38" s="262"/>
    </row>
    <row r="39" spans="1:105" ht="57.5">
      <c r="A39" s="248">
        <v>14</v>
      </c>
      <c r="B39" s="264" t="s">
        <v>56</v>
      </c>
      <c r="C39" s="265" t="s">
        <v>185</v>
      </c>
      <c r="D39" s="264" t="s">
        <v>163</v>
      </c>
      <c r="E39" s="244">
        <v>7502327992684</v>
      </c>
      <c r="F39" s="244" t="s">
        <v>201</v>
      </c>
      <c r="G39" s="244" t="s">
        <v>202</v>
      </c>
      <c r="H39" s="266" t="s">
        <v>60</v>
      </c>
      <c r="I39" s="272" t="s">
        <v>188</v>
      </c>
      <c r="J39" s="248" t="s">
        <v>62</v>
      </c>
      <c r="K39" s="249" t="s">
        <v>63</v>
      </c>
      <c r="L39" s="245">
        <v>1</v>
      </c>
      <c r="M39" s="250">
        <v>18.309999999999999</v>
      </c>
      <c r="N39" s="251" t="s">
        <v>64</v>
      </c>
      <c r="O39" s="273">
        <v>20000</v>
      </c>
      <c r="P39" s="252">
        <v>18.309999999999999</v>
      </c>
      <c r="Q39" s="252"/>
      <c r="R39" s="252"/>
      <c r="S39" s="252">
        <v>18.309999999999999</v>
      </c>
      <c r="T39" s="253" t="s">
        <v>203</v>
      </c>
      <c r="U39" s="254">
        <v>149</v>
      </c>
      <c r="V39" s="252">
        <f t="shared" si="2"/>
        <v>77.068965517241381</v>
      </c>
      <c r="W39" s="255">
        <f t="shared" si="3"/>
        <v>0.23757941834451898</v>
      </c>
      <c r="X39" s="256">
        <f t="shared" si="4"/>
        <v>0.76242058165548099</v>
      </c>
      <c r="Y39" s="257">
        <v>0.4</v>
      </c>
      <c r="Z39" s="248" t="s">
        <v>66</v>
      </c>
      <c r="AA39" s="251" t="s">
        <v>67</v>
      </c>
      <c r="AB39" s="245"/>
      <c r="AC39" s="245" t="s">
        <v>190</v>
      </c>
      <c r="AD39" s="268">
        <v>46318</v>
      </c>
      <c r="BA39" s="245">
        <v>1</v>
      </c>
      <c r="BB39" s="245">
        <v>1</v>
      </c>
      <c r="BC39" s="245">
        <v>1</v>
      </c>
      <c r="BD39" s="245">
        <v>1</v>
      </c>
      <c r="BE39" s="248">
        <v>1</v>
      </c>
      <c r="BF39" s="248"/>
      <c r="BG39" s="248"/>
      <c r="BH39" s="248"/>
      <c r="BI39" s="248"/>
      <c r="BJ39" s="244">
        <v>9</v>
      </c>
      <c r="BK39" s="244">
        <f t="shared" si="0"/>
        <v>5</v>
      </c>
      <c r="BL39" s="258">
        <f t="shared" si="1"/>
        <v>0.55555555555555558</v>
      </c>
      <c r="BM39" s="259"/>
      <c r="BN39" s="259"/>
      <c r="BO39" s="259"/>
      <c r="BP39" s="259"/>
      <c r="BQ39" s="259"/>
      <c r="BR39" s="259"/>
      <c r="BS39" s="260" t="s">
        <v>191</v>
      </c>
      <c r="BT39" s="283">
        <f t="shared" si="5"/>
        <v>46318</v>
      </c>
      <c r="BU39" s="283"/>
      <c r="BV39" s="260" t="s">
        <v>77</v>
      </c>
      <c r="CJ39" s="260"/>
      <c r="CK39" s="260"/>
      <c r="CL39" s="260"/>
      <c r="CM39" s="260"/>
      <c r="CN39" s="260"/>
      <c r="CO39" s="260"/>
      <c r="CP39" s="261"/>
      <c r="CQ39" s="261"/>
      <c r="CR39" s="262"/>
      <c r="CS39" s="262"/>
      <c r="CT39" s="262"/>
      <c r="CU39" s="262"/>
      <c r="CV39" s="262"/>
      <c r="CW39" s="262"/>
      <c r="CX39" s="262"/>
      <c r="CY39" s="262"/>
      <c r="CZ39" s="262"/>
      <c r="DA39" s="262"/>
    </row>
    <row r="40" spans="1:105" ht="57.5">
      <c r="A40" s="248">
        <v>15</v>
      </c>
      <c r="B40" s="264" t="s">
        <v>56</v>
      </c>
      <c r="C40" s="265" t="s">
        <v>185</v>
      </c>
      <c r="D40" s="264" t="s">
        <v>163</v>
      </c>
      <c r="E40" s="244">
        <v>7502327992691</v>
      </c>
      <c r="F40" s="244" t="s">
        <v>204</v>
      </c>
      <c r="G40" s="244" t="s">
        <v>205</v>
      </c>
      <c r="H40" s="266" t="s">
        <v>60</v>
      </c>
      <c r="I40" s="272" t="s">
        <v>188</v>
      </c>
      <c r="J40" s="248" t="s">
        <v>62</v>
      </c>
      <c r="K40" s="249" t="s">
        <v>63</v>
      </c>
      <c r="L40" s="245">
        <v>1</v>
      </c>
      <c r="M40" s="250">
        <v>18.309999999999999</v>
      </c>
      <c r="N40" s="251" t="s">
        <v>64</v>
      </c>
      <c r="O40" s="273">
        <v>20000</v>
      </c>
      <c r="P40" s="252">
        <v>18.309999999999999</v>
      </c>
      <c r="Q40" s="252"/>
      <c r="R40" s="252"/>
      <c r="S40" s="252">
        <v>18.309999999999999</v>
      </c>
      <c r="T40" s="253" t="s">
        <v>189</v>
      </c>
      <c r="U40" s="254">
        <v>149</v>
      </c>
      <c r="V40" s="252">
        <f t="shared" si="2"/>
        <v>77.068965517241381</v>
      </c>
      <c r="W40" s="255">
        <f t="shared" si="3"/>
        <v>0.23757941834451898</v>
      </c>
      <c r="X40" s="256">
        <f t="shared" si="4"/>
        <v>0.76242058165548099</v>
      </c>
      <c r="Y40" s="257">
        <v>0.4</v>
      </c>
      <c r="Z40" s="248" t="s">
        <v>66</v>
      </c>
      <c r="AA40" s="251" t="s">
        <v>67</v>
      </c>
      <c r="AB40" s="245"/>
      <c r="AC40" s="245" t="s">
        <v>190</v>
      </c>
      <c r="AD40" s="268">
        <v>46318</v>
      </c>
      <c r="BA40" s="245">
        <v>1</v>
      </c>
      <c r="BB40" s="245">
        <v>1</v>
      </c>
      <c r="BC40" s="245">
        <v>1</v>
      </c>
      <c r="BD40" s="245">
        <v>1</v>
      </c>
      <c r="BE40" s="248">
        <v>1</v>
      </c>
      <c r="BF40" s="248"/>
      <c r="BG40" s="248"/>
      <c r="BH40" s="248"/>
      <c r="BI40" s="248"/>
      <c r="BJ40" s="244">
        <v>9</v>
      </c>
      <c r="BK40" s="244">
        <f t="shared" si="0"/>
        <v>5</v>
      </c>
      <c r="BL40" s="258">
        <f t="shared" si="1"/>
        <v>0.55555555555555558</v>
      </c>
      <c r="BM40" s="259"/>
      <c r="BN40" s="259"/>
      <c r="BO40" s="259"/>
      <c r="BP40" s="259"/>
      <c r="BQ40" s="259"/>
      <c r="BR40" s="259"/>
      <c r="BS40" s="260" t="s">
        <v>191</v>
      </c>
      <c r="BT40" s="283">
        <f t="shared" si="5"/>
        <v>46318</v>
      </c>
      <c r="BU40" s="283"/>
      <c r="BV40" s="260" t="s">
        <v>77</v>
      </c>
      <c r="CJ40" s="260"/>
      <c r="CK40" s="260"/>
      <c r="CL40" s="260"/>
      <c r="CM40" s="260"/>
      <c r="CN40" s="260"/>
      <c r="CO40" s="260"/>
      <c r="CP40" s="261"/>
      <c r="CQ40" s="261"/>
      <c r="CR40" s="262"/>
      <c r="CS40" s="262"/>
      <c r="CT40" s="262"/>
      <c r="CU40" s="262"/>
      <c r="CV40" s="262"/>
      <c r="CW40" s="262"/>
      <c r="CX40" s="262"/>
      <c r="CY40" s="262"/>
      <c r="CZ40" s="262"/>
      <c r="DA40" s="262"/>
    </row>
    <row r="41" spans="1:105" ht="57.5">
      <c r="A41" s="248">
        <v>16</v>
      </c>
      <c r="B41" s="264" t="s">
        <v>56</v>
      </c>
      <c r="C41" s="265" t="s">
        <v>185</v>
      </c>
      <c r="D41" s="264" t="s">
        <v>163</v>
      </c>
      <c r="E41" s="244">
        <v>7506110694854</v>
      </c>
      <c r="F41" s="244" t="s">
        <v>206</v>
      </c>
      <c r="G41" s="245" t="s">
        <v>207</v>
      </c>
      <c r="H41" s="266"/>
      <c r="I41" s="247" t="s">
        <v>61</v>
      </c>
      <c r="J41" s="248" t="s">
        <v>62</v>
      </c>
      <c r="K41" s="249" t="s">
        <v>63</v>
      </c>
      <c r="L41" s="245">
        <v>1</v>
      </c>
      <c r="M41" s="250">
        <v>27.46</v>
      </c>
      <c r="N41" s="251" t="s">
        <v>64</v>
      </c>
      <c r="O41" s="251">
        <v>10000</v>
      </c>
      <c r="P41" s="252"/>
      <c r="Q41" s="252"/>
      <c r="R41" s="252"/>
      <c r="S41" s="252">
        <v>27.46</v>
      </c>
      <c r="T41" s="253" t="s">
        <v>208</v>
      </c>
      <c r="U41" s="254">
        <v>195</v>
      </c>
      <c r="V41" s="252">
        <f t="shared" si="2"/>
        <v>100.86206896551725</v>
      </c>
      <c r="W41" s="255">
        <f t="shared" si="3"/>
        <v>0.27225299145299142</v>
      </c>
      <c r="X41" s="256">
        <f t="shared" si="4"/>
        <v>0.72774700854700858</v>
      </c>
      <c r="Y41" s="257">
        <v>0.4</v>
      </c>
      <c r="Z41" s="248" t="s">
        <v>66</v>
      </c>
      <c r="AA41" s="251" t="s">
        <v>67</v>
      </c>
      <c r="AB41" s="249"/>
      <c r="AC41" s="244" t="s">
        <v>209</v>
      </c>
      <c r="AD41" s="268">
        <v>46282</v>
      </c>
      <c r="BA41" s="244">
        <v>1</v>
      </c>
      <c r="BB41" s="244">
        <v>1</v>
      </c>
      <c r="BC41" s="244">
        <v>1</v>
      </c>
      <c r="BD41" s="244">
        <v>1</v>
      </c>
      <c r="BE41" s="244">
        <v>1</v>
      </c>
      <c r="BF41" s="244"/>
      <c r="BG41" s="244">
        <v>1</v>
      </c>
      <c r="BH41" s="244"/>
      <c r="BI41" s="244"/>
      <c r="BJ41" s="244">
        <v>9</v>
      </c>
      <c r="BK41" s="244">
        <f t="shared" si="0"/>
        <v>6</v>
      </c>
      <c r="BL41" s="258">
        <f t="shared" si="1"/>
        <v>0.66666666666666663</v>
      </c>
      <c r="BM41" s="259"/>
      <c r="BN41" s="259"/>
      <c r="BO41" s="259"/>
      <c r="BP41" s="259"/>
      <c r="BQ41" s="259"/>
      <c r="BR41" s="259"/>
      <c r="BS41" s="260" t="s">
        <v>210</v>
      </c>
      <c r="BT41" s="283">
        <f t="shared" si="5"/>
        <v>46282</v>
      </c>
      <c r="BU41" s="283"/>
      <c r="BV41" s="260" t="s">
        <v>211</v>
      </c>
      <c r="CJ41" s="260"/>
      <c r="CK41" s="260"/>
      <c r="CL41" s="260"/>
      <c r="CM41" s="260"/>
      <c r="CN41" s="260"/>
      <c r="CO41" s="260"/>
      <c r="CP41" s="261"/>
      <c r="CQ41" s="261"/>
      <c r="CR41" s="262"/>
      <c r="CS41" s="262"/>
      <c r="CT41" s="262"/>
      <c r="CU41" s="262"/>
      <c r="CV41" s="262"/>
      <c r="CW41" s="262"/>
      <c r="CX41" s="262"/>
      <c r="CY41" s="262"/>
      <c r="CZ41" s="262"/>
      <c r="DA41" s="262"/>
    </row>
    <row r="42" spans="1:105" ht="92">
      <c r="A42" s="248">
        <v>17</v>
      </c>
      <c r="B42" s="264" t="s">
        <v>56</v>
      </c>
      <c r="C42" s="265" t="s">
        <v>212</v>
      </c>
      <c r="D42" s="264" t="s">
        <v>163</v>
      </c>
      <c r="E42" s="244">
        <v>7502327992752</v>
      </c>
      <c r="F42" s="244" t="s">
        <v>213</v>
      </c>
      <c r="G42" s="245" t="s">
        <v>214</v>
      </c>
      <c r="H42" s="266" t="s">
        <v>60</v>
      </c>
      <c r="I42" s="247" t="s">
        <v>215</v>
      </c>
      <c r="J42" s="248" t="s">
        <v>62</v>
      </c>
      <c r="K42" s="249" t="s">
        <v>63</v>
      </c>
      <c r="L42" s="245">
        <v>1</v>
      </c>
      <c r="M42" s="250">
        <v>1.65</v>
      </c>
      <c r="N42" s="251" t="s">
        <v>74</v>
      </c>
      <c r="O42" s="251">
        <v>20000</v>
      </c>
      <c r="P42" s="252">
        <v>29.7</v>
      </c>
      <c r="Q42" s="252">
        <v>7.4249999999999998</v>
      </c>
      <c r="R42" s="252">
        <v>2.0010374999999998</v>
      </c>
      <c r="S42" s="252">
        <v>39.126037500000002</v>
      </c>
      <c r="T42" s="253" t="s">
        <v>216</v>
      </c>
      <c r="U42" s="254">
        <v>259</v>
      </c>
      <c r="V42" s="252">
        <f t="shared" si="2"/>
        <v>133.9655172413793</v>
      </c>
      <c r="W42" s="255">
        <f t="shared" si="3"/>
        <v>0.29206051158301161</v>
      </c>
      <c r="X42" s="256">
        <f t="shared" si="4"/>
        <v>0.70793948841698839</v>
      </c>
      <c r="Y42" s="257">
        <v>0.4</v>
      </c>
      <c r="Z42" s="248" t="s">
        <v>66</v>
      </c>
      <c r="AA42" s="251" t="s">
        <v>67</v>
      </c>
      <c r="AB42" s="249"/>
      <c r="AC42" s="244" t="s">
        <v>217</v>
      </c>
      <c r="AD42" s="268">
        <v>46341</v>
      </c>
      <c r="BA42" s="244">
        <v>1</v>
      </c>
      <c r="BB42" s="244">
        <v>1</v>
      </c>
      <c r="BC42" s="244">
        <v>1</v>
      </c>
      <c r="BD42" s="244">
        <v>1</v>
      </c>
      <c r="BE42" s="244">
        <v>1</v>
      </c>
      <c r="BF42" s="244"/>
      <c r="BG42" s="244"/>
      <c r="BH42" s="244"/>
      <c r="BI42" s="244"/>
      <c r="BJ42" s="244">
        <v>9</v>
      </c>
      <c r="BK42" s="244">
        <f t="shared" si="0"/>
        <v>5</v>
      </c>
      <c r="BL42" s="258">
        <f t="shared" si="1"/>
        <v>0.55555555555555558</v>
      </c>
      <c r="BM42" s="259"/>
      <c r="BN42" s="259"/>
      <c r="BO42" s="259"/>
      <c r="BP42" s="259"/>
      <c r="BQ42" s="259"/>
      <c r="BR42" s="259"/>
      <c r="BS42" s="260" t="s">
        <v>217</v>
      </c>
      <c r="BT42" s="283">
        <f t="shared" si="5"/>
        <v>46341</v>
      </c>
      <c r="BU42" s="283"/>
      <c r="BV42" s="260" t="s">
        <v>211</v>
      </c>
      <c r="CJ42" s="260"/>
      <c r="CK42" s="260"/>
      <c r="CL42" s="260"/>
      <c r="CM42" s="260"/>
      <c r="CN42" s="260"/>
      <c r="CO42" s="260"/>
      <c r="CP42" s="261"/>
      <c r="CQ42" s="261"/>
      <c r="CR42" s="262"/>
      <c r="CS42" s="262"/>
      <c r="CT42" s="262"/>
      <c r="CU42" s="262"/>
      <c r="CV42" s="262"/>
      <c r="CW42" s="262"/>
      <c r="CX42" s="262"/>
      <c r="CY42" s="262"/>
      <c r="CZ42" s="262"/>
      <c r="DA42" s="262"/>
    </row>
    <row r="43" spans="1:105" ht="46">
      <c r="A43" s="248">
        <v>18</v>
      </c>
      <c r="B43" s="264" t="s">
        <v>56</v>
      </c>
      <c r="C43" s="265" t="s">
        <v>218</v>
      </c>
      <c r="D43" s="264" t="s">
        <v>163</v>
      </c>
      <c r="E43" s="269">
        <v>7502327992707</v>
      </c>
      <c r="F43" s="244" t="s">
        <v>219</v>
      </c>
      <c r="G43" s="245" t="s">
        <v>220</v>
      </c>
      <c r="H43" s="266" t="s">
        <v>60</v>
      </c>
      <c r="I43" s="247" t="s">
        <v>221</v>
      </c>
      <c r="J43" s="248" t="s">
        <v>62</v>
      </c>
      <c r="K43" s="249" t="s">
        <v>63</v>
      </c>
      <c r="L43" s="245">
        <v>1</v>
      </c>
      <c r="M43" s="274"/>
      <c r="N43" s="251" t="s">
        <v>74</v>
      </c>
      <c r="O43" s="251">
        <v>20000</v>
      </c>
      <c r="P43" s="252">
        <v>0</v>
      </c>
      <c r="Q43" s="252"/>
      <c r="R43" s="252"/>
      <c r="S43" s="252">
        <v>48.27</v>
      </c>
      <c r="T43" s="252">
        <v>295</v>
      </c>
      <c r="U43" s="254">
        <v>299</v>
      </c>
      <c r="V43" s="252">
        <f t="shared" si="2"/>
        <v>154.65517241379311</v>
      </c>
      <c r="W43" s="255">
        <f t="shared" si="3"/>
        <v>0.31211371237458196</v>
      </c>
      <c r="X43" s="256">
        <f t="shared" si="4"/>
        <v>0.68788628762541804</v>
      </c>
      <c r="Y43" s="257">
        <v>0.4</v>
      </c>
      <c r="Z43" s="248" t="s">
        <v>66</v>
      </c>
      <c r="AA43" s="251" t="s">
        <v>67</v>
      </c>
      <c r="AB43" s="249"/>
      <c r="AC43" s="245" t="s">
        <v>222</v>
      </c>
      <c r="AD43" s="275">
        <v>46320</v>
      </c>
      <c r="BA43" s="248">
        <v>1</v>
      </c>
      <c r="BB43" s="248">
        <v>1</v>
      </c>
      <c r="BC43" s="248">
        <v>1</v>
      </c>
      <c r="BD43" s="248">
        <v>1</v>
      </c>
      <c r="BE43" s="248">
        <v>1</v>
      </c>
      <c r="BF43" s="248"/>
      <c r="BG43" s="248"/>
      <c r="BH43" s="248"/>
      <c r="BI43" s="248"/>
      <c r="BJ43" s="244">
        <v>9</v>
      </c>
      <c r="BK43" s="244">
        <f t="shared" si="0"/>
        <v>5</v>
      </c>
      <c r="BL43" s="258">
        <f t="shared" si="1"/>
        <v>0.55555555555555558</v>
      </c>
      <c r="BM43" s="259"/>
      <c r="BN43" s="259"/>
      <c r="BO43" s="259"/>
      <c r="BP43" s="259"/>
      <c r="BQ43" s="259"/>
      <c r="BR43" s="259"/>
      <c r="BS43" s="260" t="s">
        <v>223</v>
      </c>
      <c r="BT43" s="283">
        <f t="shared" si="5"/>
        <v>46320</v>
      </c>
      <c r="BU43" s="283"/>
      <c r="BV43" s="260" t="s">
        <v>211</v>
      </c>
      <c r="CJ43" s="260"/>
      <c r="CK43" s="260"/>
      <c r="CL43" s="260"/>
      <c r="CM43" s="260"/>
      <c r="CN43" s="260"/>
      <c r="CO43" s="260"/>
      <c r="CP43" s="261"/>
      <c r="CQ43" s="261"/>
      <c r="CR43" s="262"/>
      <c r="CS43" s="262"/>
      <c r="CT43" s="262"/>
      <c r="CU43" s="262"/>
      <c r="CV43" s="262"/>
      <c r="CW43" s="262"/>
      <c r="CX43" s="262"/>
      <c r="CY43" s="262"/>
      <c r="CZ43" s="262"/>
      <c r="DA43" s="262"/>
    </row>
    <row r="44" spans="1:105" ht="46">
      <c r="A44" s="248">
        <v>19</v>
      </c>
      <c r="B44" s="264" t="s">
        <v>56</v>
      </c>
      <c r="C44" s="265" t="s">
        <v>218</v>
      </c>
      <c r="D44" s="264" t="s">
        <v>163</v>
      </c>
      <c r="E44" s="269">
        <v>7502327992714</v>
      </c>
      <c r="F44" s="244" t="s">
        <v>224</v>
      </c>
      <c r="G44" s="245" t="s">
        <v>220</v>
      </c>
      <c r="H44" s="266" t="s">
        <v>60</v>
      </c>
      <c r="I44" s="247" t="s">
        <v>221</v>
      </c>
      <c r="J44" s="248" t="s">
        <v>62</v>
      </c>
      <c r="K44" s="249" t="s">
        <v>63</v>
      </c>
      <c r="L44" s="245">
        <v>1</v>
      </c>
      <c r="M44" s="274"/>
      <c r="N44" s="251" t="s">
        <v>74</v>
      </c>
      <c r="O44" s="251">
        <v>20000</v>
      </c>
      <c r="P44" s="252">
        <v>0</v>
      </c>
      <c r="Q44" s="252"/>
      <c r="R44" s="252"/>
      <c r="S44" s="252">
        <v>48.27</v>
      </c>
      <c r="T44" s="252">
        <v>295</v>
      </c>
      <c r="U44" s="254">
        <v>299</v>
      </c>
      <c r="V44" s="252">
        <f t="shared" si="2"/>
        <v>154.65517241379311</v>
      </c>
      <c r="W44" s="255">
        <f t="shared" si="3"/>
        <v>0.31211371237458196</v>
      </c>
      <c r="X44" s="256">
        <f t="shared" si="4"/>
        <v>0.68788628762541804</v>
      </c>
      <c r="Y44" s="257">
        <v>0.4</v>
      </c>
      <c r="Z44" s="248" t="s">
        <v>66</v>
      </c>
      <c r="AA44" s="251" t="s">
        <v>67</v>
      </c>
      <c r="AB44" s="249"/>
      <c r="AC44" s="245" t="s">
        <v>222</v>
      </c>
      <c r="AD44" s="275">
        <v>46320</v>
      </c>
      <c r="BA44" s="248">
        <v>1</v>
      </c>
      <c r="BB44" s="248">
        <v>1</v>
      </c>
      <c r="BC44" s="248">
        <v>1</v>
      </c>
      <c r="BD44" s="248">
        <v>1</v>
      </c>
      <c r="BE44" s="248">
        <v>1</v>
      </c>
      <c r="BF44" s="248"/>
      <c r="BG44" s="248"/>
      <c r="BH44" s="248"/>
      <c r="BI44" s="248"/>
      <c r="BJ44" s="244">
        <v>9</v>
      </c>
      <c r="BK44" s="244">
        <f t="shared" si="0"/>
        <v>5</v>
      </c>
      <c r="BL44" s="258">
        <f t="shared" si="1"/>
        <v>0.55555555555555558</v>
      </c>
      <c r="BM44" s="259"/>
      <c r="BN44" s="259"/>
      <c r="BO44" s="259"/>
      <c r="BP44" s="259"/>
      <c r="BQ44" s="259"/>
      <c r="BR44" s="259"/>
      <c r="BS44" s="260" t="s">
        <v>223</v>
      </c>
      <c r="BT44" s="283">
        <f t="shared" si="5"/>
        <v>46320</v>
      </c>
      <c r="BU44" s="283"/>
      <c r="BV44" s="260" t="s">
        <v>225</v>
      </c>
      <c r="CJ44" s="260"/>
      <c r="CK44" s="260"/>
      <c r="CL44" s="260"/>
      <c r="CM44" s="260"/>
      <c r="CN44" s="260"/>
      <c r="CO44" s="260"/>
      <c r="CP44" s="261"/>
      <c r="CQ44" s="261"/>
      <c r="CR44" s="262"/>
      <c r="CS44" s="262"/>
      <c r="CT44" s="262"/>
      <c r="CU44" s="262"/>
      <c r="CV44" s="262"/>
      <c r="CW44" s="262"/>
      <c r="CX44" s="262"/>
      <c r="CY44" s="262"/>
      <c r="CZ44" s="262"/>
      <c r="DA44" s="262"/>
    </row>
    <row r="45" spans="1:105" ht="57.5">
      <c r="A45" s="248">
        <v>20</v>
      </c>
      <c r="B45" s="264" t="s">
        <v>56</v>
      </c>
      <c r="C45" s="249" t="s">
        <v>226</v>
      </c>
      <c r="D45" s="264" t="s">
        <v>163</v>
      </c>
      <c r="E45" s="269">
        <v>7506110694786</v>
      </c>
      <c r="F45" s="269" t="s">
        <v>227</v>
      </c>
      <c r="G45" s="245" t="s">
        <v>228</v>
      </c>
      <c r="H45" s="266" t="s">
        <v>60</v>
      </c>
      <c r="I45" s="247" t="s">
        <v>229</v>
      </c>
      <c r="J45" s="248" t="s">
        <v>62</v>
      </c>
      <c r="K45" s="249" t="s">
        <v>63</v>
      </c>
      <c r="L45" s="245">
        <v>1</v>
      </c>
      <c r="M45" s="250">
        <v>0.98</v>
      </c>
      <c r="N45" s="251" t="s">
        <v>74</v>
      </c>
      <c r="O45" s="251">
        <v>20000</v>
      </c>
      <c r="P45" s="252">
        <v>17.64</v>
      </c>
      <c r="Q45" s="252">
        <v>6.3503999999999996</v>
      </c>
      <c r="R45" s="252">
        <v>1.4034384</v>
      </c>
      <c r="S45" s="276">
        <v>25.3938384</v>
      </c>
      <c r="T45" s="253" t="s">
        <v>230</v>
      </c>
      <c r="U45" s="254">
        <v>179</v>
      </c>
      <c r="V45" s="252">
        <f t="shared" si="2"/>
        <v>92.58620689655173</v>
      </c>
      <c r="W45" s="255">
        <f t="shared" si="3"/>
        <v>0.27427237005586591</v>
      </c>
      <c r="X45" s="256">
        <f t="shared" si="4"/>
        <v>0.72572762994413409</v>
      </c>
      <c r="Y45" s="257">
        <v>0.4</v>
      </c>
      <c r="Z45" s="248" t="s">
        <v>66</v>
      </c>
      <c r="AA45" s="251" t="s">
        <v>67</v>
      </c>
      <c r="AB45" s="249"/>
      <c r="AC45" s="244" t="s">
        <v>231</v>
      </c>
      <c r="AD45" s="275">
        <v>46373</v>
      </c>
      <c r="BA45" s="248">
        <v>1</v>
      </c>
      <c r="BB45" s="244"/>
      <c r="BC45" s="244"/>
      <c r="BD45" s="244"/>
      <c r="BE45" s="244"/>
      <c r="BF45" s="244"/>
      <c r="BG45" s="244"/>
      <c r="BH45" s="244"/>
      <c r="BI45" s="244"/>
      <c r="BJ45" s="244">
        <v>9</v>
      </c>
      <c r="BK45" s="244">
        <f t="shared" si="0"/>
        <v>1</v>
      </c>
      <c r="BL45" s="258">
        <f t="shared" si="1"/>
        <v>0.1111111111111111</v>
      </c>
      <c r="BM45" s="259"/>
      <c r="BN45" s="259"/>
      <c r="BO45" s="259"/>
      <c r="BP45" s="259"/>
      <c r="BQ45" s="259"/>
      <c r="BR45" s="259"/>
      <c r="BS45" s="260" t="s">
        <v>231</v>
      </c>
      <c r="BT45" s="283">
        <f t="shared" si="5"/>
        <v>46373</v>
      </c>
      <c r="BU45" s="283"/>
      <c r="BV45" s="260" t="s">
        <v>70</v>
      </c>
      <c r="CJ45" s="260"/>
      <c r="CK45" s="260"/>
      <c r="CL45" s="260"/>
      <c r="CM45" s="260"/>
      <c r="CN45" s="260"/>
      <c r="CO45" s="260"/>
      <c r="CP45" s="261"/>
      <c r="CQ45" s="261"/>
      <c r="CR45" s="262"/>
      <c r="CS45" s="262"/>
      <c r="CT45" s="262"/>
      <c r="CU45" s="262"/>
      <c r="CV45" s="262"/>
      <c r="CW45" s="262"/>
      <c r="CX45" s="262"/>
      <c r="CY45" s="262"/>
      <c r="CZ45" s="262"/>
      <c r="DA45" s="262"/>
    </row>
    <row r="46" spans="1:105" ht="57.5">
      <c r="A46" s="248">
        <v>21</v>
      </c>
      <c r="B46" s="264" t="s">
        <v>56</v>
      </c>
      <c r="C46" s="249" t="s">
        <v>226</v>
      </c>
      <c r="D46" s="264" t="s">
        <v>163</v>
      </c>
      <c r="E46" s="269">
        <v>7506110694793</v>
      </c>
      <c r="F46" s="269" t="s">
        <v>232</v>
      </c>
      <c r="G46" s="245" t="s">
        <v>228</v>
      </c>
      <c r="H46" s="266" t="s">
        <v>60</v>
      </c>
      <c r="I46" s="247" t="s">
        <v>229</v>
      </c>
      <c r="J46" s="248" t="s">
        <v>62</v>
      </c>
      <c r="K46" s="249" t="s">
        <v>63</v>
      </c>
      <c r="L46" s="245">
        <v>1</v>
      </c>
      <c r="M46" s="250">
        <v>0.98</v>
      </c>
      <c r="N46" s="251" t="s">
        <v>74</v>
      </c>
      <c r="O46" s="251">
        <v>20000</v>
      </c>
      <c r="P46" s="252">
        <v>17.64</v>
      </c>
      <c r="Q46" s="252">
        <v>6.3503999999999996</v>
      </c>
      <c r="R46" s="252">
        <v>1.4034384</v>
      </c>
      <c r="S46" s="276">
        <v>25.3938384</v>
      </c>
      <c r="T46" s="253" t="s">
        <v>230</v>
      </c>
      <c r="U46" s="254">
        <v>179</v>
      </c>
      <c r="V46" s="252">
        <f t="shared" si="2"/>
        <v>92.58620689655173</v>
      </c>
      <c r="W46" s="255">
        <f t="shared" si="3"/>
        <v>0.27427237005586591</v>
      </c>
      <c r="X46" s="256">
        <f t="shared" si="4"/>
        <v>0.72572762994413409</v>
      </c>
      <c r="Y46" s="257">
        <v>0.4</v>
      </c>
      <c r="Z46" s="248" t="s">
        <v>66</v>
      </c>
      <c r="AA46" s="251" t="s">
        <v>67</v>
      </c>
      <c r="AB46" s="249"/>
      <c r="AC46" s="244" t="s">
        <v>231</v>
      </c>
      <c r="AD46" s="275">
        <v>46373</v>
      </c>
      <c r="BA46" s="248">
        <v>1</v>
      </c>
      <c r="BB46" s="244"/>
      <c r="BC46" s="244"/>
      <c r="BD46" s="244"/>
      <c r="BE46" s="244"/>
      <c r="BF46" s="244"/>
      <c r="BG46" s="244"/>
      <c r="BH46" s="244"/>
      <c r="BI46" s="244"/>
      <c r="BJ46" s="244">
        <v>9</v>
      </c>
      <c r="BK46" s="244">
        <f t="shared" si="0"/>
        <v>1</v>
      </c>
      <c r="BL46" s="258">
        <f t="shared" si="1"/>
        <v>0.1111111111111111</v>
      </c>
      <c r="BM46" s="259"/>
      <c r="BN46" s="259"/>
      <c r="BO46" s="259"/>
      <c r="BP46" s="259"/>
      <c r="BQ46" s="259"/>
      <c r="BR46" s="259"/>
      <c r="BS46" s="260" t="s">
        <v>231</v>
      </c>
      <c r="BT46" s="283">
        <f t="shared" si="5"/>
        <v>46373</v>
      </c>
      <c r="BU46" s="283"/>
      <c r="BV46" s="260" t="s">
        <v>70</v>
      </c>
      <c r="CJ46" s="260"/>
      <c r="CK46" s="260"/>
      <c r="CL46" s="260"/>
      <c r="CM46" s="260"/>
      <c r="CN46" s="260"/>
      <c r="CO46" s="260"/>
      <c r="CP46" s="261"/>
      <c r="CQ46" s="261"/>
      <c r="CR46" s="262"/>
      <c r="CS46" s="262"/>
      <c r="CT46" s="262"/>
      <c r="CU46" s="262"/>
      <c r="CV46" s="262"/>
      <c r="CW46" s="262"/>
      <c r="CX46" s="262"/>
      <c r="CY46" s="262"/>
      <c r="CZ46" s="262"/>
      <c r="DA46" s="262"/>
    </row>
    <row r="47" spans="1:105" ht="57.5">
      <c r="A47" s="248">
        <v>22</v>
      </c>
      <c r="B47" s="264" t="s">
        <v>56</v>
      </c>
      <c r="C47" s="249" t="s">
        <v>226</v>
      </c>
      <c r="D47" s="264" t="s">
        <v>163</v>
      </c>
      <c r="E47" s="269">
        <v>7506110694809</v>
      </c>
      <c r="F47" s="269" t="s">
        <v>233</v>
      </c>
      <c r="G47" s="245" t="s">
        <v>228</v>
      </c>
      <c r="H47" s="266" t="s">
        <v>60</v>
      </c>
      <c r="I47" s="247" t="s">
        <v>229</v>
      </c>
      <c r="J47" s="248" t="s">
        <v>62</v>
      </c>
      <c r="K47" s="249" t="s">
        <v>63</v>
      </c>
      <c r="L47" s="245">
        <v>1</v>
      </c>
      <c r="M47" s="250">
        <v>0.98</v>
      </c>
      <c r="N47" s="251" t="s">
        <v>74</v>
      </c>
      <c r="O47" s="251">
        <v>20000</v>
      </c>
      <c r="P47" s="252">
        <v>17.64</v>
      </c>
      <c r="Q47" s="252">
        <v>6.3503999999999996</v>
      </c>
      <c r="R47" s="252">
        <v>1.4034384</v>
      </c>
      <c r="S47" s="276">
        <v>25.3938384</v>
      </c>
      <c r="T47" s="253" t="s">
        <v>230</v>
      </c>
      <c r="U47" s="254">
        <v>179</v>
      </c>
      <c r="V47" s="252">
        <f t="shared" si="2"/>
        <v>92.58620689655173</v>
      </c>
      <c r="W47" s="255">
        <f t="shared" si="3"/>
        <v>0.27427237005586591</v>
      </c>
      <c r="X47" s="256">
        <f t="shared" si="4"/>
        <v>0.72572762994413409</v>
      </c>
      <c r="Y47" s="257">
        <v>0.4</v>
      </c>
      <c r="Z47" s="248" t="s">
        <v>66</v>
      </c>
      <c r="AA47" s="251" t="s">
        <v>67</v>
      </c>
      <c r="AB47" s="249"/>
      <c r="AC47" s="244" t="s">
        <v>231</v>
      </c>
      <c r="AD47" s="275">
        <v>46373</v>
      </c>
      <c r="BA47" s="248">
        <v>1</v>
      </c>
      <c r="BB47" s="244"/>
      <c r="BC47" s="244"/>
      <c r="BD47" s="244"/>
      <c r="BE47" s="244"/>
      <c r="BF47" s="244"/>
      <c r="BG47" s="244"/>
      <c r="BH47" s="244"/>
      <c r="BI47" s="244"/>
      <c r="BJ47" s="244">
        <v>9</v>
      </c>
      <c r="BK47" s="244">
        <f t="shared" si="0"/>
        <v>1</v>
      </c>
      <c r="BL47" s="258">
        <f t="shared" si="1"/>
        <v>0.1111111111111111</v>
      </c>
      <c r="BM47" s="259"/>
      <c r="BN47" s="259"/>
      <c r="BO47" s="259"/>
      <c r="BP47" s="259"/>
      <c r="BQ47" s="259"/>
      <c r="BR47" s="259"/>
      <c r="BS47" s="260" t="s">
        <v>231</v>
      </c>
      <c r="BT47" s="283">
        <f t="shared" si="5"/>
        <v>46373</v>
      </c>
      <c r="BU47" s="283"/>
      <c r="BV47" s="260" t="s">
        <v>70</v>
      </c>
      <c r="CJ47" s="260"/>
      <c r="CK47" s="260"/>
      <c r="CL47" s="260"/>
      <c r="CM47" s="260"/>
      <c r="CN47" s="260"/>
      <c r="CO47" s="260"/>
      <c r="CP47" s="261"/>
      <c r="CQ47" s="261"/>
      <c r="CR47" s="262"/>
      <c r="CS47" s="262"/>
      <c r="CT47" s="262"/>
      <c r="CU47" s="262"/>
      <c r="CV47" s="262"/>
      <c r="CW47" s="262"/>
      <c r="CX47" s="262"/>
      <c r="CY47" s="262"/>
      <c r="CZ47" s="262"/>
      <c r="DA47" s="262"/>
    </row>
    <row r="48" spans="1:105" ht="57.5">
      <c r="A48" s="248">
        <v>23</v>
      </c>
      <c r="B48" s="264" t="s">
        <v>56</v>
      </c>
      <c r="C48" s="249" t="s">
        <v>226</v>
      </c>
      <c r="D48" s="264" t="s">
        <v>163</v>
      </c>
      <c r="E48" s="269">
        <v>7506110694816</v>
      </c>
      <c r="F48" s="269" t="s">
        <v>234</v>
      </c>
      <c r="G48" s="245" t="s">
        <v>228</v>
      </c>
      <c r="H48" s="266" t="s">
        <v>60</v>
      </c>
      <c r="I48" s="247" t="s">
        <v>229</v>
      </c>
      <c r="J48" s="248" t="s">
        <v>62</v>
      </c>
      <c r="K48" s="249" t="s">
        <v>63</v>
      </c>
      <c r="L48" s="245">
        <v>1</v>
      </c>
      <c r="M48" s="250">
        <v>0.98</v>
      </c>
      <c r="N48" s="251" t="s">
        <v>74</v>
      </c>
      <c r="O48" s="251">
        <v>20000</v>
      </c>
      <c r="P48" s="252">
        <v>17.64</v>
      </c>
      <c r="Q48" s="252">
        <v>6.3503999999999996</v>
      </c>
      <c r="R48" s="252">
        <v>1.4034384</v>
      </c>
      <c r="S48" s="276">
        <v>25.3938384</v>
      </c>
      <c r="T48" s="253" t="s">
        <v>230</v>
      </c>
      <c r="U48" s="254">
        <v>179</v>
      </c>
      <c r="V48" s="252">
        <f t="shared" si="2"/>
        <v>92.58620689655173</v>
      </c>
      <c r="W48" s="255">
        <f t="shared" si="3"/>
        <v>0.27427237005586591</v>
      </c>
      <c r="X48" s="256">
        <f t="shared" si="4"/>
        <v>0.72572762994413409</v>
      </c>
      <c r="Y48" s="257">
        <v>0.4</v>
      </c>
      <c r="Z48" s="248" t="s">
        <v>66</v>
      </c>
      <c r="AA48" s="251" t="s">
        <v>67</v>
      </c>
      <c r="AB48" s="249"/>
      <c r="AC48" s="244" t="s">
        <v>231</v>
      </c>
      <c r="AD48" s="275">
        <v>46373</v>
      </c>
      <c r="BA48" s="248">
        <v>1</v>
      </c>
      <c r="BB48" s="244"/>
      <c r="BC48" s="244"/>
      <c r="BD48" s="244"/>
      <c r="BE48" s="244"/>
      <c r="BF48" s="244"/>
      <c r="BG48" s="244"/>
      <c r="BH48" s="244"/>
      <c r="BI48" s="244"/>
      <c r="BJ48" s="244">
        <v>9</v>
      </c>
      <c r="BK48" s="244">
        <f t="shared" si="0"/>
        <v>1</v>
      </c>
      <c r="BL48" s="258">
        <f t="shared" si="1"/>
        <v>0.1111111111111111</v>
      </c>
      <c r="BM48" s="259"/>
      <c r="BN48" s="259"/>
      <c r="BO48" s="259"/>
      <c r="BP48" s="259"/>
      <c r="BQ48" s="259"/>
      <c r="BR48" s="259"/>
      <c r="BS48" s="260" t="s">
        <v>231</v>
      </c>
      <c r="BT48" s="283">
        <f t="shared" si="5"/>
        <v>46373</v>
      </c>
      <c r="BU48" s="283"/>
      <c r="BV48" s="260" t="s">
        <v>70</v>
      </c>
      <c r="CJ48" s="260"/>
      <c r="CK48" s="260"/>
      <c r="CL48" s="260"/>
      <c r="CM48" s="260"/>
      <c r="CN48" s="260"/>
      <c r="CO48" s="260"/>
      <c r="CP48" s="261"/>
      <c r="CQ48" s="261"/>
      <c r="CR48" s="262"/>
      <c r="CS48" s="262"/>
      <c r="CT48" s="262"/>
      <c r="CU48" s="262"/>
      <c r="CV48" s="262"/>
      <c r="CW48" s="262"/>
      <c r="CX48" s="262"/>
      <c r="CY48" s="262"/>
      <c r="CZ48" s="262"/>
      <c r="DA48" s="262"/>
    </row>
    <row r="49" spans="1:105" ht="57.5">
      <c r="A49" s="248">
        <v>24</v>
      </c>
      <c r="B49" s="264" t="s">
        <v>56</v>
      </c>
      <c r="C49" s="249" t="s">
        <v>226</v>
      </c>
      <c r="D49" s="264" t="s">
        <v>163</v>
      </c>
      <c r="E49" s="269">
        <v>7506110694823</v>
      </c>
      <c r="F49" s="269" t="s">
        <v>235</v>
      </c>
      <c r="G49" s="245" t="s">
        <v>228</v>
      </c>
      <c r="H49" s="266" t="s">
        <v>60</v>
      </c>
      <c r="I49" s="247" t="s">
        <v>229</v>
      </c>
      <c r="J49" s="248" t="s">
        <v>62</v>
      </c>
      <c r="K49" s="249" t="s">
        <v>63</v>
      </c>
      <c r="L49" s="245">
        <v>1</v>
      </c>
      <c r="M49" s="250">
        <v>0.98</v>
      </c>
      <c r="N49" s="251" t="s">
        <v>74</v>
      </c>
      <c r="O49" s="251">
        <v>20000</v>
      </c>
      <c r="P49" s="252">
        <v>17.64</v>
      </c>
      <c r="Q49" s="252">
        <v>6.3503999999999996</v>
      </c>
      <c r="R49" s="252">
        <v>1.4034384</v>
      </c>
      <c r="S49" s="276">
        <v>25.3938384</v>
      </c>
      <c r="T49" s="253" t="s">
        <v>230</v>
      </c>
      <c r="U49" s="254">
        <v>179</v>
      </c>
      <c r="V49" s="252">
        <f t="shared" si="2"/>
        <v>92.58620689655173</v>
      </c>
      <c r="W49" s="255">
        <f t="shared" si="3"/>
        <v>0.27427237005586591</v>
      </c>
      <c r="X49" s="256">
        <f t="shared" si="4"/>
        <v>0.72572762994413409</v>
      </c>
      <c r="Y49" s="257">
        <v>0.4</v>
      </c>
      <c r="Z49" s="248" t="s">
        <v>66</v>
      </c>
      <c r="AA49" s="251" t="s">
        <v>67</v>
      </c>
      <c r="AB49" s="249"/>
      <c r="AC49" s="244" t="s">
        <v>231</v>
      </c>
      <c r="AD49" s="275">
        <v>46373</v>
      </c>
      <c r="BA49" s="248">
        <v>1</v>
      </c>
      <c r="BB49" s="244"/>
      <c r="BC49" s="244"/>
      <c r="BD49" s="244"/>
      <c r="BE49" s="244"/>
      <c r="BF49" s="244"/>
      <c r="BG49" s="244"/>
      <c r="BH49" s="244"/>
      <c r="BI49" s="244"/>
      <c r="BJ49" s="244">
        <v>9</v>
      </c>
      <c r="BK49" s="244">
        <f t="shared" si="0"/>
        <v>1</v>
      </c>
      <c r="BL49" s="258">
        <f t="shared" si="1"/>
        <v>0.1111111111111111</v>
      </c>
      <c r="BM49" s="259"/>
      <c r="BN49" s="259"/>
      <c r="BO49" s="259"/>
      <c r="BP49" s="259"/>
      <c r="BQ49" s="259"/>
      <c r="BR49" s="259"/>
      <c r="BS49" s="260" t="s">
        <v>231</v>
      </c>
      <c r="BT49" s="283">
        <f t="shared" si="5"/>
        <v>46373</v>
      </c>
      <c r="BU49" s="283"/>
      <c r="BV49" s="260" t="s">
        <v>70</v>
      </c>
      <c r="CJ49" s="260"/>
      <c r="CK49" s="260"/>
      <c r="CL49" s="260"/>
      <c r="CM49" s="260"/>
      <c r="CN49" s="260"/>
      <c r="CO49" s="260"/>
      <c r="CP49" s="261"/>
      <c r="CQ49" s="261"/>
      <c r="CR49" s="262"/>
      <c r="CS49" s="262"/>
      <c r="CT49" s="262"/>
      <c r="CU49" s="262"/>
      <c r="CV49" s="262"/>
      <c r="CW49" s="262"/>
      <c r="CX49" s="262"/>
      <c r="CY49" s="262"/>
      <c r="CZ49" s="262"/>
      <c r="DA49" s="262"/>
    </row>
    <row r="50" spans="1:105" ht="34.5">
      <c r="A50" s="248">
        <v>25</v>
      </c>
      <c r="B50" s="264" t="s">
        <v>56</v>
      </c>
      <c r="C50" s="249" t="s">
        <v>226</v>
      </c>
      <c r="D50" s="264" t="s">
        <v>163</v>
      </c>
      <c r="E50" s="269">
        <v>7506110694830</v>
      </c>
      <c r="F50" s="244" t="s">
        <v>236</v>
      </c>
      <c r="G50" s="245" t="s">
        <v>237</v>
      </c>
      <c r="H50" s="266" t="s">
        <v>60</v>
      </c>
      <c r="I50" s="247"/>
      <c r="J50" s="248" t="s">
        <v>62</v>
      </c>
      <c r="K50" s="249" t="s">
        <v>63</v>
      </c>
      <c r="L50" s="245">
        <v>1</v>
      </c>
      <c r="M50" s="250"/>
      <c r="N50" s="251" t="s">
        <v>74</v>
      </c>
      <c r="O50" s="251">
        <v>10000</v>
      </c>
      <c r="P50" s="252">
        <v>0</v>
      </c>
      <c r="Q50" s="252">
        <v>0</v>
      </c>
      <c r="R50" s="252">
        <v>0</v>
      </c>
      <c r="S50" s="276">
        <v>25.39</v>
      </c>
      <c r="T50" s="253" t="s">
        <v>238</v>
      </c>
      <c r="U50" s="254">
        <v>179</v>
      </c>
      <c r="V50" s="252">
        <f t="shared" si="2"/>
        <v>92.58620689655173</v>
      </c>
      <c r="W50" s="255">
        <f t="shared" si="3"/>
        <v>0.27423091247672254</v>
      </c>
      <c r="X50" s="256">
        <f t="shared" si="4"/>
        <v>0.7257690875232774</v>
      </c>
      <c r="Y50" s="257">
        <v>0.4</v>
      </c>
      <c r="Z50" s="248" t="s">
        <v>66</v>
      </c>
      <c r="AA50" s="251" t="s">
        <v>67</v>
      </c>
      <c r="AB50" s="249"/>
      <c r="AC50" s="244" t="s">
        <v>231</v>
      </c>
      <c r="AD50" s="275">
        <v>46327</v>
      </c>
      <c r="BA50" s="248">
        <v>1</v>
      </c>
      <c r="BB50" s="265"/>
      <c r="BC50" s="265"/>
      <c r="BD50" s="265"/>
      <c r="BE50" s="265"/>
      <c r="BF50" s="265"/>
      <c r="BG50" s="265"/>
      <c r="BH50" s="265"/>
      <c r="BI50" s="265"/>
      <c r="BJ50" s="244">
        <v>9</v>
      </c>
      <c r="BK50" s="244">
        <f t="shared" si="0"/>
        <v>1</v>
      </c>
      <c r="BL50" s="258">
        <f t="shared" si="1"/>
        <v>0.1111111111111111</v>
      </c>
      <c r="BM50" s="259"/>
      <c r="BN50" s="259"/>
      <c r="BO50" s="259"/>
      <c r="BP50" s="259"/>
      <c r="BQ50" s="259"/>
      <c r="BR50" s="259"/>
      <c r="BS50" s="260" t="s">
        <v>231</v>
      </c>
      <c r="BT50" s="283">
        <f t="shared" si="5"/>
        <v>46327</v>
      </c>
      <c r="BU50" s="283"/>
      <c r="BV50" s="260" t="s">
        <v>77</v>
      </c>
      <c r="CJ50" s="260"/>
      <c r="CK50" s="260"/>
      <c r="CL50" s="260"/>
      <c r="CM50" s="260"/>
      <c r="CN50" s="260"/>
      <c r="CO50" s="260"/>
      <c r="CP50" s="261"/>
      <c r="CQ50" s="261"/>
      <c r="CR50" s="262"/>
      <c r="CS50" s="262"/>
      <c r="CT50" s="262"/>
      <c r="CU50" s="262"/>
      <c r="CV50" s="262"/>
      <c r="CW50" s="262"/>
      <c r="CX50" s="262"/>
      <c r="CY50" s="262"/>
      <c r="CZ50" s="262"/>
      <c r="DA50" s="262"/>
    </row>
    <row r="51" spans="1:105" ht="34.5">
      <c r="A51" s="248">
        <v>26</v>
      </c>
      <c r="B51" s="264" t="s">
        <v>56</v>
      </c>
      <c r="C51" s="249" t="s">
        <v>226</v>
      </c>
      <c r="D51" s="264" t="s">
        <v>163</v>
      </c>
      <c r="E51" s="269"/>
      <c r="F51" s="244" t="s">
        <v>239</v>
      </c>
      <c r="G51" s="245" t="s">
        <v>237</v>
      </c>
      <c r="H51" s="266" t="s">
        <v>60</v>
      </c>
      <c r="I51" s="247"/>
      <c r="J51" s="248" t="s">
        <v>62</v>
      </c>
      <c r="K51" s="249" t="s">
        <v>63</v>
      </c>
      <c r="L51" s="245">
        <v>1</v>
      </c>
      <c r="M51" s="250"/>
      <c r="N51" s="251" t="s">
        <v>74</v>
      </c>
      <c r="O51" s="251">
        <v>10000</v>
      </c>
      <c r="P51" s="252">
        <v>0</v>
      </c>
      <c r="Q51" s="252">
        <v>0</v>
      </c>
      <c r="R51" s="252">
        <v>0</v>
      </c>
      <c r="S51" s="276">
        <v>25.39</v>
      </c>
      <c r="T51" s="253"/>
      <c r="U51" s="254">
        <v>179</v>
      </c>
      <c r="V51" s="252">
        <f t="shared" si="2"/>
        <v>92.58620689655173</v>
      </c>
      <c r="W51" s="255">
        <f t="shared" si="3"/>
        <v>0.27423091247672254</v>
      </c>
      <c r="X51" s="256">
        <f t="shared" si="4"/>
        <v>0.7257690875232774</v>
      </c>
      <c r="Y51" s="257">
        <v>0.4</v>
      </c>
      <c r="Z51" s="248"/>
      <c r="AA51" s="251"/>
      <c r="AB51" s="249"/>
      <c r="AC51" s="244" t="s">
        <v>231</v>
      </c>
      <c r="AD51" s="275">
        <v>46327</v>
      </c>
      <c r="BA51" s="248">
        <v>1</v>
      </c>
      <c r="BB51" s="265"/>
      <c r="BC51" s="265"/>
      <c r="BD51" s="265"/>
      <c r="BE51" s="265"/>
      <c r="BF51" s="265"/>
      <c r="BG51" s="265"/>
      <c r="BH51" s="265"/>
      <c r="BI51" s="265"/>
      <c r="BJ51" s="244">
        <v>9</v>
      </c>
      <c r="BK51" s="244">
        <f t="shared" si="0"/>
        <v>1</v>
      </c>
      <c r="BL51" s="258">
        <f t="shared" si="1"/>
        <v>0.1111111111111111</v>
      </c>
      <c r="BM51" s="259"/>
      <c r="BN51" s="259"/>
      <c r="BO51" s="259"/>
      <c r="BP51" s="259"/>
      <c r="BQ51" s="259"/>
      <c r="BR51" s="259"/>
      <c r="BS51" s="260" t="s">
        <v>231</v>
      </c>
      <c r="BT51" s="283">
        <f t="shared" si="5"/>
        <v>46327</v>
      </c>
      <c r="BU51" s="283"/>
      <c r="BV51" s="260" t="s">
        <v>77</v>
      </c>
      <c r="CJ51" s="260"/>
      <c r="CK51" s="260"/>
      <c r="CL51" s="260"/>
      <c r="CM51" s="260"/>
      <c r="CN51" s="260"/>
      <c r="CO51" s="260"/>
      <c r="CP51" s="261"/>
      <c r="CQ51" s="261"/>
      <c r="CR51" s="262"/>
      <c r="CS51" s="262"/>
      <c r="CT51" s="262"/>
      <c r="CU51" s="262"/>
      <c r="CV51" s="262"/>
      <c r="CW51" s="262"/>
      <c r="CX51" s="262"/>
      <c r="CY51" s="262"/>
      <c r="CZ51" s="262"/>
      <c r="DA51" s="262"/>
    </row>
    <row r="52" spans="1:105" ht="34.5">
      <c r="A52" s="248">
        <v>28</v>
      </c>
      <c r="B52" s="264" t="s">
        <v>56</v>
      </c>
      <c r="C52" s="265" t="s">
        <v>240</v>
      </c>
      <c r="D52" s="264" t="s">
        <v>163</v>
      </c>
      <c r="E52" s="269"/>
      <c r="F52" s="269" t="s">
        <v>241</v>
      </c>
      <c r="G52" s="245" t="s">
        <v>242</v>
      </c>
      <c r="H52" s="266" t="s">
        <v>60</v>
      </c>
      <c r="I52" s="247" t="s">
        <v>243</v>
      </c>
      <c r="J52" s="248" t="s">
        <v>62</v>
      </c>
      <c r="K52" s="249" t="s">
        <v>63</v>
      </c>
      <c r="L52" s="245">
        <v>1</v>
      </c>
      <c r="M52" s="277"/>
      <c r="N52" s="251" t="s">
        <v>74</v>
      </c>
      <c r="O52" s="251">
        <v>20000</v>
      </c>
      <c r="P52" s="252">
        <v>0</v>
      </c>
      <c r="Q52" s="252"/>
      <c r="R52" s="252"/>
      <c r="S52" s="252">
        <v>271.11</v>
      </c>
      <c r="T52" s="252"/>
      <c r="U52" s="254">
        <v>1499</v>
      </c>
      <c r="V52" s="252">
        <f t="shared" si="2"/>
        <v>775.34482758620686</v>
      </c>
      <c r="W52" s="255">
        <f t="shared" si="3"/>
        <v>0.34966377585056707</v>
      </c>
      <c r="X52" s="256">
        <f t="shared" si="4"/>
        <v>0.65033622414943293</v>
      </c>
      <c r="Y52" s="257">
        <v>0.4</v>
      </c>
      <c r="Z52" s="248" t="s">
        <v>66</v>
      </c>
      <c r="AA52" s="251" t="s">
        <v>67</v>
      </c>
      <c r="AB52" s="249"/>
      <c r="AC52" s="278" t="s">
        <v>244</v>
      </c>
      <c r="AD52" s="279">
        <v>46327</v>
      </c>
      <c r="BA52" s="248">
        <v>1</v>
      </c>
      <c r="BB52" s="248">
        <v>1</v>
      </c>
      <c r="BC52" s="248">
        <v>1</v>
      </c>
      <c r="BD52" s="248">
        <v>1</v>
      </c>
      <c r="BE52" s="248">
        <v>1</v>
      </c>
      <c r="BF52" s="248"/>
      <c r="BG52" s="248"/>
      <c r="BH52" s="248"/>
      <c r="BI52" s="248"/>
      <c r="BJ52" s="244">
        <v>9</v>
      </c>
      <c r="BK52" s="244">
        <f t="shared" si="0"/>
        <v>5</v>
      </c>
      <c r="BL52" s="258">
        <f t="shared" si="1"/>
        <v>0.55555555555555558</v>
      </c>
      <c r="BM52" s="259"/>
      <c r="BN52" s="259"/>
      <c r="BO52" s="259"/>
      <c r="BP52" s="259"/>
      <c r="BQ52" s="259"/>
      <c r="BR52" s="259"/>
      <c r="BS52" s="260" t="s">
        <v>245</v>
      </c>
      <c r="BT52" s="283">
        <f t="shared" si="5"/>
        <v>46327</v>
      </c>
      <c r="BU52" s="283"/>
      <c r="BV52" s="260" t="s">
        <v>77</v>
      </c>
      <c r="CJ52" s="260"/>
      <c r="CK52" s="260"/>
      <c r="CL52" s="260"/>
      <c r="CM52" s="260"/>
      <c r="CN52" s="260"/>
      <c r="CO52" s="260"/>
      <c r="CP52" s="261"/>
      <c r="CQ52" s="261"/>
      <c r="CR52" s="262"/>
      <c r="CS52" s="262"/>
      <c r="CT52" s="262"/>
      <c r="CU52" s="262"/>
      <c r="CV52" s="262"/>
      <c r="CW52" s="262"/>
      <c r="CX52" s="262"/>
      <c r="CY52" s="262"/>
      <c r="CZ52" s="262"/>
      <c r="DA52" s="262"/>
    </row>
    <row r="53" spans="1:105" ht="46">
      <c r="A53" s="248"/>
      <c r="B53" s="264"/>
      <c r="C53" s="249" t="s">
        <v>212</v>
      </c>
      <c r="D53" s="264" t="s">
        <v>163</v>
      </c>
      <c r="E53" s="269">
        <v>7506110696704</v>
      </c>
      <c r="F53" s="244" t="s">
        <v>246</v>
      </c>
      <c r="G53" s="249" t="s">
        <v>247</v>
      </c>
      <c r="H53" s="266" t="s">
        <v>60</v>
      </c>
      <c r="I53" s="247" t="s">
        <v>248</v>
      </c>
      <c r="J53" s="248" t="s">
        <v>62</v>
      </c>
      <c r="K53" s="248" t="s">
        <v>62</v>
      </c>
      <c r="L53" s="248" t="s">
        <v>62</v>
      </c>
      <c r="M53" s="248" t="s">
        <v>62</v>
      </c>
      <c r="N53" s="248" t="s">
        <v>62</v>
      </c>
      <c r="O53" s="248" t="s">
        <v>62</v>
      </c>
      <c r="P53" s="248" t="s">
        <v>62</v>
      </c>
      <c r="Q53" s="248" t="s">
        <v>62</v>
      </c>
      <c r="R53" s="248" t="s">
        <v>62</v>
      </c>
      <c r="S53" s="248"/>
      <c r="T53" s="253"/>
      <c r="U53" s="254"/>
      <c r="V53" s="252">
        <f t="shared" ref="V53" si="9">(U53/1.16)*0.6</f>
        <v>0</v>
      </c>
      <c r="W53" s="255" t="e">
        <f t="shared" ref="W53" si="10">+S53/V53</f>
        <v>#DIV/0!</v>
      </c>
      <c r="X53" s="256" t="e">
        <f t="shared" ref="X53" si="11">1-(S53/V53)</f>
        <v>#DIV/0!</v>
      </c>
      <c r="Y53" s="257">
        <v>0.4</v>
      </c>
      <c r="Z53" s="248" t="s">
        <v>66</v>
      </c>
      <c r="AA53" s="251" t="s">
        <v>134</v>
      </c>
      <c r="AB53" s="249"/>
      <c r="AC53" s="244" t="s">
        <v>249</v>
      </c>
      <c r="AD53" s="244" t="s">
        <v>250</v>
      </c>
      <c r="BA53" s="248">
        <v>1</v>
      </c>
      <c r="BB53" s="244">
        <v>1</v>
      </c>
      <c r="BC53" s="244">
        <v>1</v>
      </c>
      <c r="BD53" s="244">
        <v>1</v>
      </c>
      <c r="BE53" s="244">
        <v>1</v>
      </c>
      <c r="BF53" s="244">
        <v>1</v>
      </c>
      <c r="BG53" s="244"/>
      <c r="BH53" s="244"/>
      <c r="BI53" s="244"/>
      <c r="BJ53" s="244">
        <v>9</v>
      </c>
      <c r="BK53" s="244">
        <f t="shared" ref="BK53:BK60" si="12">SUM(BA53:BI53)</f>
        <v>6</v>
      </c>
      <c r="BL53" s="258">
        <f t="shared" si="1"/>
        <v>0.66666666666666663</v>
      </c>
      <c r="BM53" s="259"/>
      <c r="BN53" s="259"/>
      <c r="BO53" s="259"/>
      <c r="BP53" s="259"/>
      <c r="BQ53" s="259"/>
      <c r="BR53" s="259"/>
      <c r="BS53" s="260" t="s">
        <v>251</v>
      </c>
      <c r="BT53" s="283" t="str">
        <f>+AD53</f>
        <v>Septiembre</v>
      </c>
      <c r="BU53" s="283"/>
      <c r="BV53" s="260"/>
      <c r="CJ53" s="260"/>
      <c r="CK53" s="260"/>
      <c r="CL53" s="260"/>
      <c r="CM53" s="260"/>
      <c r="CN53" s="260"/>
      <c r="CO53" s="260"/>
      <c r="CP53" s="261"/>
      <c r="CQ53" s="261"/>
      <c r="CR53" s="262"/>
      <c r="CS53" s="262"/>
      <c r="CT53" s="262"/>
      <c r="CU53" s="262"/>
      <c r="CV53" s="262"/>
      <c r="CW53" s="262"/>
      <c r="CX53" s="262"/>
      <c r="CY53" s="262"/>
      <c r="CZ53" s="262"/>
      <c r="DA53" s="262"/>
    </row>
    <row r="54" spans="1:105" ht="69">
      <c r="A54" s="248"/>
      <c r="B54" s="264"/>
      <c r="C54" s="249" t="s">
        <v>212</v>
      </c>
      <c r="D54" s="264" t="s">
        <v>163</v>
      </c>
      <c r="E54" s="269">
        <v>7506110696711</v>
      </c>
      <c r="F54" s="244" t="s">
        <v>252</v>
      </c>
      <c r="G54" s="249" t="s">
        <v>253</v>
      </c>
      <c r="H54" s="266"/>
      <c r="I54" s="247"/>
      <c r="J54" s="248" t="s">
        <v>62</v>
      </c>
      <c r="K54" s="248" t="s">
        <v>62</v>
      </c>
      <c r="L54" s="248" t="s">
        <v>62</v>
      </c>
      <c r="M54" s="248" t="s">
        <v>62</v>
      </c>
      <c r="N54" s="248" t="s">
        <v>62</v>
      </c>
      <c r="O54" s="248" t="s">
        <v>62</v>
      </c>
      <c r="P54" s="248" t="s">
        <v>62</v>
      </c>
      <c r="Q54" s="248" t="s">
        <v>62</v>
      </c>
      <c r="R54" s="248" t="s">
        <v>62</v>
      </c>
      <c r="S54" s="248"/>
      <c r="T54" s="253"/>
      <c r="U54" s="254"/>
      <c r="V54" s="252"/>
      <c r="W54" s="255"/>
      <c r="X54" s="256"/>
      <c r="Y54" s="257"/>
      <c r="Z54" s="248"/>
      <c r="AA54" s="251"/>
      <c r="AB54" s="249"/>
      <c r="AC54" s="244"/>
      <c r="AD54" s="244" t="s">
        <v>250</v>
      </c>
      <c r="BA54" s="248">
        <v>1</v>
      </c>
      <c r="BB54" s="244">
        <v>1</v>
      </c>
      <c r="BC54" s="244">
        <v>1</v>
      </c>
      <c r="BD54" s="244">
        <v>1</v>
      </c>
      <c r="BE54" s="244">
        <v>1</v>
      </c>
      <c r="BF54" s="244">
        <v>1</v>
      </c>
      <c r="BG54" s="244"/>
      <c r="BH54" s="244"/>
      <c r="BI54" s="244"/>
      <c r="BJ54" s="244">
        <v>9</v>
      </c>
      <c r="BK54" s="244">
        <f t="shared" si="12"/>
        <v>6</v>
      </c>
      <c r="BL54" s="258">
        <f t="shared" si="1"/>
        <v>0.66666666666666663</v>
      </c>
      <c r="BM54" s="259"/>
      <c r="BN54" s="259"/>
      <c r="BO54" s="259"/>
      <c r="BP54" s="259"/>
      <c r="BQ54" s="259"/>
      <c r="BR54" s="259"/>
      <c r="BS54" s="260"/>
      <c r="BT54" s="283"/>
      <c r="BU54" s="283"/>
      <c r="BV54" s="260"/>
      <c r="CJ54" s="260"/>
      <c r="CK54" s="260"/>
      <c r="CL54" s="260"/>
      <c r="CM54" s="260"/>
      <c r="CN54" s="260"/>
      <c r="CO54" s="260"/>
      <c r="CP54" s="261"/>
      <c r="CQ54" s="261"/>
      <c r="CR54" s="262"/>
      <c r="CS54" s="262"/>
      <c r="CT54" s="262"/>
      <c r="CU54" s="262"/>
      <c r="CV54" s="262"/>
      <c r="CW54" s="262"/>
      <c r="CX54" s="262"/>
      <c r="CY54" s="262"/>
      <c r="CZ54" s="262"/>
      <c r="DA54" s="262"/>
    </row>
    <row r="55" spans="1:105" ht="69">
      <c r="A55" s="248"/>
      <c r="B55" s="264"/>
      <c r="C55" s="249" t="s">
        <v>212</v>
      </c>
      <c r="D55" s="264" t="s">
        <v>163</v>
      </c>
      <c r="E55" s="269">
        <v>7506110696728</v>
      </c>
      <c r="F55" s="244" t="s">
        <v>254</v>
      </c>
      <c r="G55" s="249" t="s">
        <v>255</v>
      </c>
      <c r="H55" s="266"/>
      <c r="I55" s="247"/>
      <c r="J55" s="248" t="s">
        <v>62</v>
      </c>
      <c r="K55" s="248" t="s">
        <v>62</v>
      </c>
      <c r="L55" s="248" t="s">
        <v>62</v>
      </c>
      <c r="M55" s="248" t="s">
        <v>62</v>
      </c>
      <c r="N55" s="248" t="s">
        <v>62</v>
      </c>
      <c r="O55" s="248" t="s">
        <v>62</v>
      </c>
      <c r="P55" s="248" t="s">
        <v>62</v>
      </c>
      <c r="Q55" s="248" t="s">
        <v>62</v>
      </c>
      <c r="R55" s="248" t="s">
        <v>62</v>
      </c>
      <c r="S55" s="248"/>
      <c r="T55" s="253"/>
      <c r="U55" s="254"/>
      <c r="V55" s="252"/>
      <c r="W55" s="255"/>
      <c r="X55" s="256"/>
      <c r="Y55" s="257"/>
      <c r="Z55" s="248"/>
      <c r="AA55" s="251"/>
      <c r="AB55" s="249"/>
      <c r="AC55" s="244"/>
      <c r="AD55" s="244" t="s">
        <v>250</v>
      </c>
      <c r="BA55" s="248">
        <v>1</v>
      </c>
      <c r="BB55" s="244">
        <v>1</v>
      </c>
      <c r="BC55" s="244">
        <v>1</v>
      </c>
      <c r="BD55" s="244">
        <v>1</v>
      </c>
      <c r="BE55" s="244">
        <v>1</v>
      </c>
      <c r="BF55" s="244">
        <v>1</v>
      </c>
      <c r="BG55" s="244"/>
      <c r="BH55" s="244"/>
      <c r="BI55" s="244"/>
      <c r="BJ55" s="244">
        <v>9</v>
      </c>
      <c r="BK55" s="244">
        <f t="shared" si="12"/>
        <v>6</v>
      </c>
      <c r="BL55" s="258">
        <f t="shared" si="1"/>
        <v>0.66666666666666663</v>
      </c>
      <c r="BM55" s="259"/>
      <c r="BN55" s="259"/>
      <c r="BO55" s="259"/>
      <c r="BP55" s="259"/>
      <c r="BQ55" s="259"/>
      <c r="BR55" s="259"/>
      <c r="BS55" s="260"/>
      <c r="BT55" s="283"/>
      <c r="BU55" s="283"/>
      <c r="BV55" s="260"/>
      <c r="CJ55" s="260"/>
      <c r="CK55" s="260"/>
      <c r="CL55" s="260"/>
      <c r="CM55" s="260"/>
      <c r="CN55" s="260"/>
      <c r="CO55" s="260"/>
      <c r="CP55" s="261"/>
      <c r="CQ55" s="261"/>
      <c r="CR55" s="262"/>
      <c r="CS55" s="262"/>
      <c r="CT55" s="262"/>
      <c r="CU55" s="262"/>
      <c r="CV55" s="262"/>
      <c r="CW55" s="262"/>
      <c r="CX55" s="262"/>
      <c r="CY55" s="262"/>
      <c r="CZ55" s="262"/>
      <c r="DA55" s="262"/>
    </row>
    <row r="56" spans="1:105" ht="46">
      <c r="A56" s="248"/>
      <c r="B56" s="264"/>
      <c r="C56" s="249" t="s">
        <v>212</v>
      </c>
      <c r="D56" s="264" t="s">
        <v>163</v>
      </c>
      <c r="E56" s="269">
        <v>7506110696735</v>
      </c>
      <c r="F56" s="244" t="s">
        <v>256</v>
      </c>
      <c r="G56" s="249" t="s">
        <v>257</v>
      </c>
      <c r="H56" s="266"/>
      <c r="I56" s="247"/>
      <c r="J56" s="248" t="s">
        <v>62</v>
      </c>
      <c r="K56" s="248" t="s">
        <v>62</v>
      </c>
      <c r="L56" s="248" t="s">
        <v>62</v>
      </c>
      <c r="M56" s="248" t="s">
        <v>62</v>
      </c>
      <c r="N56" s="248" t="s">
        <v>62</v>
      </c>
      <c r="O56" s="248" t="s">
        <v>62</v>
      </c>
      <c r="P56" s="248" t="s">
        <v>62</v>
      </c>
      <c r="Q56" s="248" t="s">
        <v>62</v>
      </c>
      <c r="R56" s="248" t="s">
        <v>62</v>
      </c>
      <c r="S56" s="248"/>
      <c r="T56" s="253"/>
      <c r="U56" s="254"/>
      <c r="V56" s="252"/>
      <c r="W56" s="255"/>
      <c r="X56" s="256"/>
      <c r="Y56" s="257"/>
      <c r="Z56" s="248"/>
      <c r="AA56" s="251"/>
      <c r="AB56" s="249"/>
      <c r="AC56" s="244"/>
      <c r="AD56" s="244" t="s">
        <v>250</v>
      </c>
      <c r="BA56" s="248">
        <v>1</v>
      </c>
      <c r="BB56" s="244">
        <v>1</v>
      </c>
      <c r="BC56" s="244">
        <v>1</v>
      </c>
      <c r="BD56" s="244">
        <v>1</v>
      </c>
      <c r="BE56" s="244">
        <v>1</v>
      </c>
      <c r="BF56" s="244">
        <v>1</v>
      </c>
      <c r="BG56" s="244"/>
      <c r="BH56" s="244"/>
      <c r="BI56" s="244"/>
      <c r="BJ56" s="244">
        <v>9</v>
      </c>
      <c r="BK56" s="244">
        <f t="shared" si="12"/>
        <v>6</v>
      </c>
      <c r="BL56" s="258">
        <f t="shared" si="1"/>
        <v>0.66666666666666663</v>
      </c>
      <c r="BM56" s="259"/>
      <c r="BN56" s="259"/>
      <c r="BO56" s="259"/>
      <c r="BP56" s="259"/>
      <c r="BQ56" s="259"/>
      <c r="BR56" s="259"/>
      <c r="BS56" s="260"/>
      <c r="BT56" s="283"/>
      <c r="BU56" s="283"/>
      <c r="BV56" s="260"/>
      <c r="CJ56" s="260"/>
      <c r="CK56" s="260"/>
      <c r="CL56" s="260"/>
      <c r="CM56" s="260"/>
      <c r="CN56" s="260"/>
      <c r="CO56" s="260"/>
      <c r="CP56" s="261"/>
      <c r="CQ56" s="261"/>
      <c r="CR56" s="262"/>
      <c r="CS56" s="262"/>
      <c r="CT56" s="262"/>
      <c r="CU56" s="262"/>
      <c r="CV56" s="262"/>
      <c r="CW56" s="262"/>
      <c r="CX56" s="262"/>
      <c r="CY56" s="262"/>
      <c r="CZ56" s="262"/>
      <c r="DA56" s="262"/>
    </row>
    <row r="57" spans="1:105" ht="46">
      <c r="A57" s="248"/>
      <c r="B57" s="264"/>
      <c r="C57" s="249" t="s">
        <v>212</v>
      </c>
      <c r="D57" s="264" t="s">
        <v>163</v>
      </c>
      <c r="E57" s="269">
        <v>7506110696742</v>
      </c>
      <c r="F57" s="244" t="s">
        <v>258</v>
      </c>
      <c r="G57" s="249" t="s">
        <v>259</v>
      </c>
      <c r="H57" s="266"/>
      <c r="I57" s="247"/>
      <c r="J57" s="248" t="s">
        <v>62</v>
      </c>
      <c r="K57" s="248" t="s">
        <v>62</v>
      </c>
      <c r="L57" s="248" t="s">
        <v>62</v>
      </c>
      <c r="M57" s="248" t="s">
        <v>62</v>
      </c>
      <c r="N57" s="248" t="s">
        <v>62</v>
      </c>
      <c r="O57" s="248" t="s">
        <v>62</v>
      </c>
      <c r="P57" s="248" t="s">
        <v>62</v>
      </c>
      <c r="Q57" s="248" t="s">
        <v>62</v>
      </c>
      <c r="R57" s="248" t="s">
        <v>62</v>
      </c>
      <c r="S57" s="248"/>
      <c r="T57" s="253"/>
      <c r="U57" s="254"/>
      <c r="V57" s="252"/>
      <c r="W57" s="255"/>
      <c r="X57" s="256"/>
      <c r="Y57" s="257"/>
      <c r="Z57" s="248"/>
      <c r="AA57" s="251"/>
      <c r="AB57" s="249"/>
      <c r="AC57" s="244"/>
      <c r="AD57" s="244" t="s">
        <v>250</v>
      </c>
      <c r="BA57" s="248">
        <v>1</v>
      </c>
      <c r="BB57" s="244">
        <v>1</v>
      </c>
      <c r="BC57" s="244">
        <v>1</v>
      </c>
      <c r="BD57" s="244">
        <v>1</v>
      </c>
      <c r="BE57" s="244">
        <v>1</v>
      </c>
      <c r="BF57" s="244">
        <v>1</v>
      </c>
      <c r="BG57" s="244"/>
      <c r="BH57" s="244"/>
      <c r="BI57" s="244"/>
      <c r="BJ57" s="244">
        <v>9</v>
      </c>
      <c r="BK57" s="244">
        <f t="shared" si="12"/>
        <v>6</v>
      </c>
      <c r="BL57" s="258">
        <f t="shared" si="1"/>
        <v>0.66666666666666663</v>
      </c>
      <c r="BM57" s="259"/>
      <c r="BN57" s="259"/>
      <c r="BO57" s="259"/>
      <c r="BP57" s="259"/>
      <c r="BQ57" s="259"/>
      <c r="BR57" s="259"/>
      <c r="BS57" s="260"/>
      <c r="BT57" s="283"/>
      <c r="BU57" s="283"/>
      <c r="BV57" s="260"/>
      <c r="CJ57" s="260"/>
      <c r="CK57" s="260"/>
      <c r="CL57" s="260"/>
      <c r="CM57" s="260"/>
      <c r="CN57" s="260"/>
      <c r="CO57" s="260"/>
      <c r="CP57" s="261"/>
      <c r="CQ57" s="261"/>
      <c r="CR57" s="262"/>
      <c r="CS57" s="262"/>
      <c r="CT57" s="262"/>
      <c r="CU57" s="262"/>
      <c r="CV57" s="262"/>
      <c r="CW57" s="262"/>
      <c r="CX57" s="262"/>
      <c r="CY57" s="262"/>
      <c r="CZ57" s="262"/>
      <c r="DA57" s="262"/>
    </row>
    <row r="58" spans="1:105" ht="46">
      <c r="A58" s="248"/>
      <c r="B58" s="264"/>
      <c r="C58" s="249" t="s">
        <v>212</v>
      </c>
      <c r="D58" s="264" t="s">
        <v>163</v>
      </c>
      <c r="E58" s="269">
        <v>7506110696766</v>
      </c>
      <c r="F58" s="244" t="s">
        <v>260</v>
      </c>
      <c r="G58" s="249" t="s">
        <v>261</v>
      </c>
      <c r="H58" s="266"/>
      <c r="I58" s="247"/>
      <c r="J58" s="248" t="s">
        <v>62</v>
      </c>
      <c r="K58" s="248" t="s">
        <v>62</v>
      </c>
      <c r="L58" s="248" t="s">
        <v>62</v>
      </c>
      <c r="M58" s="248" t="s">
        <v>62</v>
      </c>
      <c r="N58" s="248" t="s">
        <v>62</v>
      </c>
      <c r="O58" s="248" t="s">
        <v>62</v>
      </c>
      <c r="P58" s="248" t="s">
        <v>62</v>
      </c>
      <c r="Q58" s="248" t="s">
        <v>62</v>
      </c>
      <c r="R58" s="248" t="s">
        <v>62</v>
      </c>
      <c r="S58" s="248"/>
      <c r="T58" s="253"/>
      <c r="U58" s="254"/>
      <c r="V58" s="252"/>
      <c r="W58" s="255"/>
      <c r="X58" s="256"/>
      <c r="Y58" s="257"/>
      <c r="Z58" s="248"/>
      <c r="AA58" s="251"/>
      <c r="AB58" s="249"/>
      <c r="AC58" s="244"/>
      <c r="AD58" s="244" t="s">
        <v>250</v>
      </c>
      <c r="BA58" s="248">
        <v>1</v>
      </c>
      <c r="BB58" s="244">
        <v>1</v>
      </c>
      <c r="BC58" s="244">
        <v>1</v>
      </c>
      <c r="BD58" s="244">
        <v>1</v>
      </c>
      <c r="BE58" s="244">
        <v>1</v>
      </c>
      <c r="BF58" s="244">
        <v>1</v>
      </c>
      <c r="BG58" s="244"/>
      <c r="BH58" s="244"/>
      <c r="BI58" s="244"/>
      <c r="BJ58" s="244">
        <v>9</v>
      </c>
      <c r="BK58" s="244">
        <f t="shared" si="12"/>
        <v>6</v>
      </c>
      <c r="BL58" s="258">
        <f t="shared" si="1"/>
        <v>0.66666666666666663</v>
      </c>
      <c r="BM58" s="259"/>
      <c r="BN58" s="259"/>
      <c r="BO58" s="259"/>
      <c r="BP58" s="259"/>
      <c r="BQ58" s="259"/>
      <c r="BR58" s="259"/>
      <c r="BS58" s="260"/>
      <c r="BT58" s="283"/>
      <c r="BU58" s="283"/>
      <c r="BV58" s="260"/>
      <c r="CJ58" s="260"/>
      <c r="CK58" s="260"/>
      <c r="CL58" s="260"/>
      <c r="CM58" s="260"/>
      <c r="CN58" s="260"/>
      <c r="CO58" s="260"/>
      <c r="CP58" s="261"/>
      <c r="CQ58" s="261"/>
      <c r="CR58" s="262"/>
      <c r="CS58" s="262"/>
      <c r="CT58" s="262"/>
      <c r="CU58" s="262"/>
      <c r="CV58" s="262"/>
      <c r="CW58" s="262"/>
      <c r="CX58" s="262"/>
      <c r="CY58" s="262"/>
      <c r="CZ58" s="262"/>
      <c r="DA58" s="262"/>
    </row>
    <row r="59" spans="1:105" ht="12">
      <c r="A59" s="248"/>
      <c r="B59" s="264"/>
      <c r="C59" s="249" t="s">
        <v>212</v>
      </c>
      <c r="D59" s="264" t="s">
        <v>163</v>
      </c>
      <c r="E59" s="269"/>
      <c r="F59" s="244"/>
      <c r="G59" s="249" t="s">
        <v>262</v>
      </c>
      <c r="H59" s="266"/>
      <c r="I59" s="247"/>
      <c r="J59" s="248" t="s">
        <v>62</v>
      </c>
      <c r="K59" s="248" t="s">
        <v>62</v>
      </c>
      <c r="L59" s="248" t="s">
        <v>62</v>
      </c>
      <c r="M59" s="248" t="s">
        <v>62</v>
      </c>
      <c r="N59" s="248" t="s">
        <v>62</v>
      </c>
      <c r="O59" s="248" t="s">
        <v>62</v>
      </c>
      <c r="P59" s="248" t="s">
        <v>62</v>
      </c>
      <c r="Q59" s="248" t="s">
        <v>62</v>
      </c>
      <c r="R59" s="248" t="s">
        <v>62</v>
      </c>
      <c r="S59" s="248"/>
      <c r="T59" s="253"/>
      <c r="U59" s="254"/>
      <c r="V59" s="252"/>
      <c r="W59" s="255"/>
      <c r="X59" s="256"/>
      <c r="Y59" s="257"/>
      <c r="Z59" s="248"/>
      <c r="AA59" s="251"/>
      <c r="AB59" s="249"/>
      <c r="AC59" s="244"/>
      <c r="AD59" s="244" t="s">
        <v>250</v>
      </c>
      <c r="BA59" s="248">
        <v>1</v>
      </c>
      <c r="BB59" s="244">
        <v>1</v>
      </c>
      <c r="BC59" s="244">
        <v>1</v>
      </c>
      <c r="BD59" s="244">
        <v>1</v>
      </c>
      <c r="BE59" s="244">
        <v>1</v>
      </c>
      <c r="BF59" s="244">
        <v>1</v>
      </c>
      <c r="BG59" s="244"/>
      <c r="BH59" s="244"/>
      <c r="BI59" s="244"/>
      <c r="BJ59" s="244">
        <v>9</v>
      </c>
      <c r="BK59" s="244">
        <f t="shared" si="12"/>
        <v>6</v>
      </c>
      <c r="BL59" s="258">
        <f t="shared" si="1"/>
        <v>0.66666666666666663</v>
      </c>
      <c r="BM59" s="259"/>
      <c r="BN59" s="259"/>
      <c r="BO59" s="259"/>
      <c r="BP59" s="259"/>
      <c r="BQ59" s="259"/>
      <c r="BR59" s="259"/>
      <c r="BS59" s="260"/>
      <c r="BT59" s="283"/>
      <c r="BU59" s="283"/>
      <c r="BV59" s="260"/>
      <c r="CJ59" s="260"/>
      <c r="CK59" s="260"/>
      <c r="CL59" s="260"/>
      <c r="CM59" s="260"/>
      <c r="CN59" s="260"/>
      <c r="CO59" s="260"/>
      <c r="CP59" s="261"/>
      <c r="CQ59" s="261"/>
      <c r="CR59" s="262"/>
      <c r="CS59" s="262"/>
      <c r="CT59" s="262"/>
      <c r="CU59" s="262"/>
      <c r="CV59" s="262"/>
      <c r="CW59" s="262"/>
      <c r="CX59" s="262"/>
      <c r="CY59" s="262"/>
      <c r="CZ59" s="262"/>
      <c r="DA59" s="262"/>
    </row>
    <row r="60" spans="1:105" ht="12">
      <c r="A60" s="248"/>
      <c r="B60" s="264"/>
      <c r="C60" s="249" t="s">
        <v>212</v>
      </c>
      <c r="D60" s="264" t="s">
        <v>163</v>
      </c>
      <c r="E60" s="269"/>
      <c r="F60" s="244"/>
      <c r="G60" s="249" t="s">
        <v>263</v>
      </c>
      <c r="H60" s="266"/>
      <c r="I60" s="247"/>
      <c r="J60" s="248" t="s">
        <v>62</v>
      </c>
      <c r="K60" s="248" t="s">
        <v>62</v>
      </c>
      <c r="L60" s="248" t="s">
        <v>62</v>
      </c>
      <c r="M60" s="248" t="s">
        <v>62</v>
      </c>
      <c r="N60" s="248" t="s">
        <v>62</v>
      </c>
      <c r="O60" s="248" t="s">
        <v>62</v>
      </c>
      <c r="P60" s="248" t="s">
        <v>62</v>
      </c>
      <c r="Q60" s="248" t="s">
        <v>62</v>
      </c>
      <c r="R60" s="248" t="s">
        <v>62</v>
      </c>
      <c r="S60" s="248"/>
      <c r="T60" s="253"/>
      <c r="U60" s="254"/>
      <c r="V60" s="252"/>
      <c r="W60" s="255"/>
      <c r="X60" s="256"/>
      <c r="Y60" s="257"/>
      <c r="Z60" s="248"/>
      <c r="AA60" s="251"/>
      <c r="AB60" s="249"/>
      <c r="AC60" s="244"/>
      <c r="AD60" s="244" t="s">
        <v>250</v>
      </c>
      <c r="BA60" s="248">
        <v>1</v>
      </c>
      <c r="BB60" s="244">
        <v>1</v>
      </c>
      <c r="BC60" s="244">
        <v>1</v>
      </c>
      <c r="BD60" s="244">
        <v>1</v>
      </c>
      <c r="BE60" s="244">
        <v>1</v>
      </c>
      <c r="BF60" s="244">
        <v>1</v>
      </c>
      <c r="BG60" s="244"/>
      <c r="BH60" s="244"/>
      <c r="BI60" s="244"/>
      <c r="BJ60" s="244">
        <v>9</v>
      </c>
      <c r="BK60" s="244">
        <f t="shared" si="12"/>
        <v>6</v>
      </c>
      <c r="BL60" s="258">
        <f t="shared" si="1"/>
        <v>0.66666666666666663</v>
      </c>
      <c r="BM60" s="259"/>
      <c r="BN60" s="259"/>
      <c r="BO60" s="259"/>
      <c r="BP60" s="259"/>
      <c r="BQ60" s="259"/>
      <c r="BR60" s="259"/>
      <c r="BS60" s="260"/>
      <c r="BT60" s="283"/>
      <c r="BU60" s="283"/>
      <c r="BV60" s="260"/>
      <c r="CJ60" s="260"/>
      <c r="CK60" s="260"/>
      <c r="CL60" s="260"/>
      <c r="CM60" s="260"/>
      <c r="CN60" s="260"/>
      <c r="CO60" s="260"/>
      <c r="CP60" s="261"/>
      <c r="CQ60" s="261"/>
      <c r="CR60" s="262"/>
      <c r="CS60" s="262"/>
      <c r="CT60" s="262"/>
      <c r="CU60" s="262"/>
      <c r="CV60" s="262"/>
      <c r="CW60" s="262"/>
      <c r="CX60" s="262"/>
      <c r="CY60" s="262"/>
      <c r="CZ60" s="262"/>
      <c r="DA60" s="262"/>
    </row>
    <row r="61" spans="1:105" ht="34.5">
      <c r="A61" s="248">
        <v>41</v>
      </c>
      <c r="B61" s="264" t="s">
        <v>56</v>
      </c>
      <c r="C61" s="265" t="s">
        <v>57</v>
      </c>
      <c r="D61" s="264" t="s">
        <v>163</v>
      </c>
      <c r="E61" s="244">
        <v>7502327992769</v>
      </c>
      <c r="F61" s="244" t="s">
        <v>264</v>
      </c>
      <c r="G61" s="245" t="s">
        <v>265</v>
      </c>
      <c r="H61" s="508" t="s">
        <v>60</v>
      </c>
      <c r="I61" s="247" t="s">
        <v>95</v>
      </c>
      <c r="J61" s="248" t="s">
        <v>62</v>
      </c>
      <c r="K61" s="249" t="s">
        <v>63</v>
      </c>
      <c r="L61" s="245">
        <v>1</v>
      </c>
      <c r="M61" s="277"/>
      <c r="N61" s="251" t="s">
        <v>74</v>
      </c>
      <c r="O61" s="251">
        <v>20000</v>
      </c>
      <c r="P61" s="252">
        <v>16.88</v>
      </c>
      <c r="Q61" s="252"/>
      <c r="R61" s="252"/>
      <c r="S61" s="252">
        <v>22.34</v>
      </c>
      <c r="T61" s="253" t="s">
        <v>266</v>
      </c>
      <c r="U61" s="254">
        <v>89</v>
      </c>
      <c r="V61" s="252">
        <f>(U61/1.16)*0.6</f>
        <v>46.03448275862069</v>
      </c>
      <c r="W61" s="255">
        <f>+S61/V61</f>
        <v>0.4852883895131086</v>
      </c>
      <c r="X61" s="256">
        <f>1-(S61/V61)</f>
        <v>0.5147116104868914</v>
      </c>
      <c r="Y61" s="257">
        <v>0.4</v>
      </c>
      <c r="Z61" s="248"/>
      <c r="AA61" s="251"/>
      <c r="AB61" s="249"/>
      <c r="AC61" s="249" t="s">
        <v>267</v>
      </c>
      <c r="AD61" s="244" t="s">
        <v>268</v>
      </c>
      <c r="BA61" s="248">
        <v>1</v>
      </c>
      <c r="BB61" s="265"/>
      <c r="BC61" s="265"/>
      <c r="BD61" s="265"/>
      <c r="BE61" s="265"/>
      <c r="BF61" s="265"/>
      <c r="BG61" s="265"/>
      <c r="BH61" s="265"/>
      <c r="BI61" s="265"/>
      <c r="BJ61" s="244">
        <v>9</v>
      </c>
      <c r="BK61" s="244">
        <f>SUM(BA61:BI61)</f>
        <v>1</v>
      </c>
      <c r="BL61" s="258">
        <f>+BK61/BJ61</f>
        <v>0.1111111111111111</v>
      </c>
      <c r="BM61" s="259"/>
      <c r="BN61" s="259"/>
      <c r="BO61" s="259"/>
      <c r="BP61" s="259"/>
      <c r="BQ61" s="259"/>
      <c r="BR61" s="259"/>
      <c r="BS61" s="260" t="s">
        <v>269</v>
      </c>
      <c r="BT61" s="283" t="str">
        <f>+AD61</f>
        <v>Diciembre</v>
      </c>
      <c r="BU61" s="283"/>
      <c r="BV61" s="260" t="s">
        <v>77</v>
      </c>
      <c r="CJ61" s="260"/>
      <c r="CK61" s="260"/>
      <c r="CL61" s="260"/>
      <c r="CM61" s="260"/>
      <c r="CN61" s="260"/>
      <c r="CO61" s="260"/>
      <c r="CP61" s="261"/>
      <c r="CQ61" s="261"/>
      <c r="CR61" s="262"/>
      <c r="CS61" s="262"/>
      <c r="CT61" s="262"/>
      <c r="CU61" s="262"/>
      <c r="CV61" s="262"/>
      <c r="CW61" s="262"/>
      <c r="CX61" s="262"/>
      <c r="CY61" s="262"/>
      <c r="CZ61" s="262"/>
      <c r="DA61" s="262"/>
    </row>
    <row r="62" spans="1:105" ht="57.5">
      <c r="A62" s="248">
        <v>42</v>
      </c>
      <c r="B62" s="264" t="s">
        <v>56</v>
      </c>
      <c r="C62" s="265" t="s">
        <v>57</v>
      </c>
      <c r="D62" s="264" t="s">
        <v>163</v>
      </c>
      <c r="E62" s="244">
        <v>7502327992776</v>
      </c>
      <c r="F62" s="244" t="s">
        <v>270</v>
      </c>
      <c r="G62" s="245" t="s">
        <v>271</v>
      </c>
      <c r="H62" s="508" t="s">
        <v>60</v>
      </c>
      <c r="I62" s="247" t="s">
        <v>95</v>
      </c>
      <c r="J62" s="248" t="s">
        <v>62</v>
      </c>
      <c r="K62" s="249" t="s">
        <v>63</v>
      </c>
      <c r="L62" s="245">
        <v>1</v>
      </c>
      <c r="M62" s="277"/>
      <c r="N62" s="251" t="s">
        <v>74</v>
      </c>
      <c r="O62" s="251">
        <v>20000</v>
      </c>
      <c r="P62" s="252">
        <v>16.88</v>
      </c>
      <c r="Q62" s="252"/>
      <c r="R62" s="252"/>
      <c r="S62" s="252">
        <v>22.34</v>
      </c>
      <c r="T62" s="253" t="s">
        <v>272</v>
      </c>
      <c r="U62" s="254">
        <v>89</v>
      </c>
      <c r="V62" s="252">
        <f>(U62/1.16)*0.6</f>
        <v>46.03448275862069</v>
      </c>
      <c r="W62" s="255">
        <f>+S62/V62</f>
        <v>0.4852883895131086</v>
      </c>
      <c r="X62" s="256">
        <f>1-(S62/V62)</f>
        <v>0.5147116104868914</v>
      </c>
      <c r="Y62" s="257">
        <v>0.4</v>
      </c>
      <c r="Z62" s="248"/>
      <c r="AA62" s="251"/>
      <c r="AB62" s="249"/>
      <c r="AC62" s="249" t="s">
        <v>267</v>
      </c>
      <c r="AD62" s="244" t="s">
        <v>268</v>
      </c>
      <c r="BA62" s="248">
        <v>1</v>
      </c>
      <c r="BB62" s="265"/>
      <c r="BC62" s="265"/>
      <c r="BD62" s="265"/>
      <c r="BE62" s="265"/>
      <c r="BF62" s="265"/>
      <c r="BG62" s="265"/>
      <c r="BH62" s="265"/>
      <c r="BI62" s="265"/>
      <c r="BJ62" s="244">
        <v>9</v>
      </c>
      <c r="BK62" s="244">
        <f>SUM(BA62:BI62)</f>
        <v>1</v>
      </c>
      <c r="BL62" s="258">
        <f>+BK62/BJ62</f>
        <v>0.1111111111111111</v>
      </c>
      <c r="BM62" s="259"/>
      <c r="BN62" s="259"/>
      <c r="BO62" s="259"/>
      <c r="BP62" s="259"/>
      <c r="BQ62" s="259"/>
      <c r="BR62" s="259"/>
      <c r="BS62" s="260" t="s">
        <v>269</v>
      </c>
      <c r="BT62" s="283" t="str">
        <f>+AD62</f>
        <v>Diciembre</v>
      </c>
      <c r="BU62" s="283"/>
      <c r="BV62" s="260" t="s">
        <v>77</v>
      </c>
      <c r="CJ62" s="260"/>
      <c r="CK62" s="260"/>
      <c r="CL62" s="260"/>
      <c r="CM62" s="260"/>
      <c r="CN62" s="260"/>
      <c r="CO62" s="260"/>
      <c r="CP62" s="261"/>
      <c r="CQ62" s="261"/>
      <c r="CR62" s="262"/>
      <c r="CS62" s="262"/>
      <c r="CT62" s="262"/>
      <c r="CU62" s="262"/>
      <c r="CV62" s="262"/>
      <c r="CW62" s="262"/>
      <c r="CX62" s="262"/>
      <c r="CY62" s="262"/>
      <c r="CZ62" s="262"/>
      <c r="DA62" s="262"/>
    </row>
    <row r="63" spans="1:105" ht="46">
      <c r="A63" s="248">
        <v>43</v>
      </c>
      <c r="B63" s="264" t="s">
        <v>56</v>
      </c>
      <c r="C63" s="265" t="s">
        <v>57</v>
      </c>
      <c r="D63" s="264" t="s">
        <v>163</v>
      </c>
      <c r="E63" s="244">
        <v>7502327992783</v>
      </c>
      <c r="F63" s="244" t="s">
        <v>273</v>
      </c>
      <c r="G63" s="245" t="s">
        <v>274</v>
      </c>
      <c r="H63" s="508" t="s">
        <v>60</v>
      </c>
      <c r="I63" s="247" t="s">
        <v>95</v>
      </c>
      <c r="J63" s="248" t="s">
        <v>62</v>
      </c>
      <c r="K63" s="249" t="s">
        <v>63</v>
      </c>
      <c r="L63" s="245">
        <v>1</v>
      </c>
      <c r="M63" s="277"/>
      <c r="N63" s="251" t="s">
        <v>74</v>
      </c>
      <c r="O63" s="251">
        <v>20000</v>
      </c>
      <c r="P63" s="252">
        <v>16.88</v>
      </c>
      <c r="Q63" s="252"/>
      <c r="R63" s="252"/>
      <c r="S63" s="252">
        <v>22.34</v>
      </c>
      <c r="T63" s="253" t="s">
        <v>275</v>
      </c>
      <c r="U63" s="254">
        <v>79</v>
      </c>
      <c r="V63" s="252">
        <f>(U63/1.16)*0.6</f>
        <v>40.862068965517246</v>
      </c>
      <c r="W63" s="255">
        <f>+S63/V63</f>
        <v>0.54671729957805903</v>
      </c>
      <c r="X63" s="256">
        <f>1-(S63/V63)</f>
        <v>0.45328270042194097</v>
      </c>
      <c r="Y63" s="257">
        <v>0.4</v>
      </c>
      <c r="Z63" s="248"/>
      <c r="AA63" s="251"/>
      <c r="AB63" s="249"/>
      <c r="AC63" s="249" t="s">
        <v>267</v>
      </c>
      <c r="AD63" s="244" t="s">
        <v>268</v>
      </c>
      <c r="BA63" s="248">
        <v>1</v>
      </c>
      <c r="BB63" s="265"/>
      <c r="BC63" s="265"/>
      <c r="BD63" s="265"/>
      <c r="BE63" s="265"/>
      <c r="BF63" s="265"/>
      <c r="BG63" s="265"/>
      <c r="BH63" s="265"/>
      <c r="BI63" s="265"/>
      <c r="BJ63" s="244">
        <v>9</v>
      </c>
      <c r="BK63" s="244">
        <f>SUM(BA63:BI63)</f>
        <v>1</v>
      </c>
      <c r="BL63" s="258">
        <f>+BK63/BJ63</f>
        <v>0.1111111111111111</v>
      </c>
      <c r="BM63" s="259"/>
      <c r="BN63" s="259"/>
      <c r="BO63" s="259"/>
      <c r="BP63" s="259"/>
      <c r="BQ63" s="259"/>
      <c r="BR63" s="259"/>
      <c r="BS63" s="260" t="s">
        <v>269</v>
      </c>
      <c r="BT63" s="283" t="str">
        <f>+AD63</f>
        <v>Diciembre</v>
      </c>
      <c r="BU63" s="283"/>
      <c r="BV63" s="260" t="s">
        <v>77</v>
      </c>
      <c r="CJ63" s="260"/>
      <c r="CK63" s="260"/>
      <c r="CL63" s="260"/>
      <c r="CM63" s="260"/>
      <c r="CN63" s="260"/>
      <c r="CO63" s="260"/>
      <c r="CP63" s="261"/>
      <c r="CQ63" s="261"/>
      <c r="CR63" s="262"/>
      <c r="CS63" s="262"/>
      <c r="CT63" s="262"/>
      <c r="CU63" s="262"/>
      <c r="CV63" s="262"/>
      <c r="CW63" s="262"/>
      <c r="CX63" s="262"/>
      <c r="CY63" s="262"/>
      <c r="CZ63" s="262"/>
      <c r="DA63" s="262"/>
    </row>
    <row r="64" spans="1:105">
      <c r="BL64" s="514"/>
    </row>
  </sheetData>
  <mergeCells count="1">
    <mergeCell ref="CJ14:DA14"/>
  </mergeCells>
  <conditionalFormatting sqref="W17:W63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14" zoomScale="55" zoomScaleNormal="55" workbookViewId="0">
      <pane xSplit="8" topLeftCell="AE1" activePane="topRight" state="frozen"/>
      <selection activeCell="A17" sqref="A17"/>
      <selection pane="topRight" activeCell="BJ17" sqref="BJ17:BJ107"/>
    </sheetView>
  </sheetViews>
  <sheetFormatPr baseColWidth="10" defaultColWidth="11.54296875" defaultRowHeight="15.5"/>
  <cols>
    <col min="1" max="1" width="11" style="300" customWidth="1"/>
    <col min="2" max="2" width="16.7265625" style="300" customWidth="1"/>
    <col min="3" max="3" width="13.81640625" style="300" customWidth="1"/>
    <col min="4" max="4" width="14.81640625" style="300" customWidth="1"/>
    <col min="5" max="5" width="16.26953125" style="300" bestFit="1" customWidth="1"/>
    <col min="6" max="6" width="15.26953125" style="300" customWidth="1"/>
    <col min="7" max="7" width="35" style="300" customWidth="1"/>
    <col min="8" max="8" width="23.7265625" style="300" hidden="1" customWidth="1"/>
    <col min="9" max="9" width="29.453125" style="300" customWidth="1"/>
    <col min="10" max="10" width="16.81640625" style="300" customWidth="1"/>
    <col min="11" max="13" width="13.453125" style="300" customWidth="1"/>
    <col min="14" max="14" width="15.54296875" style="300" hidden="1" customWidth="1"/>
    <col min="15" max="15" width="22.81640625" style="300" bestFit="1" customWidth="1"/>
    <col min="16" max="16" width="12.54296875" style="381" hidden="1" customWidth="1"/>
    <col min="17" max="17" width="10" style="300" hidden="1" customWidth="1"/>
    <col min="18" max="18" width="12.453125" style="300" hidden="1" customWidth="1"/>
    <col min="19" max="19" width="15.7265625" style="300" hidden="1" customWidth="1"/>
    <col min="20" max="20" width="10.54296875" style="300" hidden="1" customWidth="1"/>
    <col min="21" max="21" width="18.7265625" style="300" hidden="1" customWidth="1"/>
    <col min="22" max="22" width="16" style="300" hidden="1" customWidth="1"/>
    <col min="23" max="23" width="16.26953125" style="300" hidden="1" customWidth="1"/>
    <col min="24" max="28" width="14" style="300" hidden="1" customWidth="1"/>
    <col min="29" max="30" width="14" style="300" customWidth="1"/>
    <col min="31" max="31" width="7" style="300" bestFit="1" customWidth="1"/>
    <col min="32" max="32" width="8.81640625" style="300" bestFit="1" customWidth="1"/>
    <col min="33" max="33" width="59.26953125" style="332" bestFit="1" customWidth="1"/>
    <col min="34" max="34" width="17" style="300" customWidth="1"/>
    <col min="35" max="36" width="13" style="300" customWidth="1"/>
    <col min="37" max="37" width="10.1796875" style="300" customWidth="1"/>
    <col min="38" max="42" width="20.54296875" style="300" hidden="1" customWidth="1"/>
    <col min="43" max="52" width="3.1796875" style="300" customWidth="1"/>
    <col min="53" max="60" width="15.7265625" style="300" customWidth="1"/>
    <col min="61" max="61" width="15.7265625" style="380" customWidth="1"/>
    <col min="62" max="64" width="15.7265625" style="300" customWidth="1"/>
    <col min="65" max="69" width="3.26953125" style="291" customWidth="1"/>
    <col min="70" max="72" width="20.7265625" style="350" customWidth="1"/>
    <col min="73" max="87" width="11.54296875" style="300" customWidth="1"/>
    <col min="88" max="89" width="35.453125" style="332" customWidth="1"/>
    <col min="90" max="90" width="40.453125" style="332" customWidth="1"/>
    <col min="91" max="93" width="35.453125" style="332" customWidth="1"/>
    <col min="94" max="105" width="35.453125" style="300" customWidth="1"/>
    <col min="106" max="16383" width="11.54296875" style="300"/>
    <col min="16384" max="16384" width="11.54296875" style="300" bestFit="1" customWidth="1"/>
  </cols>
  <sheetData>
    <row r="1" spans="1:105" s="291" customFormat="1">
      <c r="A1" s="333"/>
      <c r="B1" s="334" t="s">
        <v>13</v>
      </c>
      <c r="C1" s="335" t="s">
        <v>276</v>
      </c>
      <c r="D1" s="286"/>
      <c r="E1" s="288"/>
      <c r="F1" s="286"/>
      <c r="G1" s="286"/>
      <c r="H1" s="289"/>
      <c r="I1" s="286"/>
      <c r="J1" s="286"/>
      <c r="K1" s="286"/>
      <c r="L1" s="286"/>
      <c r="M1" s="290"/>
      <c r="N1" s="290"/>
      <c r="O1" s="286"/>
      <c r="P1" s="336"/>
      <c r="Q1" s="290"/>
      <c r="R1" s="290"/>
      <c r="S1" s="290"/>
      <c r="T1" s="290"/>
      <c r="U1" s="290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L1" s="337"/>
      <c r="AM1" s="338"/>
      <c r="AN1" s="338"/>
      <c r="AO1" s="338"/>
      <c r="AP1" s="338"/>
      <c r="BA1" s="337"/>
      <c r="BB1" s="338"/>
      <c r="BC1" s="338"/>
      <c r="BD1" s="338"/>
      <c r="BE1" s="338"/>
      <c r="BF1" s="338"/>
      <c r="BG1" s="338"/>
      <c r="BH1" s="338"/>
      <c r="BI1" s="339"/>
      <c r="BJ1" s="338"/>
      <c r="BK1" s="338"/>
      <c r="BL1" s="338"/>
      <c r="BM1" s="338"/>
      <c r="BN1" s="338"/>
      <c r="BO1" s="338"/>
      <c r="BP1" s="338"/>
      <c r="BQ1" s="338"/>
      <c r="BR1" s="340"/>
      <c r="BS1" s="340"/>
      <c r="BT1" s="340"/>
      <c r="CJ1" s="286"/>
      <c r="CK1" s="286"/>
      <c r="CL1" s="286"/>
      <c r="CM1" s="286"/>
      <c r="CN1" s="286"/>
      <c r="CO1" s="286"/>
      <c r="CP1" s="286"/>
      <c r="CQ1" s="286"/>
      <c r="CR1" s="286"/>
      <c r="CS1" s="286"/>
      <c r="CT1" s="286"/>
      <c r="CU1" s="286"/>
      <c r="CV1" s="286"/>
      <c r="CW1" s="286"/>
      <c r="CX1" s="286"/>
      <c r="CY1" s="286"/>
      <c r="CZ1" s="286"/>
      <c r="DA1" s="286"/>
    </row>
    <row r="2" spans="1:105" s="291" customFormat="1" ht="16">
      <c r="A2" s="515" t="s">
        <v>277</v>
      </c>
      <c r="B2" s="515"/>
      <c r="C2" s="341"/>
      <c r="D2" s="286"/>
      <c r="E2" s="288"/>
      <c r="F2" s="286"/>
      <c r="G2" s="286"/>
      <c r="H2" s="289"/>
      <c r="I2" s="286"/>
      <c r="J2" s="286"/>
      <c r="K2" s="286"/>
      <c r="L2" s="286"/>
      <c r="M2" s="290"/>
      <c r="N2" s="290"/>
      <c r="O2" s="286"/>
      <c r="P2" s="336"/>
      <c r="Q2" s="290"/>
      <c r="R2" s="290"/>
      <c r="S2" s="290"/>
      <c r="T2" s="290"/>
      <c r="U2" s="290"/>
      <c r="V2" s="287"/>
      <c r="W2" s="287"/>
      <c r="X2" s="287"/>
      <c r="Y2" s="287"/>
      <c r="Z2" s="287"/>
      <c r="AA2" s="287"/>
      <c r="AB2" s="287"/>
      <c r="AC2" s="287"/>
      <c r="AD2" s="287"/>
      <c r="AE2" s="287"/>
      <c r="AF2" s="287"/>
      <c r="AG2" s="287"/>
      <c r="AH2" s="287"/>
      <c r="AI2" s="287"/>
      <c r="AJ2" s="287"/>
      <c r="AL2" s="337"/>
      <c r="AM2" s="338"/>
      <c r="AN2" s="338"/>
      <c r="AO2" s="338"/>
      <c r="AP2" s="338"/>
      <c r="BA2" s="337"/>
      <c r="BB2" s="338"/>
      <c r="BC2" s="338"/>
      <c r="BD2" s="338"/>
      <c r="BE2" s="338"/>
      <c r="BF2" s="338"/>
      <c r="BG2" s="338"/>
      <c r="BH2" s="338"/>
      <c r="BI2" s="339"/>
      <c r="BJ2" s="338"/>
      <c r="BK2" s="338"/>
      <c r="BL2" s="338"/>
      <c r="BM2" s="338"/>
      <c r="BN2" s="338"/>
      <c r="BO2" s="338"/>
      <c r="BP2" s="338"/>
      <c r="BQ2" s="338"/>
      <c r="BR2" s="340"/>
      <c r="BS2" s="340"/>
      <c r="BT2" s="340"/>
      <c r="CJ2" s="286"/>
      <c r="CK2" s="286"/>
      <c r="CL2" s="286"/>
      <c r="CM2" s="286"/>
      <c r="CN2" s="286"/>
      <c r="CO2" s="286"/>
      <c r="CP2" s="286"/>
      <c r="CQ2" s="286"/>
      <c r="CR2" s="286"/>
      <c r="CS2" s="286"/>
      <c r="CT2" s="286"/>
      <c r="CU2" s="286"/>
      <c r="CV2" s="286"/>
      <c r="CW2" s="286"/>
      <c r="CX2" s="286"/>
      <c r="CY2" s="286"/>
      <c r="CZ2" s="286"/>
      <c r="DA2" s="286"/>
    </row>
    <row r="3" spans="1:105" s="291" customFormat="1" ht="16">
      <c r="A3" s="342" t="s">
        <v>278</v>
      </c>
      <c r="B3" s="343">
        <v>46113</v>
      </c>
      <c r="C3" s="344">
        <v>46133</v>
      </c>
      <c r="D3" s="286"/>
      <c r="E3" s="288"/>
      <c r="F3" s="286"/>
      <c r="G3" s="286"/>
      <c r="H3" s="289"/>
      <c r="I3" s="286"/>
      <c r="J3" s="286"/>
      <c r="K3" s="286"/>
      <c r="L3" s="286"/>
      <c r="M3" s="290"/>
      <c r="N3" s="290"/>
      <c r="O3" s="286"/>
      <c r="P3" s="336"/>
      <c r="Q3" s="290"/>
      <c r="R3" s="290"/>
      <c r="S3" s="290"/>
      <c r="T3" s="290"/>
      <c r="U3" s="290"/>
      <c r="V3" s="287"/>
      <c r="W3" s="287"/>
      <c r="X3" s="287"/>
      <c r="Y3" s="287"/>
      <c r="Z3" s="287"/>
      <c r="AA3" s="287"/>
      <c r="AB3" s="287"/>
      <c r="AC3" s="287"/>
      <c r="AD3" s="287"/>
      <c r="AE3" s="287"/>
      <c r="AF3" s="287"/>
      <c r="AG3" s="287"/>
      <c r="AH3" s="287"/>
      <c r="AI3" s="287"/>
      <c r="AJ3" s="287"/>
      <c r="AL3" s="337"/>
      <c r="AM3" s="338"/>
      <c r="AN3" s="338"/>
      <c r="AO3" s="338"/>
      <c r="AP3" s="338"/>
      <c r="BA3" s="337"/>
      <c r="BB3" s="338"/>
      <c r="BC3" s="338"/>
      <c r="BD3" s="338"/>
      <c r="BE3" s="338"/>
      <c r="BF3" s="338"/>
      <c r="BG3" s="338"/>
      <c r="BH3" s="338"/>
      <c r="BI3" s="339"/>
      <c r="BJ3" s="338"/>
      <c r="BK3" s="338"/>
      <c r="BL3" s="338"/>
      <c r="BM3" s="338"/>
      <c r="BN3" s="338"/>
      <c r="BO3" s="338"/>
      <c r="BP3" s="338"/>
      <c r="BQ3" s="338"/>
      <c r="BR3" s="340"/>
      <c r="BS3" s="340"/>
      <c r="BT3" s="340"/>
      <c r="CJ3" s="286"/>
      <c r="CK3" s="286"/>
      <c r="CL3" s="286"/>
      <c r="CM3" s="286"/>
      <c r="CN3" s="286"/>
      <c r="CO3" s="286"/>
      <c r="CP3" s="286"/>
      <c r="CQ3" s="286"/>
      <c r="CR3" s="286"/>
      <c r="CS3" s="286"/>
      <c r="CT3" s="286"/>
      <c r="CU3" s="286"/>
      <c r="CV3" s="286"/>
      <c r="CW3" s="286"/>
      <c r="CX3" s="286"/>
      <c r="CY3" s="286"/>
      <c r="CZ3" s="286"/>
      <c r="DA3" s="286"/>
    </row>
    <row r="4" spans="1:105" s="291" customFormat="1" ht="16">
      <c r="A4" s="342" t="s">
        <v>279</v>
      </c>
      <c r="B4" s="343">
        <f>+B3+2</f>
        <v>46115</v>
      </c>
      <c r="C4" s="345">
        <f>+C3+2</f>
        <v>46135</v>
      </c>
      <c r="D4" s="286"/>
      <c r="E4" s="288"/>
      <c r="F4" s="286"/>
      <c r="G4" s="286"/>
      <c r="H4" s="289"/>
      <c r="I4" s="286"/>
      <c r="J4" s="286"/>
      <c r="K4" s="286"/>
      <c r="L4" s="286"/>
      <c r="M4" s="290"/>
      <c r="N4" s="290"/>
      <c r="O4" s="286"/>
      <c r="P4" s="336"/>
      <c r="Q4" s="290"/>
      <c r="R4" s="290"/>
      <c r="S4" s="290"/>
      <c r="T4" s="290"/>
      <c r="U4" s="290"/>
      <c r="V4" s="287"/>
      <c r="W4" s="287"/>
      <c r="X4" s="287"/>
      <c r="Y4" s="287"/>
      <c r="Z4" s="287"/>
      <c r="AA4" s="287"/>
      <c r="AB4" s="287"/>
      <c r="AC4" s="287"/>
      <c r="AD4" s="287"/>
      <c r="AE4" s="287"/>
      <c r="AF4" s="287"/>
      <c r="AG4" s="287"/>
      <c r="AH4" s="287"/>
      <c r="AI4" s="287"/>
      <c r="AJ4" s="287"/>
      <c r="AL4" s="337"/>
      <c r="AM4" s="338"/>
      <c r="AN4" s="338"/>
      <c r="AO4" s="338"/>
      <c r="AP4" s="338"/>
      <c r="BA4" s="337"/>
      <c r="BB4" s="338"/>
      <c r="BC4" s="338"/>
      <c r="BD4" s="338"/>
      <c r="BE4" s="338"/>
      <c r="BF4" s="338"/>
      <c r="BG4" s="338"/>
      <c r="BH4" s="338"/>
      <c r="BI4" s="339"/>
      <c r="BJ4" s="338"/>
      <c r="BK4" s="338"/>
      <c r="BL4" s="338"/>
      <c r="BM4" s="338"/>
      <c r="BN4" s="338"/>
      <c r="BO4" s="338"/>
      <c r="BP4" s="338"/>
      <c r="BQ4" s="338"/>
      <c r="BR4" s="340"/>
      <c r="BS4" s="340"/>
      <c r="BT4" s="340"/>
      <c r="CJ4" s="286"/>
      <c r="CK4" s="286"/>
      <c r="CL4" s="286"/>
      <c r="CM4" s="286"/>
      <c r="CN4" s="286"/>
      <c r="CO4" s="286"/>
      <c r="CP4" s="286"/>
      <c r="CQ4" s="286"/>
      <c r="CR4" s="286"/>
      <c r="CS4" s="286"/>
      <c r="CT4" s="286"/>
      <c r="CU4" s="286"/>
      <c r="CV4" s="286"/>
      <c r="CW4" s="286"/>
      <c r="CX4" s="286"/>
      <c r="CY4" s="286"/>
      <c r="CZ4" s="286"/>
      <c r="DA4" s="286"/>
    </row>
    <row r="5" spans="1:105" s="291" customFormat="1" ht="16">
      <c r="A5" s="342" t="s">
        <v>280</v>
      </c>
      <c r="B5" s="343">
        <f>+B4+7</f>
        <v>46122</v>
      </c>
      <c r="C5" s="345">
        <f>+C4+7</f>
        <v>46142</v>
      </c>
      <c r="D5" s="286"/>
      <c r="E5" s="288"/>
      <c r="F5" s="286"/>
      <c r="G5" s="286"/>
      <c r="H5" s="289"/>
      <c r="I5" s="286"/>
      <c r="J5" s="286"/>
      <c r="K5" s="286"/>
      <c r="L5" s="286"/>
      <c r="M5" s="290"/>
      <c r="N5" s="290"/>
      <c r="O5" s="286"/>
      <c r="P5" s="336"/>
      <c r="Q5" s="290"/>
      <c r="R5" s="290"/>
      <c r="S5" s="290"/>
      <c r="T5" s="290"/>
      <c r="U5" s="290"/>
      <c r="V5" s="287"/>
      <c r="W5" s="287"/>
      <c r="X5" s="287"/>
      <c r="Y5" s="287"/>
      <c r="Z5" s="287"/>
      <c r="AA5" s="287"/>
      <c r="AB5" s="287"/>
      <c r="AC5" s="287"/>
      <c r="AD5" s="287"/>
      <c r="AE5" s="287"/>
      <c r="AF5" s="287"/>
      <c r="AG5" s="287"/>
      <c r="AH5" s="287"/>
      <c r="AI5" s="287"/>
      <c r="AJ5" s="287"/>
      <c r="AL5" s="337"/>
      <c r="AM5" s="338"/>
      <c r="AN5" s="338"/>
      <c r="AO5" s="338"/>
      <c r="AP5" s="338"/>
      <c r="BA5" s="337"/>
      <c r="BB5" s="338"/>
      <c r="BC5" s="338"/>
      <c r="BD5" s="338"/>
      <c r="BE5" s="338"/>
      <c r="BF5" s="338"/>
      <c r="BG5" s="338"/>
      <c r="BH5" s="338"/>
      <c r="BI5" s="339"/>
      <c r="BJ5" s="338"/>
      <c r="BK5" s="338"/>
      <c r="BL5" s="338"/>
      <c r="BM5" s="338"/>
      <c r="BN5" s="338"/>
      <c r="BO5" s="338"/>
      <c r="BP5" s="338"/>
      <c r="BQ5" s="338"/>
      <c r="BR5" s="340"/>
      <c r="BS5" s="340"/>
      <c r="BT5" s="340"/>
      <c r="CJ5" s="286"/>
      <c r="CK5" s="286"/>
      <c r="CL5" s="286"/>
      <c r="CM5" s="286"/>
      <c r="CN5" s="286"/>
      <c r="CO5" s="286"/>
      <c r="CP5" s="286"/>
      <c r="CQ5" s="286"/>
      <c r="CR5" s="286"/>
      <c r="CS5" s="286"/>
      <c r="CT5" s="286"/>
      <c r="CU5" s="286"/>
      <c r="CV5" s="286"/>
      <c r="CW5" s="286"/>
      <c r="CX5" s="286"/>
      <c r="CY5" s="286"/>
      <c r="CZ5" s="286"/>
      <c r="DA5" s="286"/>
    </row>
    <row r="6" spans="1:105" s="291" customFormat="1" ht="16">
      <c r="A6" s="342" t="s">
        <v>281</v>
      </c>
      <c r="B6" s="343">
        <f>+B5+5</f>
        <v>46127</v>
      </c>
      <c r="C6" s="345">
        <f>+C5+5</f>
        <v>46147</v>
      </c>
      <c r="D6" s="286"/>
      <c r="E6" s="288"/>
      <c r="F6" s="286"/>
      <c r="G6" s="286"/>
      <c r="H6" s="289"/>
      <c r="I6" s="286"/>
      <c r="J6" s="286"/>
      <c r="K6" s="286"/>
      <c r="L6" s="286"/>
      <c r="M6" s="290"/>
      <c r="N6" s="290"/>
      <c r="O6" s="286"/>
      <c r="P6" s="336"/>
      <c r="Q6" s="290"/>
      <c r="R6" s="290"/>
      <c r="S6" s="290"/>
      <c r="T6" s="290"/>
      <c r="U6" s="290"/>
      <c r="V6" s="287"/>
      <c r="W6" s="287"/>
      <c r="X6" s="287"/>
      <c r="Y6" s="287"/>
      <c r="Z6" s="287"/>
      <c r="AA6" s="287"/>
      <c r="AB6" s="287"/>
      <c r="AC6" s="287"/>
      <c r="AD6" s="287"/>
      <c r="AE6" s="287"/>
      <c r="AF6" s="287"/>
      <c r="AG6" s="287"/>
      <c r="AH6" s="287"/>
      <c r="AI6" s="287"/>
      <c r="AJ6" s="287"/>
      <c r="AL6" s="337"/>
      <c r="AM6" s="338"/>
      <c r="AN6" s="338"/>
      <c r="AO6" s="338"/>
      <c r="AP6" s="338"/>
      <c r="BA6" s="337"/>
      <c r="BB6" s="338"/>
      <c r="BC6" s="338"/>
      <c r="BD6" s="338"/>
      <c r="BE6" s="338"/>
      <c r="BF6" s="338"/>
      <c r="BG6" s="338"/>
      <c r="BH6" s="338"/>
      <c r="BI6" s="339"/>
      <c r="BJ6" s="338"/>
      <c r="BK6" s="338"/>
      <c r="BL6" s="338"/>
      <c r="BM6" s="338"/>
      <c r="BN6" s="338"/>
      <c r="BO6" s="338"/>
      <c r="BP6" s="338"/>
      <c r="BQ6" s="338"/>
      <c r="BR6" s="340"/>
      <c r="BS6" s="340"/>
      <c r="BT6" s="340"/>
      <c r="CJ6" s="286"/>
      <c r="CK6" s="286"/>
      <c r="CL6" s="286"/>
      <c r="CM6" s="286"/>
      <c r="CN6" s="286"/>
      <c r="CO6" s="286"/>
      <c r="CP6" s="286"/>
      <c r="CQ6" s="286"/>
      <c r="CR6" s="286"/>
      <c r="CS6" s="286"/>
      <c r="CT6" s="286"/>
      <c r="CU6" s="286"/>
      <c r="CV6" s="286"/>
      <c r="CW6" s="286"/>
      <c r="CX6" s="286"/>
      <c r="CY6" s="286"/>
      <c r="CZ6" s="286"/>
      <c r="DA6" s="286"/>
    </row>
    <row r="7" spans="1:105" s="291" customFormat="1" ht="16">
      <c r="A7" s="342" t="s">
        <v>282</v>
      </c>
      <c r="B7" s="343">
        <f>+B6+2</f>
        <v>46129</v>
      </c>
      <c r="C7" s="345">
        <f>+C6+2</f>
        <v>46149</v>
      </c>
      <c r="D7" s="286"/>
      <c r="E7" s="288"/>
      <c r="F7" s="286"/>
      <c r="G7" s="286"/>
      <c r="H7" s="289"/>
      <c r="I7" s="286"/>
      <c r="J7" s="286"/>
      <c r="K7" s="286"/>
      <c r="L7" s="286"/>
      <c r="M7" s="290"/>
      <c r="N7" s="290"/>
      <c r="O7" s="286"/>
      <c r="P7" s="336"/>
      <c r="Q7" s="290"/>
      <c r="R7" s="290"/>
      <c r="S7" s="290"/>
      <c r="T7" s="290"/>
      <c r="U7" s="290"/>
      <c r="V7" s="287"/>
      <c r="W7" s="287"/>
      <c r="X7" s="287"/>
      <c r="Y7" s="287"/>
      <c r="Z7" s="287"/>
      <c r="AA7" s="287"/>
      <c r="AB7" s="287"/>
      <c r="AC7" s="287"/>
      <c r="AD7" s="287"/>
      <c r="AE7" s="287"/>
      <c r="AF7" s="287"/>
      <c r="AG7" s="287"/>
      <c r="AH7" s="287"/>
      <c r="AI7" s="287"/>
      <c r="AJ7" s="287"/>
      <c r="AL7" s="337"/>
      <c r="AM7" s="338"/>
      <c r="AN7" s="338"/>
      <c r="AO7" s="338"/>
      <c r="AP7" s="338"/>
      <c r="BA7" s="337"/>
      <c r="BB7" s="338"/>
      <c r="BC7" s="338"/>
      <c r="BD7" s="338"/>
      <c r="BE7" s="338"/>
      <c r="BF7" s="338"/>
      <c r="BG7" s="338"/>
      <c r="BH7" s="338"/>
      <c r="BI7" s="339"/>
      <c r="BJ7" s="338"/>
      <c r="BK7" s="338"/>
      <c r="BL7" s="338"/>
      <c r="BM7" s="338"/>
      <c r="BN7" s="338"/>
      <c r="BO7" s="338"/>
      <c r="BP7" s="338"/>
      <c r="BQ7" s="338"/>
      <c r="BR7" s="340"/>
      <c r="BS7" s="340"/>
      <c r="BT7" s="340"/>
      <c r="CJ7" s="286"/>
      <c r="CK7" s="286"/>
      <c r="CL7" s="286"/>
      <c r="CM7" s="286"/>
      <c r="CN7" s="286"/>
      <c r="CO7" s="286"/>
      <c r="CP7" s="286"/>
      <c r="CQ7" s="286"/>
      <c r="CR7" s="286"/>
      <c r="CS7" s="286"/>
      <c r="CT7" s="286"/>
      <c r="CU7" s="286"/>
      <c r="CV7" s="286"/>
      <c r="CW7" s="286"/>
      <c r="CX7" s="286"/>
      <c r="CY7" s="286"/>
      <c r="CZ7" s="286"/>
      <c r="DA7" s="286"/>
    </row>
    <row r="8" spans="1:105" s="291" customFormat="1" ht="16">
      <c r="A8" s="342" t="s">
        <v>283</v>
      </c>
      <c r="B8" s="343">
        <f>+B7+45</f>
        <v>46174</v>
      </c>
      <c r="C8" s="345">
        <f>+C7+45</f>
        <v>46194</v>
      </c>
      <c r="D8" s="286"/>
      <c r="E8" s="288"/>
      <c r="F8" s="286"/>
      <c r="G8" s="286"/>
      <c r="H8" s="289"/>
      <c r="I8" s="286"/>
      <c r="J8" s="286"/>
      <c r="K8" s="286"/>
      <c r="L8" s="286"/>
      <c r="M8" s="290"/>
      <c r="N8" s="290"/>
      <c r="O8" s="286"/>
      <c r="P8" s="336"/>
      <c r="Q8" s="290"/>
      <c r="R8" s="290"/>
      <c r="S8" s="290"/>
      <c r="T8" s="290"/>
      <c r="U8" s="290"/>
      <c r="V8" s="287"/>
      <c r="W8" s="287"/>
      <c r="X8" s="287"/>
      <c r="Y8" s="287"/>
      <c r="Z8" s="287"/>
      <c r="AA8" s="287"/>
      <c r="AB8" s="287"/>
      <c r="AC8" s="287"/>
      <c r="AD8" s="287"/>
      <c r="AE8" s="287"/>
      <c r="AF8" s="287"/>
      <c r="AG8" s="287"/>
      <c r="AH8" s="287"/>
      <c r="AI8" s="287"/>
      <c r="AJ8" s="287"/>
      <c r="AL8" s="337"/>
      <c r="AM8" s="338"/>
      <c r="AN8" s="338"/>
      <c r="AO8" s="338"/>
      <c r="AP8" s="338"/>
      <c r="BA8" s="337"/>
      <c r="BB8" s="338"/>
      <c r="BC8" s="338"/>
      <c r="BD8" s="338"/>
      <c r="BE8" s="338"/>
      <c r="BF8" s="338"/>
      <c r="BG8" s="338"/>
      <c r="BH8" s="338"/>
      <c r="BI8" s="339"/>
      <c r="BJ8" s="338"/>
      <c r="BK8" s="338"/>
      <c r="BL8" s="338"/>
      <c r="BM8" s="338"/>
      <c r="BN8" s="338"/>
      <c r="BO8" s="338"/>
      <c r="BP8" s="338"/>
      <c r="BQ8" s="338"/>
      <c r="BR8" s="340"/>
      <c r="BS8" s="340"/>
      <c r="BT8" s="340"/>
      <c r="CJ8" s="286"/>
      <c r="CK8" s="286"/>
      <c r="CL8" s="286"/>
      <c r="CM8" s="286"/>
      <c r="CN8" s="286"/>
      <c r="CO8" s="286"/>
      <c r="CP8" s="286"/>
      <c r="CQ8" s="286"/>
      <c r="CR8" s="286"/>
      <c r="CS8" s="286"/>
      <c r="CT8" s="286"/>
      <c r="CU8" s="286"/>
      <c r="CV8" s="286"/>
      <c r="CW8" s="286"/>
      <c r="CX8" s="286"/>
      <c r="CY8" s="286"/>
      <c r="CZ8" s="286"/>
      <c r="DA8" s="286"/>
    </row>
    <row r="9" spans="1:105" s="291" customFormat="1" ht="16">
      <c r="A9" s="342" t="s">
        <v>284</v>
      </c>
      <c r="B9" s="343">
        <f>+B7+40</f>
        <v>46169</v>
      </c>
      <c r="C9" s="345">
        <f>+C7+40</f>
        <v>46189</v>
      </c>
      <c r="D9" s="286"/>
      <c r="E9" s="288"/>
      <c r="F9" s="286"/>
      <c r="G9" s="286"/>
      <c r="H9" s="289"/>
      <c r="I9" s="286"/>
      <c r="J9" s="286"/>
      <c r="K9" s="286"/>
      <c r="L9" s="286"/>
      <c r="M9" s="290"/>
      <c r="N9" s="290"/>
      <c r="O9" s="286"/>
      <c r="P9" s="336"/>
      <c r="Q9" s="290"/>
      <c r="R9" s="290"/>
      <c r="S9" s="290"/>
      <c r="T9" s="290"/>
      <c r="U9" s="290"/>
      <c r="V9" s="287"/>
      <c r="W9" s="287"/>
      <c r="X9" s="287"/>
      <c r="Y9" s="287"/>
      <c r="Z9" s="287"/>
      <c r="AA9" s="287"/>
      <c r="AB9" s="287"/>
      <c r="AC9" s="287"/>
      <c r="AD9" s="287"/>
      <c r="AE9" s="287"/>
      <c r="AF9" s="287"/>
      <c r="AG9" s="287"/>
      <c r="AH9" s="287"/>
      <c r="AI9" s="287"/>
      <c r="AJ9" s="287"/>
      <c r="AL9" s="337"/>
      <c r="AM9" s="338"/>
      <c r="AN9" s="338"/>
      <c r="AO9" s="338"/>
      <c r="AP9" s="338"/>
      <c r="BA9" s="337"/>
      <c r="BB9" s="338"/>
      <c r="BC9" s="338"/>
      <c r="BD9" s="338"/>
      <c r="BE9" s="338"/>
      <c r="BF9" s="338"/>
      <c r="BG9" s="338"/>
      <c r="BH9" s="338"/>
      <c r="BI9" s="339"/>
      <c r="BJ9" s="338"/>
      <c r="BK9" s="338"/>
      <c r="BL9" s="338"/>
      <c r="BM9" s="338"/>
      <c r="BN9" s="338"/>
      <c r="BO9" s="338"/>
      <c r="BP9" s="338"/>
      <c r="BQ9" s="338"/>
      <c r="BR9" s="340"/>
      <c r="BS9" s="340"/>
      <c r="BT9" s="340"/>
      <c r="CJ9" s="286"/>
      <c r="CK9" s="286"/>
      <c r="CL9" s="286"/>
      <c r="CM9" s="286"/>
      <c r="CN9" s="286"/>
      <c r="CO9" s="286"/>
      <c r="CP9" s="286"/>
      <c r="CQ9" s="286"/>
      <c r="CR9" s="286"/>
      <c r="CS9" s="286"/>
      <c r="CT9" s="286"/>
      <c r="CU9" s="286"/>
      <c r="CV9" s="286"/>
      <c r="CW9" s="286"/>
      <c r="CX9" s="286"/>
      <c r="CY9" s="286"/>
      <c r="CZ9" s="286"/>
      <c r="DA9" s="286"/>
    </row>
    <row r="10" spans="1:105" s="291" customFormat="1" ht="16">
      <c r="A10" s="342" t="s">
        <v>285</v>
      </c>
      <c r="B10" s="343">
        <f>+B9+65</f>
        <v>46234</v>
      </c>
      <c r="C10" s="345">
        <f>+C9+65</f>
        <v>46254</v>
      </c>
      <c r="D10" s="286"/>
      <c r="E10" s="288"/>
      <c r="F10" s="286"/>
      <c r="G10" s="286"/>
      <c r="H10" s="289"/>
      <c r="I10" s="286"/>
      <c r="J10" s="286"/>
      <c r="K10" s="286"/>
      <c r="L10" s="286"/>
      <c r="M10" s="290"/>
      <c r="N10" s="290"/>
      <c r="O10" s="286"/>
      <c r="P10" s="336"/>
      <c r="Q10" s="290"/>
      <c r="R10" s="290"/>
      <c r="S10" s="290"/>
      <c r="T10" s="290"/>
      <c r="U10" s="290"/>
      <c r="V10" s="287"/>
      <c r="W10" s="287"/>
      <c r="X10" s="287"/>
      <c r="Y10" s="287"/>
      <c r="Z10" s="287"/>
      <c r="AA10" s="287"/>
      <c r="AB10" s="287"/>
      <c r="AC10" s="287"/>
      <c r="AD10" s="287"/>
      <c r="AE10" s="287"/>
      <c r="AF10" s="287"/>
      <c r="AG10" s="287"/>
      <c r="AH10" s="287"/>
      <c r="AI10" s="287"/>
      <c r="AJ10" s="287"/>
      <c r="AL10" s="337"/>
      <c r="AM10" s="338"/>
      <c r="AN10" s="338"/>
      <c r="AO10" s="338"/>
      <c r="AP10" s="338"/>
      <c r="BA10" s="337"/>
      <c r="BB10" s="338"/>
      <c r="BC10" s="338"/>
      <c r="BD10" s="338"/>
      <c r="BE10" s="338"/>
      <c r="BF10" s="338"/>
      <c r="BG10" s="338"/>
      <c r="BH10" s="338"/>
      <c r="BI10" s="339"/>
      <c r="BJ10" s="338"/>
      <c r="BK10" s="338"/>
      <c r="BL10" s="338"/>
      <c r="BM10" s="338"/>
      <c r="BN10" s="338"/>
      <c r="BO10" s="338"/>
      <c r="BP10" s="338"/>
      <c r="BQ10" s="338"/>
      <c r="BR10" s="340"/>
      <c r="BS10" s="340"/>
      <c r="BT10" s="340"/>
      <c r="CJ10" s="286"/>
      <c r="CK10" s="286"/>
      <c r="CL10" s="286"/>
      <c r="CM10" s="286"/>
      <c r="CN10" s="286"/>
      <c r="CO10" s="286"/>
      <c r="CP10" s="286"/>
      <c r="CQ10" s="286"/>
      <c r="CR10" s="286"/>
      <c r="CS10" s="286"/>
      <c r="CT10" s="286"/>
      <c r="CU10" s="286"/>
      <c r="CV10" s="286"/>
      <c r="CW10" s="286"/>
      <c r="CX10" s="286"/>
      <c r="CY10" s="286"/>
      <c r="CZ10" s="286"/>
      <c r="DA10" s="286"/>
    </row>
    <row r="11" spans="1:105" s="291" customFormat="1" ht="16">
      <c r="A11" s="346" t="s">
        <v>286</v>
      </c>
      <c r="B11" s="347">
        <f>+B10+14</f>
        <v>46248</v>
      </c>
      <c r="C11" s="348">
        <f>+C10+14</f>
        <v>46268</v>
      </c>
      <c r="D11" s="286"/>
      <c r="E11" s="288"/>
      <c r="F11" s="286"/>
      <c r="G11" s="286"/>
      <c r="H11" s="289"/>
      <c r="I11" s="286"/>
      <c r="J11" s="286"/>
      <c r="K11" s="286"/>
      <c r="L11" s="286"/>
      <c r="M11" s="290"/>
      <c r="N11" s="290"/>
      <c r="O11" s="286"/>
      <c r="P11" s="336"/>
      <c r="Q11" s="290"/>
      <c r="R11" s="290"/>
      <c r="S11" s="290"/>
      <c r="T11" s="290"/>
      <c r="U11" s="290"/>
      <c r="V11" s="287"/>
      <c r="W11" s="287"/>
      <c r="X11" s="287"/>
      <c r="Y11" s="287"/>
      <c r="Z11" s="287"/>
      <c r="AA11" s="287"/>
      <c r="AB11" s="287"/>
      <c r="AC11" s="287"/>
      <c r="AD11" s="287"/>
      <c r="AE11" s="287"/>
      <c r="AF11" s="287"/>
      <c r="AG11" s="287"/>
      <c r="AH11" s="287"/>
      <c r="AI11" s="287"/>
      <c r="AJ11" s="287"/>
      <c r="AL11" s="337"/>
      <c r="AM11" s="338"/>
      <c r="AN11" s="338"/>
      <c r="AO11" s="338"/>
      <c r="AP11" s="338"/>
      <c r="BA11" s="337"/>
      <c r="BB11" s="338"/>
      <c r="BC11" s="338"/>
      <c r="BD11" s="338"/>
      <c r="BE11" s="338"/>
      <c r="BF11" s="338"/>
      <c r="BG11" s="338"/>
      <c r="BH11" s="338"/>
      <c r="BI11" s="339"/>
      <c r="BJ11" s="338"/>
      <c r="BK11" s="338"/>
      <c r="BL11" s="338"/>
      <c r="BM11" s="338"/>
      <c r="BN11" s="338"/>
      <c r="BO11" s="338"/>
      <c r="BP11" s="338"/>
      <c r="BQ11" s="338"/>
      <c r="BR11" s="340"/>
      <c r="BS11" s="340"/>
      <c r="BT11" s="340"/>
      <c r="CJ11" s="286"/>
      <c r="CK11" s="286"/>
      <c r="CL11" s="286"/>
      <c r="CM11" s="286"/>
      <c r="CN11" s="286"/>
      <c r="CO11" s="286"/>
      <c r="CP11" s="286"/>
      <c r="CQ11" s="286"/>
      <c r="CR11" s="286"/>
      <c r="CS11" s="286"/>
      <c r="CT11" s="286"/>
      <c r="CU11" s="286"/>
      <c r="CV11" s="286"/>
      <c r="CW11" s="286"/>
      <c r="CX11" s="286"/>
      <c r="CY11" s="286"/>
      <c r="CZ11" s="286"/>
      <c r="DA11" s="286"/>
    </row>
    <row r="12" spans="1:105" s="291" customFormat="1">
      <c r="A12" s="286"/>
      <c r="B12" s="287"/>
      <c r="C12" s="287"/>
      <c r="D12" s="286"/>
      <c r="E12" s="288"/>
      <c r="F12" s="286"/>
      <c r="G12" s="286"/>
      <c r="H12" s="289"/>
      <c r="I12" s="286"/>
      <c r="J12" s="286"/>
      <c r="K12" s="286"/>
      <c r="L12" s="286"/>
      <c r="M12" s="290"/>
      <c r="N12" s="290"/>
      <c r="O12" s="286"/>
      <c r="P12" s="336"/>
      <c r="Q12" s="290"/>
      <c r="R12" s="290"/>
      <c r="S12" s="290"/>
      <c r="T12" s="290"/>
      <c r="U12" s="290"/>
      <c r="V12" s="287"/>
      <c r="W12" s="287"/>
      <c r="X12" s="287"/>
      <c r="Y12" s="287"/>
      <c r="Z12" s="287"/>
      <c r="AA12" s="287"/>
      <c r="AB12" s="287"/>
      <c r="AC12" s="287"/>
      <c r="AD12" s="287"/>
      <c r="AE12" s="287"/>
      <c r="AF12" s="287"/>
      <c r="AG12" s="287"/>
      <c r="AH12" s="287"/>
      <c r="AI12" s="287"/>
      <c r="AJ12" s="287"/>
      <c r="AL12" s="337"/>
      <c r="AM12" s="338"/>
      <c r="AN12" s="338"/>
      <c r="AO12" s="338"/>
      <c r="AP12" s="338"/>
      <c r="BA12" s="337"/>
      <c r="BB12" s="338"/>
      <c r="BC12" s="338"/>
      <c r="BD12" s="338"/>
      <c r="BE12" s="338"/>
      <c r="BF12" s="338"/>
      <c r="BG12" s="338"/>
      <c r="BH12" s="338"/>
      <c r="BI12" s="339"/>
      <c r="BJ12" s="338"/>
      <c r="BK12" s="338"/>
      <c r="BL12" s="338"/>
      <c r="BM12" s="338"/>
      <c r="BN12" s="338"/>
      <c r="BO12" s="338"/>
      <c r="BP12" s="338"/>
      <c r="BQ12" s="338"/>
      <c r="BR12" s="340"/>
      <c r="BS12" s="340"/>
      <c r="BT12" s="340"/>
      <c r="CJ12" s="286"/>
      <c r="CK12" s="286"/>
      <c r="CL12" s="286"/>
      <c r="CM12" s="286"/>
      <c r="CN12" s="286"/>
      <c r="CO12" s="286"/>
      <c r="CP12" s="286"/>
      <c r="CQ12" s="286"/>
      <c r="CR12" s="286"/>
      <c r="CS12" s="286"/>
      <c r="CT12" s="286"/>
      <c r="CU12" s="286"/>
      <c r="CV12" s="286"/>
      <c r="CW12" s="286"/>
      <c r="CX12" s="286"/>
      <c r="CY12" s="286"/>
      <c r="CZ12" s="286"/>
      <c r="DA12" s="286"/>
    </row>
    <row r="13" spans="1:105" s="291" customFormat="1">
      <c r="A13" s="286"/>
      <c r="B13" s="287"/>
      <c r="C13" s="287"/>
      <c r="D13" s="286"/>
      <c r="E13" s="288"/>
      <c r="F13" s="286"/>
      <c r="G13" s="286"/>
      <c r="H13" s="289"/>
      <c r="I13" s="286"/>
      <c r="J13" s="286"/>
      <c r="K13" s="286"/>
      <c r="L13" s="286"/>
      <c r="M13" s="290"/>
      <c r="N13" s="290"/>
      <c r="O13" s="286"/>
      <c r="P13" s="336"/>
      <c r="Q13" s="290"/>
      <c r="R13" s="290"/>
      <c r="S13" s="290"/>
      <c r="T13" s="290"/>
      <c r="U13" s="290"/>
      <c r="V13" s="287"/>
      <c r="W13" s="287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87"/>
      <c r="AJ13" s="287"/>
      <c r="AL13" s="337"/>
      <c r="AM13" s="338"/>
      <c r="AN13" s="338"/>
      <c r="AO13" s="338"/>
      <c r="AP13" s="338"/>
      <c r="BA13" s="337"/>
      <c r="BB13" s="338"/>
      <c r="BC13" s="338"/>
      <c r="BD13" s="338"/>
      <c r="BE13" s="338"/>
      <c r="BF13" s="338"/>
      <c r="BG13" s="338"/>
      <c r="BH13" s="338"/>
      <c r="BI13" s="339"/>
      <c r="BJ13" s="338"/>
      <c r="BK13" s="338"/>
      <c r="BL13" s="338"/>
      <c r="BM13" s="338"/>
      <c r="BN13" s="338"/>
      <c r="BO13" s="338"/>
      <c r="BP13" s="338"/>
      <c r="BQ13" s="338"/>
      <c r="BR13" s="340"/>
      <c r="BS13" s="340"/>
      <c r="BT13" s="340"/>
    </row>
    <row r="14" spans="1:105" s="291" customFormat="1">
      <c r="A14" s="286"/>
      <c r="B14" s="287"/>
      <c r="C14" s="287"/>
      <c r="D14" s="286"/>
      <c r="E14" s="288"/>
      <c r="F14" s="286"/>
      <c r="G14" s="286"/>
      <c r="H14" s="289"/>
      <c r="I14" s="286"/>
      <c r="J14" s="286"/>
      <c r="K14" s="286"/>
      <c r="L14" s="286"/>
      <c r="M14" s="290"/>
      <c r="N14" s="290"/>
      <c r="O14" s="286"/>
      <c r="P14" s="336"/>
      <c r="Q14" s="290"/>
      <c r="R14" s="290"/>
      <c r="S14" s="290"/>
      <c r="T14" s="290"/>
      <c r="U14" s="290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L14" s="337"/>
      <c r="AM14" s="338"/>
      <c r="AN14" s="338"/>
      <c r="AO14" s="338"/>
      <c r="AP14" s="338"/>
      <c r="BA14" s="337"/>
      <c r="BB14" s="338"/>
      <c r="BC14" s="338"/>
      <c r="BD14" s="338"/>
      <c r="BE14" s="338"/>
      <c r="BF14" s="338"/>
      <c r="BG14" s="338"/>
      <c r="BH14" s="338"/>
      <c r="BI14" s="339"/>
      <c r="BJ14" s="338"/>
      <c r="BK14" s="338"/>
      <c r="BL14" s="338"/>
      <c r="BM14" s="338"/>
      <c r="BN14" s="338"/>
      <c r="BO14" s="338"/>
      <c r="BP14" s="338"/>
      <c r="BQ14" s="338"/>
      <c r="BR14" s="340"/>
      <c r="BS14" s="340"/>
      <c r="BT14" s="340"/>
      <c r="CJ14" s="518" t="s">
        <v>0</v>
      </c>
      <c r="CK14" s="519"/>
      <c r="CL14" s="519"/>
      <c r="CM14" s="519"/>
      <c r="CN14" s="519"/>
      <c r="CO14" s="519"/>
      <c r="CP14" s="519"/>
      <c r="CQ14" s="519"/>
      <c r="CR14" s="519"/>
      <c r="CS14" s="519"/>
      <c r="CT14" s="519"/>
      <c r="CU14" s="519"/>
      <c r="CV14" s="519"/>
      <c r="CW14" s="519"/>
      <c r="CX14" s="519"/>
      <c r="CY14" s="519"/>
      <c r="CZ14" s="519"/>
      <c r="DA14" s="519"/>
    </row>
    <row r="15" spans="1:105" s="291" customFormat="1" ht="31">
      <c r="A15" s="286"/>
      <c r="B15" s="287"/>
      <c r="C15" s="287"/>
      <c r="D15" s="286"/>
      <c r="E15" s="288"/>
      <c r="F15" s="286"/>
      <c r="G15" s="286"/>
      <c r="H15" s="289"/>
      <c r="I15" s="286"/>
      <c r="J15" s="286"/>
      <c r="K15" s="286"/>
      <c r="L15" s="286"/>
      <c r="M15" s="290"/>
      <c r="N15" s="290"/>
      <c r="O15" s="286"/>
      <c r="P15" s="336"/>
      <c r="Q15" s="290"/>
      <c r="R15" s="290"/>
      <c r="S15" s="290" t="s">
        <v>287</v>
      </c>
      <c r="T15" s="290"/>
      <c r="U15" s="290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L15" s="349" t="s">
        <v>288</v>
      </c>
      <c r="AM15" s="349"/>
      <c r="AN15" s="349"/>
      <c r="AO15" s="349"/>
      <c r="AP15" s="349"/>
      <c r="BA15" s="516" t="s">
        <v>289</v>
      </c>
      <c r="BB15" s="516"/>
      <c r="BC15" s="516"/>
      <c r="BD15" s="516"/>
      <c r="BE15" s="516"/>
      <c r="BF15" s="516"/>
      <c r="BG15" s="516"/>
      <c r="BH15" s="516"/>
      <c r="BI15" s="516"/>
      <c r="BJ15" s="516"/>
      <c r="BK15" s="516"/>
      <c r="BL15" s="517"/>
      <c r="BM15" s="337"/>
      <c r="BN15" s="337"/>
      <c r="BO15" s="337"/>
      <c r="BP15" s="337"/>
      <c r="BQ15" s="337"/>
      <c r="BR15" s="350"/>
      <c r="BS15" s="350"/>
      <c r="BT15" s="350"/>
      <c r="CJ15" s="292" t="s">
        <v>1</v>
      </c>
      <c r="CK15" s="292"/>
      <c r="CL15" s="292" t="s">
        <v>2</v>
      </c>
      <c r="CM15" s="292"/>
      <c r="CN15" s="292" t="s">
        <v>3</v>
      </c>
      <c r="CO15" s="292"/>
      <c r="CP15" s="292" t="s">
        <v>4</v>
      </c>
      <c r="CQ15" s="292"/>
      <c r="CR15" s="292" t="s">
        <v>5</v>
      </c>
      <c r="CS15" s="292"/>
      <c r="CT15" s="292" t="s">
        <v>6</v>
      </c>
      <c r="CU15" s="292"/>
      <c r="CV15" s="292" t="s">
        <v>7</v>
      </c>
      <c r="CW15" s="292"/>
      <c r="CX15" s="292" t="s">
        <v>8</v>
      </c>
      <c r="CY15" s="292"/>
      <c r="CZ15" s="292" t="s">
        <v>9</v>
      </c>
      <c r="DA15" s="292"/>
    </row>
    <row r="16" spans="1:105" ht="77.5">
      <c r="A16" s="293" t="s">
        <v>10</v>
      </c>
      <c r="B16" s="294" t="s">
        <v>11</v>
      </c>
      <c r="C16" s="294" t="s">
        <v>12</v>
      </c>
      <c r="D16" s="295" t="s">
        <v>13</v>
      </c>
      <c r="E16" s="296" t="s">
        <v>14</v>
      </c>
      <c r="F16" s="295" t="s">
        <v>15</v>
      </c>
      <c r="G16" s="295" t="s">
        <v>16</v>
      </c>
      <c r="H16" s="297" t="s">
        <v>17</v>
      </c>
      <c r="I16" s="295" t="s">
        <v>18</v>
      </c>
      <c r="J16" s="295" t="s">
        <v>19</v>
      </c>
      <c r="K16" s="295" t="s">
        <v>20</v>
      </c>
      <c r="L16" s="295" t="s">
        <v>21</v>
      </c>
      <c r="M16" s="298" t="s">
        <v>290</v>
      </c>
      <c r="N16" s="299" t="s">
        <v>291</v>
      </c>
      <c r="O16" s="295" t="s">
        <v>292</v>
      </c>
      <c r="P16" s="351" t="s">
        <v>293</v>
      </c>
      <c r="Q16" s="299" t="s">
        <v>23</v>
      </c>
      <c r="R16" s="299" t="s">
        <v>24</v>
      </c>
      <c r="S16" s="299" t="s">
        <v>25</v>
      </c>
      <c r="T16" s="299" t="s">
        <v>26</v>
      </c>
      <c r="U16" s="299" t="s">
        <v>27</v>
      </c>
      <c r="V16" s="294" t="s">
        <v>28</v>
      </c>
      <c r="W16" s="294" t="s">
        <v>30</v>
      </c>
      <c r="X16" s="294" t="s">
        <v>294</v>
      </c>
      <c r="Y16" s="294" t="s">
        <v>31</v>
      </c>
      <c r="Z16" s="294" t="s">
        <v>295</v>
      </c>
      <c r="AA16" s="294" t="s">
        <v>33</v>
      </c>
      <c r="AB16" s="294" t="s">
        <v>34</v>
      </c>
      <c r="AC16" s="294" t="s">
        <v>296</v>
      </c>
      <c r="AD16" s="294" t="s">
        <v>297</v>
      </c>
      <c r="AE16" s="294" t="s">
        <v>298</v>
      </c>
      <c r="AF16" s="294" t="s">
        <v>299</v>
      </c>
      <c r="AG16" s="295" t="s">
        <v>38</v>
      </c>
      <c r="AH16" s="295" t="s">
        <v>39</v>
      </c>
      <c r="AI16" s="352"/>
      <c r="AJ16" s="352"/>
      <c r="AK16" s="353"/>
      <c r="AL16" s="354" t="s">
        <v>30</v>
      </c>
      <c r="AM16" s="354" t="s">
        <v>31</v>
      </c>
      <c r="AN16" s="354" t="s">
        <v>32</v>
      </c>
      <c r="AO16" s="354" t="s">
        <v>33</v>
      </c>
      <c r="AP16" s="354" t="s">
        <v>300</v>
      </c>
      <c r="BA16" s="301" t="s">
        <v>301</v>
      </c>
      <c r="BB16" s="301" t="s">
        <v>302</v>
      </c>
      <c r="BC16" s="301" t="s">
        <v>42</v>
      </c>
      <c r="BD16" s="301" t="s">
        <v>303</v>
      </c>
      <c r="BE16" s="301" t="s">
        <v>44</v>
      </c>
      <c r="BF16" s="301" t="s">
        <v>304</v>
      </c>
      <c r="BG16" s="301" t="s">
        <v>46</v>
      </c>
      <c r="BH16" s="301" t="s">
        <v>47</v>
      </c>
      <c r="BI16" s="355" t="s">
        <v>48</v>
      </c>
      <c r="BJ16" s="301" t="s">
        <v>49</v>
      </c>
      <c r="BK16" s="356" t="s">
        <v>13</v>
      </c>
      <c r="BL16" s="383" t="s">
        <v>50</v>
      </c>
      <c r="BM16" s="286"/>
      <c r="BN16" s="286"/>
      <c r="BO16" s="286"/>
      <c r="BP16" s="286"/>
      <c r="BQ16" s="286"/>
      <c r="BR16" s="302" t="s">
        <v>38</v>
      </c>
      <c r="BS16" s="301" t="s">
        <v>39</v>
      </c>
      <c r="BT16" s="301" t="s">
        <v>53</v>
      </c>
      <c r="CJ16" s="303" t="s">
        <v>54</v>
      </c>
      <c r="CK16" s="303" t="s">
        <v>55</v>
      </c>
      <c r="CL16" s="303" t="s">
        <v>54</v>
      </c>
      <c r="CM16" s="303" t="s">
        <v>55</v>
      </c>
      <c r="CN16" s="303" t="s">
        <v>54</v>
      </c>
      <c r="CO16" s="303" t="s">
        <v>55</v>
      </c>
      <c r="CP16" s="303" t="s">
        <v>54</v>
      </c>
      <c r="CQ16" s="303" t="s">
        <v>55</v>
      </c>
      <c r="CR16" s="303" t="s">
        <v>54</v>
      </c>
      <c r="CS16" s="303" t="s">
        <v>55</v>
      </c>
      <c r="CT16" s="303" t="s">
        <v>54</v>
      </c>
      <c r="CU16" s="303" t="s">
        <v>55</v>
      </c>
      <c r="CV16" s="303" t="s">
        <v>54</v>
      </c>
      <c r="CW16" s="303" t="s">
        <v>55</v>
      </c>
      <c r="CX16" s="303" t="s">
        <v>54</v>
      </c>
      <c r="CY16" s="303" t="s">
        <v>55</v>
      </c>
      <c r="CZ16" s="303" t="s">
        <v>54</v>
      </c>
      <c r="DA16" s="303" t="s">
        <v>55</v>
      </c>
    </row>
    <row r="17" spans="1:105" ht="201.5">
      <c r="A17" s="304">
        <v>1</v>
      </c>
      <c r="B17" s="305">
        <v>46248</v>
      </c>
      <c r="C17" s="305" t="s">
        <v>305</v>
      </c>
      <c r="D17" s="305" t="s">
        <v>163</v>
      </c>
      <c r="E17" s="306">
        <v>7502327990857</v>
      </c>
      <c r="F17" s="304" t="s">
        <v>306</v>
      </c>
      <c r="G17" s="307" t="s">
        <v>307</v>
      </c>
      <c r="H17" s="308" t="s">
        <v>60</v>
      </c>
      <c r="I17" s="304" t="s">
        <v>308</v>
      </c>
      <c r="J17" s="307" t="s">
        <v>277</v>
      </c>
      <c r="K17" s="307" t="s">
        <v>309</v>
      </c>
      <c r="L17" s="304">
        <v>1</v>
      </c>
      <c r="M17" s="310" t="s">
        <v>310</v>
      </c>
      <c r="N17" s="311" t="s">
        <v>311</v>
      </c>
      <c r="O17" s="304" t="s">
        <v>312</v>
      </c>
      <c r="P17" s="357" t="s">
        <v>313</v>
      </c>
      <c r="Q17" s="312" t="s">
        <v>314</v>
      </c>
      <c r="R17" s="312">
        <v>10000</v>
      </c>
      <c r="S17" s="313">
        <f>P17*S15</f>
        <v>18.209</v>
      </c>
      <c r="T17" s="313">
        <f t="shared" ref="T17:T46" si="0">+S17*0.25</f>
        <v>4.5522499999999999</v>
      </c>
      <c r="U17" s="313">
        <f t="shared" ref="U17:U22" si="1">(S17+T17)*0.044</f>
        <v>1.001495</v>
      </c>
      <c r="V17" s="314">
        <f t="shared" ref="V17:V48" si="2">S17+T17+U17</f>
        <v>23.762744999999999</v>
      </c>
      <c r="W17" s="315">
        <v>249</v>
      </c>
      <c r="X17" s="313">
        <f t="shared" ref="X17:X48" si="3">W17/1.16</f>
        <v>214.65517241379311</v>
      </c>
      <c r="Y17" s="313">
        <f t="shared" ref="Y17:Y48" si="4">X17*0.6</f>
        <v>128.79310344827587</v>
      </c>
      <c r="Z17" s="316">
        <f t="shared" ref="Z17:Z48" si="5">V17/Y17</f>
        <v>0.1845032409638554</v>
      </c>
      <c r="AA17" s="316">
        <f t="shared" ref="AA17:AA48" si="6">1-(V17/Y17)</f>
        <v>0.8154967590361446</v>
      </c>
      <c r="AB17" s="317">
        <f t="shared" ref="AB17:AB48" si="7">1-(Y17/(W17/1.16))</f>
        <v>0.4</v>
      </c>
      <c r="AC17" s="318" t="s">
        <v>315</v>
      </c>
      <c r="AD17" s="304"/>
      <c r="AE17" s="307">
        <v>6</v>
      </c>
      <c r="AF17" s="307">
        <v>48</v>
      </c>
      <c r="AG17" s="324" t="s">
        <v>316</v>
      </c>
      <c r="AH17" s="358">
        <v>46308</v>
      </c>
      <c r="AI17" s="359"/>
      <c r="AJ17" s="359"/>
      <c r="AL17" s="319">
        <v>161.85</v>
      </c>
      <c r="AM17" s="320">
        <f t="shared" ref="AM17:AM48" si="8">+AL17/1.16</f>
        <v>139.52586206896552</v>
      </c>
      <c r="AN17" s="321" t="e">
        <f t="shared" ref="AN17:AN48" ca="1" si="9">+V18/AM17</f>
        <v>#VALUE!</v>
      </c>
      <c r="AO17" s="321" t="e">
        <f t="shared" ref="AO17:AO48" ca="1" si="10">1-V18/AM17</f>
        <v>#VALUE!</v>
      </c>
      <c r="AP17" s="317">
        <f t="shared" ref="AP17:AP48" si="11">1-(AM17/(AL17/1.16))</f>
        <v>0</v>
      </c>
      <c r="BA17" s="322">
        <v>1</v>
      </c>
      <c r="BB17" s="322">
        <v>1</v>
      </c>
      <c r="BC17" s="322">
        <v>1</v>
      </c>
      <c r="BD17" s="322">
        <v>1</v>
      </c>
      <c r="BE17" s="322">
        <v>1</v>
      </c>
      <c r="BF17" s="322"/>
      <c r="BG17" s="322"/>
      <c r="BH17" s="322"/>
      <c r="BI17" s="360"/>
      <c r="BJ17" s="322">
        <v>9</v>
      </c>
      <c r="BK17" s="385">
        <f t="shared" ref="BK17:BK48" si="12">SUM(BA17:BI17)</f>
        <v>5</v>
      </c>
      <c r="BL17" s="384">
        <f t="shared" ref="BL17:BL48" si="13">+BK17/BJ17</f>
        <v>0.55555555555555558</v>
      </c>
      <c r="BM17" s="361"/>
      <c r="BN17" s="361"/>
      <c r="BO17" s="361"/>
      <c r="BP17" s="361"/>
      <c r="BQ17" s="361"/>
      <c r="BR17" s="362" t="s">
        <v>317</v>
      </c>
      <c r="BS17" s="382">
        <f>AH17</f>
        <v>46308</v>
      </c>
      <c r="BT17" s="325" t="s">
        <v>211</v>
      </c>
      <c r="CJ17" s="326">
        <v>46188</v>
      </c>
      <c r="CK17" s="326"/>
      <c r="CL17" s="325"/>
      <c r="CM17" s="325"/>
      <c r="CN17" s="325"/>
      <c r="CO17" s="325"/>
      <c r="CP17" s="327"/>
      <c r="CQ17" s="327"/>
      <c r="CR17" s="328"/>
      <c r="CS17" s="328"/>
      <c r="CT17" s="328"/>
      <c r="CU17" s="328"/>
      <c r="CV17" s="328"/>
      <c r="CW17" s="328"/>
      <c r="CX17" s="328"/>
      <c r="CY17" s="328"/>
      <c r="CZ17" s="328"/>
      <c r="DA17" s="328"/>
    </row>
    <row r="18" spans="1:105" ht="201.5">
      <c r="A18" s="304">
        <v>2</v>
      </c>
      <c r="B18" s="305">
        <v>46248</v>
      </c>
      <c r="C18" s="305" t="s">
        <v>305</v>
      </c>
      <c r="D18" s="305" t="s">
        <v>163</v>
      </c>
      <c r="E18" s="306">
        <v>7502327990864</v>
      </c>
      <c r="F18" s="304" t="s">
        <v>318</v>
      </c>
      <c r="G18" s="307" t="s">
        <v>319</v>
      </c>
      <c r="H18" s="308" t="s">
        <v>60</v>
      </c>
      <c r="I18" s="304" t="s">
        <v>308</v>
      </c>
      <c r="J18" s="307" t="s">
        <v>277</v>
      </c>
      <c r="K18" s="307" t="s">
        <v>309</v>
      </c>
      <c r="L18" s="304">
        <v>1</v>
      </c>
      <c r="M18" s="310" t="s">
        <v>310</v>
      </c>
      <c r="N18" s="311" t="s">
        <v>320</v>
      </c>
      <c r="O18" s="304" t="s">
        <v>312</v>
      </c>
      <c r="P18" s="357" t="s">
        <v>313</v>
      </c>
      <c r="Q18" s="312" t="s">
        <v>314</v>
      </c>
      <c r="R18" s="312">
        <v>10000</v>
      </c>
      <c r="S18" s="313" t="e">
        <f t="shared" ref="S18:S46" ca="1" si="14">+P18*$T$25</f>
        <v>#VALUE!</v>
      </c>
      <c r="T18" s="313" t="e">
        <f t="shared" ca="1" si="0"/>
        <v>#VALUE!</v>
      </c>
      <c r="U18" s="313" t="e">
        <f t="shared" ca="1" si="1"/>
        <v>#VALUE!</v>
      </c>
      <c r="V18" s="314" t="e">
        <f t="shared" ca="1" si="2"/>
        <v>#VALUE!</v>
      </c>
      <c r="W18" s="315">
        <v>249</v>
      </c>
      <c r="X18" s="313">
        <f t="shared" si="3"/>
        <v>214.65517241379311</v>
      </c>
      <c r="Y18" s="313">
        <f t="shared" si="4"/>
        <v>128.79310344827587</v>
      </c>
      <c r="Z18" s="316" t="e">
        <f t="shared" ca="1" si="5"/>
        <v>#VALUE!</v>
      </c>
      <c r="AA18" s="316" t="e">
        <f t="shared" ca="1" si="6"/>
        <v>#VALUE!</v>
      </c>
      <c r="AB18" s="317">
        <f t="shared" si="7"/>
        <v>0.4</v>
      </c>
      <c r="AC18" s="318" t="s">
        <v>315</v>
      </c>
      <c r="AD18" s="304"/>
      <c r="AE18" s="307">
        <v>6</v>
      </c>
      <c r="AF18" s="307">
        <v>48</v>
      </c>
      <c r="AG18" s="324" t="s">
        <v>316</v>
      </c>
      <c r="AH18" s="363">
        <v>46308</v>
      </c>
      <c r="AI18" s="359"/>
      <c r="AJ18" s="359"/>
      <c r="AL18" s="319">
        <v>161.85</v>
      </c>
      <c r="AM18" s="320">
        <f t="shared" si="8"/>
        <v>139.52586206896552</v>
      </c>
      <c r="AN18" s="321" t="e">
        <f t="shared" ca="1" si="9"/>
        <v>#VALUE!</v>
      </c>
      <c r="AO18" s="321" t="e">
        <f t="shared" ca="1" si="10"/>
        <v>#VALUE!</v>
      </c>
      <c r="AP18" s="317">
        <f t="shared" si="11"/>
        <v>0</v>
      </c>
      <c r="BA18" s="322">
        <v>1</v>
      </c>
      <c r="BB18" s="322">
        <v>1</v>
      </c>
      <c r="BC18" s="322">
        <v>1</v>
      </c>
      <c r="BD18" s="322">
        <v>1</v>
      </c>
      <c r="BE18" s="322">
        <v>1</v>
      </c>
      <c r="BF18" s="322"/>
      <c r="BG18" s="322"/>
      <c r="BH18" s="322"/>
      <c r="BI18" s="360"/>
      <c r="BJ18" s="322">
        <v>9</v>
      </c>
      <c r="BK18" s="385">
        <f t="shared" si="12"/>
        <v>5</v>
      </c>
      <c r="BL18" s="384">
        <f t="shared" si="13"/>
        <v>0.55555555555555558</v>
      </c>
      <c r="BM18" s="361"/>
      <c r="BN18" s="361"/>
      <c r="BO18" s="361"/>
      <c r="BP18" s="361"/>
      <c r="BQ18" s="361"/>
      <c r="BR18" s="362" t="s">
        <v>317</v>
      </c>
      <c r="BS18" s="382">
        <f t="shared" ref="BS18:BS78" si="15">AH18</f>
        <v>46308</v>
      </c>
      <c r="BT18" s="325" t="s">
        <v>211</v>
      </c>
      <c r="CJ18" s="326">
        <v>46188</v>
      </c>
      <c r="CK18" s="325"/>
      <c r="CL18" s="325"/>
      <c r="CM18" s="325"/>
      <c r="CN18" s="325"/>
      <c r="CO18" s="325"/>
      <c r="CP18" s="327"/>
      <c r="CQ18" s="327"/>
      <c r="CR18" s="328"/>
      <c r="CS18" s="328"/>
      <c r="CT18" s="328"/>
      <c r="CU18" s="328"/>
      <c r="CV18" s="328"/>
      <c r="CW18" s="328"/>
      <c r="CX18" s="328"/>
      <c r="CY18" s="328"/>
      <c r="CZ18" s="328"/>
      <c r="DA18" s="328"/>
    </row>
    <row r="19" spans="1:105" ht="201.5">
      <c r="A19" s="304">
        <v>3</v>
      </c>
      <c r="B19" s="305">
        <v>46248</v>
      </c>
      <c r="C19" s="305" t="s">
        <v>305</v>
      </c>
      <c r="D19" s="305" t="s">
        <v>163</v>
      </c>
      <c r="E19" s="306">
        <v>7502327990871</v>
      </c>
      <c r="F19" s="304" t="s">
        <v>321</v>
      </c>
      <c r="G19" s="307" t="s">
        <v>322</v>
      </c>
      <c r="H19" s="308" t="s">
        <v>60</v>
      </c>
      <c r="I19" s="304" t="s">
        <v>308</v>
      </c>
      <c r="J19" s="307" t="s">
        <v>277</v>
      </c>
      <c r="K19" s="307" t="s">
        <v>309</v>
      </c>
      <c r="L19" s="304">
        <v>1</v>
      </c>
      <c r="M19" s="310" t="s">
        <v>310</v>
      </c>
      <c r="N19" s="311" t="s">
        <v>323</v>
      </c>
      <c r="O19" s="304" t="s">
        <v>312</v>
      </c>
      <c r="P19" s="357" t="s">
        <v>313</v>
      </c>
      <c r="Q19" s="312" t="s">
        <v>314</v>
      </c>
      <c r="R19" s="312">
        <v>10000</v>
      </c>
      <c r="S19" s="313" t="e">
        <f t="shared" ca="1" si="14"/>
        <v>#VALUE!</v>
      </c>
      <c r="T19" s="313" t="e">
        <f t="shared" ca="1" si="0"/>
        <v>#VALUE!</v>
      </c>
      <c r="U19" s="313" t="e">
        <f t="shared" ca="1" si="1"/>
        <v>#VALUE!</v>
      </c>
      <c r="V19" s="314" t="e">
        <f t="shared" ca="1" si="2"/>
        <v>#VALUE!</v>
      </c>
      <c r="W19" s="315">
        <v>249</v>
      </c>
      <c r="X19" s="313">
        <f t="shared" si="3"/>
        <v>214.65517241379311</v>
      </c>
      <c r="Y19" s="313">
        <f t="shared" si="4"/>
        <v>128.79310344827587</v>
      </c>
      <c r="Z19" s="316" t="e">
        <f t="shared" ca="1" si="5"/>
        <v>#VALUE!</v>
      </c>
      <c r="AA19" s="316" t="e">
        <f t="shared" ca="1" si="6"/>
        <v>#VALUE!</v>
      </c>
      <c r="AB19" s="317">
        <f t="shared" si="7"/>
        <v>0.4</v>
      </c>
      <c r="AC19" s="318" t="s">
        <v>315</v>
      </c>
      <c r="AD19" s="304"/>
      <c r="AE19" s="307">
        <v>6</v>
      </c>
      <c r="AF19" s="307">
        <v>48</v>
      </c>
      <c r="AG19" s="324" t="s">
        <v>316</v>
      </c>
      <c r="AH19" s="363">
        <v>46308</v>
      </c>
      <c r="AI19" s="359"/>
      <c r="AJ19" s="359"/>
      <c r="AL19" s="319">
        <v>161.85</v>
      </c>
      <c r="AM19" s="320">
        <f t="shared" si="8"/>
        <v>139.52586206896552</v>
      </c>
      <c r="AN19" s="321" t="e">
        <f t="shared" ca="1" si="9"/>
        <v>#VALUE!</v>
      </c>
      <c r="AO19" s="321" t="e">
        <f t="shared" ca="1" si="10"/>
        <v>#VALUE!</v>
      </c>
      <c r="AP19" s="317">
        <f t="shared" si="11"/>
        <v>0</v>
      </c>
      <c r="BA19" s="322">
        <v>1</v>
      </c>
      <c r="BB19" s="322">
        <v>1</v>
      </c>
      <c r="BC19" s="322">
        <v>1</v>
      </c>
      <c r="BD19" s="322">
        <v>1</v>
      </c>
      <c r="BE19" s="322">
        <v>1</v>
      </c>
      <c r="BF19" s="322"/>
      <c r="BG19" s="322"/>
      <c r="BH19" s="322"/>
      <c r="BI19" s="360"/>
      <c r="BJ19" s="322">
        <v>9</v>
      </c>
      <c r="BK19" s="385">
        <f t="shared" si="12"/>
        <v>5</v>
      </c>
      <c r="BL19" s="384">
        <f t="shared" si="13"/>
        <v>0.55555555555555558</v>
      </c>
      <c r="BM19" s="361"/>
      <c r="BN19" s="361"/>
      <c r="BO19" s="361"/>
      <c r="BP19" s="361"/>
      <c r="BQ19" s="361"/>
      <c r="BR19" s="362" t="s">
        <v>317</v>
      </c>
      <c r="BS19" s="382">
        <f t="shared" si="15"/>
        <v>46308</v>
      </c>
      <c r="BT19" s="325" t="s">
        <v>211</v>
      </c>
      <c r="CJ19" s="326">
        <v>46188</v>
      </c>
      <c r="CK19" s="325"/>
      <c r="CL19" s="325"/>
      <c r="CM19" s="325"/>
      <c r="CN19" s="325"/>
      <c r="CO19" s="325"/>
      <c r="CP19" s="327"/>
      <c r="CQ19" s="327"/>
      <c r="CR19" s="328"/>
      <c r="CS19" s="328"/>
      <c r="CT19" s="328"/>
      <c r="CU19" s="328"/>
      <c r="CV19" s="328"/>
      <c r="CW19" s="328"/>
      <c r="CX19" s="328"/>
      <c r="CY19" s="328"/>
      <c r="CZ19" s="328"/>
      <c r="DA19" s="328"/>
    </row>
    <row r="20" spans="1:105" ht="201.5">
      <c r="A20" s="304">
        <v>4</v>
      </c>
      <c r="B20" s="305">
        <v>46248</v>
      </c>
      <c r="C20" s="305" t="s">
        <v>305</v>
      </c>
      <c r="D20" s="305" t="s">
        <v>163</v>
      </c>
      <c r="E20" s="306">
        <v>7502327990888</v>
      </c>
      <c r="F20" s="304" t="s">
        <v>324</v>
      </c>
      <c r="G20" s="307" t="s">
        <v>325</v>
      </c>
      <c r="H20" s="308" t="s">
        <v>60</v>
      </c>
      <c r="I20" s="304" t="s">
        <v>308</v>
      </c>
      <c r="J20" s="307" t="s">
        <v>277</v>
      </c>
      <c r="K20" s="307" t="s">
        <v>309</v>
      </c>
      <c r="L20" s="304">
        <v>1</v>
      </c>
      <c r="M20" s="310" t="s">
        <v>310</v>
      </c>
      <c r="N20" s="311" t="s">
        <v>326</v>
      </c>
      <c r="O20" s="304" t="s">
        <v>312</v>
      </c>
      <c r="P20" s="357" t="s">
        <v>313</v>
      </c>
      <c r="Q20" s="312" t="s">
        <v>314</v>
      </c>
      <c r="R20" s="312">
        <v>10000</v>
      </c>
      <c r="S20" s="313" t="e">
        <f t="shared" ca="1" si="14"/>
        <v>#VALUE!</v>
      </c>
      <c r="T20" s="313" t="e">
        <f t="shared" ca="1" si="0"/>
        <v>#VALUE!</v>
      </c>
      <c r="U20" s="313" t="e">
        <f t="shared" ca="1" si="1"/>
        <v>#VALUE!</v>
      </c>
      <c r="V20" s="314" t="e">
        <f t="shared" ca="1" si="2"/>
        <v>#VALUE!</v>
      </c>
      <c r="W20" s="315">
        <v>249</v>
      </c>
      <c r="X20" s="313">
        <f t="shared" si="3"/>
        <v>214.65517241379311</v>
      </c>
      <c r="Y20" s="313">
        <f t="shared" si="4"/>
        <v>128.79310344827587</v>
      </c>
      <c r="Z20" s="316" t="e">
        <f t="shared" ca="1" si="5"/>
        <v>#VALUE!</v>
      </c>
      <c r="AA20" s="316" t="e">
        <f t="shared" ca="1" si="6"/>
        <v>#VALUE!</v>
      </c>
      <c r="AB20" s="317">
        <f t="shared" si="7"/>
        <v>0.4</v>
      </c>
      <c r="AC20" s="318" t="s">
        <v>315</v>
      </c>
      <c r="AD20" s="304"/>
      <c r="AE20" s="307">
        <v>6</v>
      </c>
      <c r="AF20" s="307">
        <v>48</v>
      </c>
      <c r="AG20" s="324" t="s">
        <v>316</v>
      </c>
      <c r="AH20" s="363">
        <v>46308</v>
      </c>
      <c r="AI20" s="359"/>
      <c r="AJ20" s="359"/>
      <c r="AL20" s="319">
        <v>161.85</v>
      </c>
      <c r="AM20" s="320">
        <f t="shared" si="8"/>
        <v>139.52586206896552</v>
      </c>
      <c r="AN20" s="321" t="e">
        <f t="shared" ca="1" si="9"/>
        <v>#VALUE!</v>
      </c>
      <c r="AO20" s="321" t="e">
        <f t="shared" ca="1" si="10"/>
        <v>#VALUE!</v>
      </c>
      <c r="AP20" s="317">
        <f t="shared" si="11"/>
        <v>0</v>
      </c>
      <c r="BA20" s="322">
        <v>1</v>
      </c>
      <c r="BB20" s="322">
        <v>1</v>
      </c>
      <c r="BC20" s="322">
        <v>1</v>
      </c>
      <c r="BD20" s="322">
        <v>1</v>
      </c>
      <c r="BE20" s="322">
        <v>1</v>
      </c>
      <c r="BF20" s="322"/>
      <c r="BG20" s="322"/>
      <c r="BH20" s="322"/>
      <c r="BI20" s="360"/>
      <c r="BJ20" s="322">
        <v>9</v>
      </c>
      <c r="BK20" s="385">
        <f t="shared" si="12"/>
        <v>5</v>
      </c>
      <c r="BL20" s="384">
        <f t="shared" si="13"/>
        <v>0.55555555555555558</v>
      </c>
      <c r="BM20" s="361"/>
      <c r="BN20" s="361"/>
      <c r="BO20" s="361"/>
      <c r="BP20" s="361"/>
      <c r="BQ20" s="361"/>
      <c r="BR20" s="362" t="s">
        <v>317</v>
      </c>
      <c r="BS20" s="382">
        <f t="shared" si="15"/>
        <v>46308</v>
      </c>
      <c r="BT20" s="325" t="s">
        <v>211</v>
      </c>
      <c r="CJ20" s="326">
        <v>46188</v>
      </c>
      <c r="CK20" s="325"/>
      <c r="CL20" s="325"/>
      <c r="CM20" s="325"/>
      <c r="CN20" s="325"/>
      <c r="CO20" s="325"/>
      <c r="CP20" s="327"/>
      <c r="CQ20" s="327"/>
      <c r="CR20" s="328"/>
      <c r="CS20" s="328"/>
      <c r="CT20" s="328"/>
      <c r="CU20" s="328"/>
      <c r="CV20" s="328"/>
      <c r="CW20" s="328"/>
      <c r="CX20" s="328"/>
      <c r="CY20" s="328"/>
      <c r="CZ20" s="328"/>
      <c r="DA20" s="328"/>
    </row>
    <row r="21" spans="1:105" ht="201.5">
      <c r="A21" s="304">
        <v>5</v>
      </c>
      <c r="B21" s="305">
        <v>46248</v>
      </c>
      <c r="C21" s="305" t="s">
        <v>305</v>
      </c>
      <c r="D21" s="305" t="s">
        <v>163</v>
      </c>
      <c r="E21" s="306">
        <v>7502327990895</v>
      </c>
      <c r="F21" s="304" t="s">
        <v>327</v>
      </c>
      <c r="G21" s="307" t="s">
        <v>328</v>
      </c>
      <c r="H21" s="308" t="s">
        <v>60</v>
      </c>
      <c r="I21" s="304" t="s">
        <v>308</v>
      </c>
      <c r="J21" s="307" t="s">
        <v>277</v>
      </c>
      <c r="K21" s="307" t="s">
        <v>309</v>
      </c>
      <c r="L21" s="304">
        <v>1</v>
      </c>
      <c r="M21" s="310" t="s">
        <v>310</v>
      </c>
      <c r="N21" s="311" t="s">
        <v>329</v>
      </c>
      <c r="O21" s="304" t="s">
        <v>312</v>
      </c>
      <c r="P21" s="357" t="s">
        <v>313</v>
      </c>
      <c r="Q21" s="312" t="s">
        <v>314</v>
      </c>
      <c r="R21" s="312">
        <v>10000</v>
      </c>
      <c r="S21" s="313" t="e">
        <f t="shared" ca="1" si="14"/>
        <v>#VALUE!</v>
      </c>
      <c r="T21" s="313" t="e">
        <f t="shared" ca="1" si="0"/>
        <v>#VALUE!</v>
      </c>
      <c r="U21" s="313" t="e">
        <f t="shared" ca="1" si="1"/>
        <v>#VALUE!</v>
      </c>
      <c r="V21" s="314" t="e">
        <f t="shared" ca="1" si="2"/>
        <v>#VALUE!</v>
      </c>
      <c r="W21" s="315">
        <v>249</v>
      </c>
      <c r="X21" s="313">
        <f t="shared" si="3"/>
        <v>214.65517241379311</v>
      </c>
      <c r="Y21" s="313">
        <f t="shared" si="4"/>
        <v>128.79310344827587</v>
      </c>
      <c r="Z21" s="316" t="e">
        <f t="shared" ca="1" si="5"/>
        <v>#VALUE!</v>
      </c>
      <c r="AA21" s="316" t="e">
        <f t="shared" ca="1" si="6"/>
        <v>#VALUE!</v>
      </c>
      <c r="AB21" s="317">
        <f t="shared" si="7"/>
        <v>0.4</v>
      </c>
      <c r="AC21" s="318" t="s">
        <v>315</v>
      </c>
      <c r="AD21" s="304"/>
      <c r="AE21" s="307">
        <v>6</v>
      </c>
      <c r="AF21" s="307">
        <v>48</v>
      </c>
      <c r="AG21" s="324" t="s">
        <v>316</v>
      </c>
      <c r="AH21" s="363">
        <v>46308</v>
      </c>
      <c r="AI21" s="359"/>
      <c r="AJ21" s="359"/>
      <c r="AL21" s="319">
        <v>161.85</v>
      </c>
      <c r="AM21" s="320">
        <f t="shared" si="8"/>
        <v>139.52586206896552</v>
      </c>
      <c r="AN21" s="321" t="e">
        <f t="shared" ca="1" si="9"/>
        <v>#VALUE!</v>
      </c>
      <c r="AO21" s="321" t="e">
        <f t="shared" ca="1" si="10"/>
        <v>#VALUE!</v>
      </c>
      <c r="AP21" s="317">
        <f t="shared" si="11"/>
        <v>0</v>
      </c>
      <c r="BA21" s="322">
        <v>1</v>
      </c>
      <c r="BB21" s="322">
        <v>1</v>
      </c>
      <c r="BC21" s="322">
        <v>1</v>
      </c>
      <c r="BD21" s="322">
        <v>1</v>
      </c>
      <c r="BE21" s="322">
        <v>1</v>
      </c>
      <c r="BF21" s="322"/>
      <c r="BG21" s="322"/>
      <c r="BH21" s="322"/>
      <c r="BI21" s="360"/>
      <c r="BJ21" s="322">
        <v>9</v>
      </c>
      <c r="BK21" s="385">
        <f t="shared" si="12"/>
        <v>5</v>
      </c>
      <c r="BL21" s="384">
        <f t="shared" si="13"/>
        <v>0.55555555555555558</v>
      </c>
      <c r="BM21" s="361"/>
      <c r="BN21" s="361"/>
      <c r="BO21" s="361"/>
      <c r="BP21" s="361"/>
      <c r="BQ21" s="361"/>
      <c r="BR21" s="362" t="s">
        <v>317</v>
      </c>
      <c r="BS21" s="382">
        <f t="shared" si="15"/>
        <v>46308</v>
      </c>
      <c r="BT21" s="325" t="s">
        <v>211</v>
      </c>
      <c r="CJ21" s="326">
        <v>46188</v>
      </c>
      <c r="CK21" s="325"/>
      <c r="CL21" s="325"/>
      <c r="CM21" s="325"/>
      <c r="CN21" s="325"/>
      <c r="CO21" s="325"/>
      <c r="CP21" s="327"/>
      <c r="CQ21" s="327"/>
      <c r="CR21" s="328"/>
      <c r="CS21" s="328"/>
      <c r="CT21" s="328"/>
      <c r="CU21" s="328"/>
      <c r="CV21" s="328"/>
      <c r="CW21" s="328"/>
      <c r="CX21" s="328"/>
      <c r="CY21" s="328"/>
      <c r="CZ21" s="328"/>
      <c r="DA21" s="328"/>
    </row>
    <row r="22" spans="1:105" ht="217">
      <c r="A22" s="304">
        <v>6</v>
      </c>
      <c r="B22" s="305">
        <v>46248</v>
      </c>
      <c r="C22" s="305" t="s">
        <v>305</v>
      </c>
      <c r="D22" s="305" t="s">
        <v>163</v>
      </c>
      <c r="E22" s="306">
        <v>7502327990901</v>
      </c>
      <c r="F22" s="304" t="s">
        <v>330</v>
      </c>
      <c r="G22" s="307" t="s">
        <v>331</v>
      </c>
      <c r="H22" s="308" t="s">
        <v>60</v>
      </c>
      <c r="I22" s="304" t="s">
        <v>308</v>
      </c>
      <c r="J22" s="307" t="s">
        <v>277</v>
      </c>
      <c r="K22" s="307" t="s">
        <v>309</v>
      </c>
      <c r="L22" s="304">
        <v>1</v>
      </c>
      <c r="M22" s="310" t="s">
        <v>310</v>
      </c>
      <c r="N22" s="311" t="s">
        <v>332</v>
      </c>
      <c r="O22" s="304" t="s">
        <v>312</v>
      </c>
      <c r="P22" s="357" t="s">
        <v>313</v>
      </c>
      <c r="Q22" s="312" t="s">
        <v>314</v>
      </c>
      <c r="R22" s="312">
        <v>10000</v>
      </c>
      <c r="S22" s="313" t="e">
        <f t="shared" ca="1" si="14"/>
        <v>#VALUE!</v>
      </c>
      <c r="T22" s="313" t="e">
        <f t="shared" ca="1" si="0"/>
        <v>#VALUE!</v>
      </c>
      <c r="U22" s="313" t="e">
        <f t="shared" ca="1" si="1"/>
        <v>#VALUE!</v>
      </c>
      <c r="V22" s="314" t="e">
        <f t="shared" ca="1" si="2"/>
        <v>#VALUE!</v>
      </c>
      <c r="W22" s="315">
        <v>249</v>
      </c>
      <c r="X22" s="313">
        <f t="shared" si="3"/>
        <v>214.65517241379311</v>
      </c>
      <c r="Y22" s="313">
        <f t="shared" si="4"/>
        <v>128.79310344827587</v>
      </c>
      <c r="Z22" s="316" t="e">
        <f t="shared" ca="1" si="5"/>
        <v>#VALUE!</v>
      </c>
      <c r="AA22" s="316" t="e">
        <f t="shared" ca="1" si="6"/>
        <v>#VALUE!</v>
      </c>
      <c r="AB22" s="317">
        <f t="shared" si="7"/>
        <v>0.4</v>
      </c>
      <c r="AC22" s="318" t="s">
        <v>315</v>
      </c>
      <c r="AD22" s="304"/>
      <c r="AE22" s="307">
        <v>6</v>
      </c>
      <c r="AF22" s="307">
        <v>48</v>
      </c>
      <c r="AG22" s="324" t="s">
        <v>316</v>
      </c>
      <c r="AH22" s="363">
        <v>46308</v>
      </c>
      <c r="AI22" s="359"/>
      <c r="AJ22" s="359"/>
      <c r="AL22" s="319">
        <v>161.85</v>
      </c>
      <c r="AM22" s="320">
        <f t="shared" si="8"/>
        <v>139.52586206896552</v>
      </c>
      <c r="AN22" s="321" t="e">
        <f t="shared" ca="1" si="9"/>
        <v>#VALUE!</v>
      </c>
      <c r="AO22" s="321" t="e">
        <f t="shared" ca="1" si="10"/>
        <v>#VALUE!</v>
      </c>
      <c r="AP22" s="317">
        <f t="shared" si="11"/>
        <v>0</v>
      </c>
      <c r="BA22" s="322">
        <v>1</v>
      </c>
      <c r="BB22" s="322">
        <v>1</v>
      </c>
      <c r="BC22" s="322">
        <v>1</v>
      </c>
      <c r="BD22" s="322">
        <v>1</v>
      </c>
      <c r="BE22" s="322">
        <v>1</v>
      </c>
      <c r="BF22" s="322"/>
      <c r="BG22" s="322"/>
      <c r="BH22" s="322"/>
      <c r="BI22" s="360"/>
      <c r="BJ22" s="322">
        <v>9</v>
      </c>
      <c r="BK22" s="385">
        <f t="shared" si="12"/>
        <v>5</v>
      </c>
      <c r="BL22" s="384">
        <f t="shared" si="13"/>
        <v>0.55555555555555558</v>
      </c>
      <c r="BM22" s="361"/>
      <c r="BN22" s="361"/>
      <c r="BO22" s="361"/>
      <c r="BP22" s="361"/>
      <c r="BQ22" s="361"/>
      <c r="BR22" s="362" t="s">
        <v>317</v>
      </c>
      <c r="BS22" s="382">
        <f t="shared" si="15"/>
        <v>46308</v>
      </c>
      <c r="BT22" s="325" t="s">
        <v>211</v>
      </c>
      <c r="CJ22" s="326">
        <v>46188</v>
      </c>
      <c r="CK22" s="325"/>
      <c r="CL22" s="325"/>
      <c r="CM22" s="325"/>
      <c r="CN22" s="325"/>
      <c r="CO22" s="325"/>
      <c r="CP22" s="327"/>
      <c r="CQ22" s="327"/>
      <c r="CR22" s="328"/>
      <c r="CS22" s="328"/>
      <c r="CT22" s="328"/>
      <c r="CU22" s="328"/>
      <c r="CV22" s="328"/>
      <c r="CW22" s="328"/>
      <c r="CX22" s="328"/>
      <c r="CY22" s="328"/>
      <c r="CZ22" s="328"/>
      <c r="DA22" s="328"/>
    </row>
    <row r="23" spans="1:105" ht="108.5">
      <c r="A23" s="304">
        <v>11</v>
      </c>
      <c r="B23" s="305">
        <v>46248</v>
      </c>
      <c r="C23" s="305" t="s">
        <v>305</v>
      </c>
      <c r="D23" s="305" t="s">
        <v>163</v>
      </c>
      <c r="E23" s="306">
        <v>7502327990956</v>
      </c>
      <c r="F23" s="304" t="s">
        <v>333</v>
      </c>
      <c r="G23" s="307" t="s">
        <v>334</v>
      </c>
      <c r="H23" s="308" t="s">
        <v>60</v>
      </c>
      <c r="I23" s="304" t="s">
        <v>335</v>
      </c>
      <c r="J23" s="307" t="s">
        <v>277</v>
      </c>
      <c r="K23" s="307" t="s">
        <v>309</v>
      </c>
      <c r="L23" s="304">
        <v>1</v>
      </c>
      <c r="M23" s="310" t="s">
        <v>310</v>
      </c>
      <c r="N23" s="311" t="s">
        <v>336</v>
      </c>
      <c r="O23" s="304" t="s">
        <v>312</v>
      </c>
      <c r="P23" s="357" t="s">
        <v>337</v>
      </c>
      <c r="Q23" s="312" t="s">
        <v>314</v>
      </c>
      <c r="R23" s="312">
        <v>10000</v>
      </c>
      <c r="S23" s="313" t="e">
        <f t="shared" ca="1" si="14"/>
        <v>#VALUE!</v>
      </c>
      <c r="T23" s="313" t="e">
        <f t="shared" ca="1" si="0"/>
        <v>#VALUE!</v>
      </c>
      <c r="U23" s="313" t="e">
        <f t="shared" ref="U23:U33" ca="1" si="16">(S23+T23)*0.0257</f>
        <v>#VALUE!</v>
      </c>
      <c r="V23" s="314" t="e">
        <f t="shared" ca="1" si="2"/>
        <v>#VALUE!</v>
      </c>
      <c r="W23" s="331">
        <v>169</v>
      </c>
      <c r="X23" s="313">
        <f t="shared" si="3"/>
        <v>145.68965517241381</v>
      </c>
      <c r="Y23" s="313">
        <f t="shared" si="4"/>
        <v>87.413793103448285</v>
      </c>
      <c r="Z23" s="316" t="e">
        <f t="shared" ca="1" si="5"/>
        <v>#VALUE!</v>
      </c>
      <c r="AA23" s="316" t="e">
        <f t="shared" ca="1" si="6"/>
        <v>#VALUE!</v>
      </c>
      <c r="AB23" s="317">
        <f t="shared" si="7"/>
        <v>0.4</v>
      </c>
      <c r="AC23" s="318" t="s">
        <v>315</v>
      </c>
      <c r="AD23" s="304"/>
      <c r="AE23" s="307">
        <v>6</v>
      </c>
      <c r="AF23" s="307">
        <v>144</v>
      </c>
      <c r="AG23" s="324" t="s">
        <v>316</v>
      </c>
      <c r="AH23" s="363">
        <v>46308</v>
      </c>
      <c r="AI23" s="359"/>
      <c r="AJ23" s="359"/>
      <c r="AL23" s="319">
        <v>109.85</v>
      </c>
      <c r="AM23" s="320">
        <f t="shared" si="8"/>
        <v>94.698275862068968</v>
      </c>
      <c r="AN23" s="321" t="e">
        <f t="shared" ca="1" si="9"/>
        <v>#VALUE!</v>
      </c>
      <c r="AO23" s="321" t="e">
        <f t="shared" ca="1" si="10"/>
        <v>#VALUE!</v>
      </c>
      <c r="AP23" s="317">
        <f t="shared" si="11"/>
        <v>0</v>
      </c>
      <c r="BA23" s="322">
        <v>1</v>
      </c>
      <c r="BB23" s="322">
        <v>1</v>
      </c>
      <c r="BC23" s="322">
        <v>1</v>
      </c>
      <c r="BD23" s="322">
        <v>1</v>
      </c>
      <c r="BE23" s="322">
        <v>1</v>
      </c>
      <c r="BF23" s="322"/>
      <c r="BG23" s="322"/>
      <c r="BH23" s="322"/>
      <c r="BI23" s="360"/>
      <c r="BJ23" s="322">
        <v>9</v>
      </c>
      <c r="BK23" s="385">
        <f t="shared" si="12"/>
        <v>5</v>
      </c>
      <c r="BL23" s="384">
        <f t="shared" si="13"/>
        <v>0.55555555555555558</v>
      </c>
      <c r="BM23" s="361"/>
      <c r="BN23" s="361"/>
      <c r="BO23" s="361"/>
      <c r="BP23" s="361"/>
      <c r="BQ23" s="361"/>
      <c r="BR23" s="362" t="s">
        <v>317</v>
      </c>
      <c r="BS23" s="382">
        <f t="shared" si="15"/>
        <v>46308</v>
      </c>
      <c r="BT23" s="325" t="s">
        <v>211</v>
      </c>
      <c r="CJ23" s="326">
        <v>46188</v>
      </c>
      <c r="CK23" s="325"/>
      <c r="CL23" s="325"/>
      <c r="CM23" s="325"/>
      <c r="CN23" s="325"/>
      <c r="CO23" s="325"/>
      <c r="CP23" s="327"/>
      <c r="CQ23" s="327"/>
      <c r="CR23" s="328"/>
      <c r="CS23" s="328"/>
      <c r="CT23" s="328"/>
      <c r="CU23" s="328"/>
      <c r="CV23" s="328"/>
      <c r="CW23" s="328"/>
      <c r="CX23" s="328"/>
      <c r="CY23" s="328"/>
      <c r="CZ23" s="328"/>
      <c r="DA23" s="328"/>
    </row>
    <row r="24" spans="1:105" ht="108.5">
      <c r="A24" s="304">
        <v>12</v>
      </c>
      <c r="B24" s="305">
        <v>46248</v>
      </c>
      <c r="C24" s="305" t="s">
        <v>305</v>
      </c>
      <c r="D24" s="305" t="s">
        <v>163</v>
      </c>
      <c r="E24" s="306">
        <v>7502327990963</v>
      </c>
      <c r="F24" s="304" t="s">
        <v>338</v>
      </c>
      <c r="G24" s="307" t="s">
        <v>339</v>
      </c>
      <c r="H24" s="308" t="s">
        <v>60</v>
      </c>
      <c r="I24" s="304" t="s">
        <v>335</v>
      </c>
      <c r="J24" s="307" t="s">
        <v>277</v>
      </c>
      <c r="K24" s="307" t="s">
        <v>309</v>
      </c>
      <c r="L24" s="304">
        <v>1</v>
      </c>
      <c r="M24" s="310" t="s">
        <v>310</v>
      </c>
      <c r="N24" s="311" t="s">
        <v>340</v>
      </c>
      <c r="O24" s="304" t="s">
        <v>312</v>
      </c>
      <c r="P24" s="357" t="s">
        <v>337</v>
      </c>
      <c r="Q24" s="312" t="s">
        <v>314</v>
      </c>
      <c r="R24" s="312">
        <v>10000</v>
      </c>
      <c r="S24" s="313" t="e">
        <f t="shared" ca="1" si="14"/>
        <v>#VALUE!</v>
      </c>
      <c r="T24" s="313" t="e">
        <f t="shared" ca="1" si="0"/>
        <v>#VALUE!</v>
      </c>
      <c r="U24" s="313" t="e">
        <f t="shared" ca="1" si="16"/>
        <v>#VALUE!</v>
      </c>
      <c r="V24" s="314" t="e">
        <f t="shared" ca="1" si="2"/>
        <v>#VALUE!</v>
      </c>
      <c r="W24" s="331">
        <v>169</v>
      </c>
      <c r="X24" s="313">
        <f t="shared" si="3"/>
        <v>145.68965517241381</v>
      </c>
      <c r="Y24" s="313">
        <f t="shared" si="4"/>
        <v>87.413793103448285</v>
      </c>
      <c r="Z24" s="316" t="e">
        <f t="shared" ca="1" si="5"/>
        <v>#VALUE!</v>
      </c>
      <c r="AA24" s="316" t="e">
        <f t="shared" ca="1" si="6"/>
        <v>#VALUE!</v>
      </c>
      <c r="AB24" s="317">
        <f t="shared" si="7"/>
        <v>0.4</v>
      </c>
      <c r="AC24" s="318" t="s">
        <v>315</v>
      </c>
      <c r="AD24" s="304"/>
      <c r="AE24" s="307">
        <v>6</v>
      </c>
      <c r="AF24" s="307">
        <v>144</v>
      </c>
      <c r="AG24" s="324" t="s">
        <v>316</v>
      </c>
      <c r="AH24" s="363">
        <v>46308</v>
      </c>
      <c r="AI24" s="359"/>
      <c r="AJ24" s="359"/>
      <c r="AL24" s="319">
        <v>109.85</v>
      </c>
      <c r="AM24" s="320">
        <f t="shared" si="8"/>
        <v>94.698275862068968</v>
      </c>
      <c r="AN24" s="321" t="e">
        <f t="shared" ca="1" si="9"/>
        <v>#VALUE!</v>
      </c>
      <c r="AO24" s="321" t="e">
        <f t="shared" ca="1" si="10"/>
        <v>#VALUE!</v>
      </c>
      <c r="AP24" s="317">
        <f t="shared" si="11"/>
        <v>0</v>
      </c>
      <c r="BA24" s="322">
        <v>1</v>
      </c>
      <c r="BB24" s="322">
        <v>1</v>
      </c>
      <c r="BC24" s="322">
        <v>1</v>
      </c>
      <c r="BD24" s="322">
        <v>1</v>
      </c>
      <c r="BE24" s="322">
        <v>1</v>
      </c>
      <c r="BF24" s="322"/>
      <c r="BG24" s="322"/>
      <c r="BH24" s="322"/>
      <c r="BI24" s="360"/>
      <c r="BJ24" s="322">
        <v>9</v>
      </c>
      <c r="BK24" s="385">
        <f t="shared" si="12"/>
        <v>5</v>
      </c>
      <c r="BL24" s="384">
        <f t="shared" si="13"/>
        <v>0.55555555555555558</v>
      </c>
      <c r="BM24" s="361"/>
      <c r="BN24" s="361"/>
      <c r="BO24" s="361"/>
      <c r="BP24" s="361"/>
      <c r="BQ24" s="361"/>
      <c r="BR24" s="362" t="s">
        <v>317</v>
      </c>
      <c r="BS24" s="382">
        <f t="shared" si="15"/>
        <v>46308</v>
      </c>
      <c r="BT24" s="325" t="s">
        <v>211</v>
      </c>
      <c r="CJ24" s="326">
        <v>46188</v>
      </c>
      <c r="CK24" s="325"/>
      <c r="CL24" s="325"/>
      <c r="CM24" s="325"/>
      <c r="CN24" s="325"/>
      <c r="CO24" s="325"/>
      <c r="CP24" s="327"/>
      <c r="CQ24" s="327"/>
      <c r="CR24" s="328"/>
      <c r="CS24" s="328"/>
      <c r="CT24" s="328"/>
      <c r="CU24" s="328"/>
      <c r="CV24" s="328"/>
      <c r="CW24" s="328"/>
      <c r="CX24" s="328"/>
      <c r="CY24" s="328"/>
      <c r="CZ24" s="328"/>
      <c r="DA24" s="328"/>
    </row>
    <row r="25" spans="1:105" ht="108.5">
      <c r="A25" s="304">
        <v>13</v>
      </c>
      <c r="B25" s="305">
        <v>46248</v>
      </c>
      <c r="C25" s="305" t="s">
        <v>305</v>
      </c>
      <c r="D25" s="305" t="s">
        <v>163</v>
      </c>
      <c r="E25" s="306">
        <v>7502327990970</v>
      </c>
      <c r="F25" s="304" t="s">
        <v>341</v>
      </c>
      <c r="G25" s="307" t="s">
        <v>342</v>
      </c>
      <c r="H25" s="308" t="s">
        <v>60</v>
      </c>
      <c r="I25" s="304" t="s">
        <v>335</v>
      </c>
      <c r="J25" s="307" t="s">
        <v>277</v>
      </c>
      <c r="K25" s="307" t="s">
        <v>309</v>
      </c>
      <c r="L25" s="304">
        <v>1</v>
      </c>
      <c r="M25" s="310" t="s">
        <v>310</v>
      </c>
      <c r="N25" s="311" t="s">
        <v>340</v>
      </c>
      <c r="O25" s="304" t="s">
        <v>312</v>
      </c>
      <c r="P25" s="357" t="s">
        <v>337</v>
      </c>
      <c r="Q25" s="312" t="s">
        <v>314</v>
      </c>
      <c r="R25" s="312">
        <v>10000</v>
      </c>
      <c r="S25" s="313" t="e">
        <f t="shared" ca="1" si="14"/>
        <v>#VALUE!</v>
      </c>
      <c r="T25" s="313" t="e">
        <f t="shared" ca="1" si="0"/>
        <v>#VALUE!</v>
      </c>
      <c r="U25" s="313" t="e">
        <f t="shared" ca="1" si="16"/>
        <v>#VALUE!</v>
      </c>
      <c r="V25" s="314" t="e">
        <f t="shared" ca="1" si="2"/>
        <v>#VALUE!</v>
      </c>
      <c r="W25" s="331">
        <v>169</v>
      </c>
      <c r="X25" s="313">
        <f t="shared" si="3"/>
        <v>145.68965517241381</v>
      </c>
      <c r="Y25" s="313">
        <f t="shared" si="4"/>
        <v>87.413793103448285</v>
      </c>
      <c r="Z25" s="316" t="e">
        <f t="shared" ca="1" si="5"/>
        <v>#VALUE!</v>
      </c>
      <c r="AA25" s="316" t="e">
        <f t="shared" ca="1" si="6"/>
        <v>#VALUE!</v>
      </c>
      <c r="AB25" s="317">
        <f t="shared" si="7"/>
        <v>0.4</v>
      </c>
      <c r="AC25" s="318" t="s">
        <v>315</v>
      </c>
      <c r="AD25" s="304"/>
      <c r="AE25" s="307">
        <v>6</v>
      </c>
      <c r="AF25" s="307">
        <v>144</v>
      </c>
      <c r="AG25" s="324" t="s">
        <v>316</v>
      </c>
      <c r="AH25" s="363">
        <v>46308</v>
      </c>
      <c r="AI25" s="359"/>
      <c r="AJ25" s="359"/>
      <c r="AL25" s="319">
        <v>109.85</v>
      </c>
      <c r="AM25" s="320">
        <f t="shared" si="8"/>
        <v>94.698275862068968</v>
      </c>
      <c r="AN25" s="321" t="e">
        <f t="shared" ca="1" si="9"/>
        <v>#VALUE!</v>
      </c>
      <c r="AO25" s="321" t="e">
        <f t="shared" ca="1" si="10"/>
        <v>#VALUE!</v>
      </c>
      <c r="AP25" s="317">
        <f t="shared" si="11"/>
        <v>0</v>
      </c>
      <c r="BA25" s="322">
        <v>1</v>
      </c>
      <c r="BB25" s="322">
        <v>1</v>
      </c>
      <c r="BC25" s="322">
        <v>1</v>
      </c>
      <c r="BD25" s="322">
        <v>1</v>
      </c>
      <c r="BE25" s="322">
        <v>1</v>
      </c>
      <c r="BF25" s="322"/>
      <c r="BG25" s="322"/>
      <c r="BH25" s="322"/>
      <c r="BI25" s="360"/>
      <c r="BJ25" s="322">
        <v>9</v>
      </c>
      <c r="BK25" s="385">
        <f t="shared" si="12"/>
        <v>5</v>
      </c>
      <c r="BL25" s="384">
        <f t="shared" si="13"/>
        <v>0.55555555555555558</v>
      </c>
      <c r="BM25" s="361"/>
      <c r="BN25" s="361"/>
      <c r="BO25" s="361"/>
      <c r="BP25" s="361"/>
      <c r="BQ25" s="361"/>
      <c r="BR25" s="362" t="s">
        <v>317</v>
      </c>
      <c r="BS25" s="382">
        <f t="shared" si="15"/>
        <v>46308</v>
      </c>
      <c r="BT25" s="325" t="s">
        <v>211</v>
      </c>
      <c r="CJ25" s="326">
        <v>46188</v>
      </c>
      <c r="CK25" s="325"/>
      <c r="CL25" s="325"/>
      <c r="CM25" s="325"/>
      <c r="CN25" s="325"/>
      <c r="CO25" s="325"/>
      <c r="CP25" s="327"/>
      <c r="CQ25" s="327"/>
      <c r="CR25" s="328"/>
      <c r="CS25" s="328"/>
      <c r="CT25" s="328"/>
      <c r="CU25" s="328"/>
      <c r="CV25" s="328"/>
      <c r="CW25" s="328"/>
      <c r="CX25" s="328"/>
      <c r="CY25" s="328"/>
      <c r="CZ25" s="328"/>
      <c r="DA25" s="328"/>
    </row>
    <row r="26" spans="1:105" ht="108.5">
      <c r="A26" s="304">
        <v>14</v>
      </c>
      <c r="B26" s="305">
        <v>46248</v>
      </c>
      <c r="C26" s="305" t="s">
        <v>305</v>
      </c>
      <c r="D26" s="305" t="s">
        <v>163</v>
      </c>
      <c r="E26" s="306">
        <v>7502327990987</v>
      </c>
      <c r="F26" s="304" t="s">
        <v>343</v>
      </c>
      <c r="G26" s="307" t="s">
        <v>344</v>
      </c>
      <c r="H26" s="308" t="s">
        <v>60</v>
      </c>
      <c r="I26" s="304" t="s">
        <v>335</v>
      </c>
      <c r="J26" s="307" t="s">
        <v>277</v>
      </c>
      <c r="K26" s="307" t="s">
        <v>309</v>
      </c>
      <c r="L26" s="304">
        <v>1</v>
      </c>
      <c r="M26" s="310" t="s">
        <v>310</v>
      </c>
      <c r="N26" s="311" t="s">
        <v>340</v>
      </c>
      <c r="O26" s="304" t="s">
        <v>312</v>
      </c>
      <c r="P26" s="357" t="s">
        <v>337</v>
      </c>
      <c r="Q26" s="312" t="s">
        <v>314</v>
      </c>
      <c r="R26" s="312">
        <v>10000</v>
      </c>
      <c r="S26" s="313" t="e">
        <f t="shared" ca="1" si="14"/>
        <v>#VALUE!</v>
      </c>
      <c r="T26" s="313" t="e">
        <f t="shared" ca="1" si="0"/>
        <v>#VALUE!</v>
      </c>
      <c r="U26" s="313" t="e">
        <f t="shared" ca="1" si="16"/>
        <v>#VALUE!</v>
      </c>
      <c r="V26" s="314" t="e">
        <f t="shared" ca="1" si="2"/>
        <v>#VALUE!</v>
      </c>
      <c r="W26" s="331">
        <v>169</v>
      </c>
      <c r="X26" s="313">
        <f t="shared" si="3"/>
        <v>145.68965517241381</v>
      </c>
      <c r="Y26" s="313">
        <f t="shared" si="4"/>
        <v>87.413793103448285</v>
      </c>
      <c r="Z26" s="316" t="e">
        <f t="shared" ca="1" si="5"/>
        <v>#VALUE!</v>
      </c>
      <c r="AA26" s="316" t="e">
        <f t="shared" ca="1" si="6"/>
        <v>#VALUE!</v>
      </c>
      <c r="AB26" s="317">
        <f t="shared" si="7"/>
        <v>0.4</v>
      </c>
      <c r="AC26" s="318" t="s">
        <v>315</v>
      </c>
      <c r="AD26" s="304"/>
      <c r="AE26" s="307">
        <v>6</v>
      </c>
      <c r="AF26" s="307">
        <v>144</v>
      </c>
      <c r="AG26" s="324" t="s">
        <v>316</v>
      </c>
      <c r="AH26" s="363">
        <v>46308</v>
      </c>
      <c r="AI26" s="359"/>
      <c r="AJ26" s="359"/>
      <c r="AL26" s="319">
        <v>109.85</v>
      </c>
      <c r="AM26" s="320">
        <f t="shared" si="8"/>
        <v>94.698275862068968</v>
      </c>
      <c r="AN26" s="321" t="e">
        <f t="shared" ca="1" si="9"/>
        <v>#VALUE!</v>
      </c>
      <c r="AO26" s="321" t="e">
        <f t="shared" ca="1" si="10"/>
        <v>#VALUE!</v>
      </c>
      <c r="AP26" s="317">
        <f t="shared" si="11"/>
        <v>0</v>
      </c>
      <c r="BA26" s="322">
        <v>1</v>
      </c>
      <c r="BB26" s="322">
        <v>1</v>
      </c>
      <c r="BC26" s="322">
        <v>1</v>
      </c>
      <c r="BD26" s="322">
        <v>1</v>
      </c>
      <c r="BE26" s="322">
        <v>1</v>
      </c>
      <c r="BF26" s="322"/>
      <c r="BG26" s="322"/>
      <c r="BH26" s="322"/>
      <c r="BI26" s="360"/>
      <c r="BJ26" s="322">
        <v>9</v>
      </c>
      <c r="BK26" s="385">
        <f t="shared" si="12"/>
        <v>5</v>
      </c>
      <c r="BL26" s="384">
        <f t="shared" si="13"/>
        <v>0.55555555555555558</v>
      </c>
      <c r="BM26" s="361"/>
      <c r="BN26" s="361"/>
      <c r="BO26" s="361"/>
      <c r="BP26" s="361"/>
      <c r="BQ26" s="361"/>
      <c r="BR26" s="362" t="s">
        <v>317</v>
      </c>
      <c r="BS26" s="382">
        <f t="shared" si="15"/>
        <v>46308</v>
      </c>
      <c r="BT26" s="325" t="s">
        <v>211</v>
      </c>
      <c r="CJ26" s="326">
        <v>46188</v>
      </c>
      <c r="CK26" s="325"/>
      <c r="CL26" s="325"/>
      <c r="CM26" s="325"/>
      <c r="CN26" s="325"/>
      <c r="CO26" s="325"/>
      <c r="CP26" s="327"/>
      <c r="CQ26" s="327"/>
      <c r="CR26" s="328"/>
      <c r="CS26" s="328"/>
      <c r="CT26" s="328"/>
      <c r="CU26" s="328"/>
      <c r="CV26" s="328"/>
      <c r="CW26" s="328"/>
      <c r="CX26" s="328"/>
      <c r="CY26" s="328"/>
      <c r="CZ26" s="328"/>
      <c r="DA26" s="328"/>
    </row>
    <row r="27" spans="1:105" ht="108.5">
      <c r="A27" s="304">
        <v>15</v>
      </c>
      <c r="B27" s="305">
        <v>46248</v>
      </c>
      <c r="C27" s="305" t="s">
        <v>305</v>
      </c>
      <c r="D27" s="305" t="s">
        <v>163</v>
      </c>
      <c r="E27" s="306">
        <v>7502327990994</v>
      </c>
      <c r="F27" s="304" t="s">
        <v>345</v>
      </c>
      <c r="G27" s="307" t="s">
        <v>346</v>
      </c>
      <c r="H27" s="308" t="s">
        <v>60</v>
      </c>
      <c r="I27" s="304" t="s">
        <v>335</v>
      </c>
      <c r="J27" s="307" t="s">
        <v>277</v>
      </c>
      <c r="K27" s="307" t="s">
        <v>309</v>
      </c>
      <c r="L27" s="304">
        <v>1</v>
      </c>
      <c r="M27" s="310" t="s">
        <v>310</v>
      </c>
      <c r="N27" s="311" t="s">
        <v>340</v>
      </c>
      <c r="O27" s="304" t="s">
        <v>312</v>
      </c>
      <c r="P27" s="357" t="s">
        <v>337</v>
      </c>
      <c r="Q27" s="312" t="s">
        <v>314</v>
      </c>
      <c r="R27" s="312">
        <v>10000</v>
      </c>
      <c r="S27" s="313" t="e">
        <f t="shared" ca="1" si="14"/>
        <v>#VALUE!</v>
      </c>
      <c r="T27" s="313" t="e">
        <f t="shared" ca="1" si="0"/>
        <v>#VALUE!</v>
      </c>
      <c r="U27" s="313" t="e">
        <f t="shared" ca="1" si="16"/>
        <v>#VALUE!</v>
      </c>
      <c r="V27" s="314" t="e">
        <f t="shared" ca="1" si="2"/>
        <v>#VALUE!</v>
      </c>
      <c r="W27" s="331">
        <v>169</v>
      </c>
      <c r="X27" s="313">
        <f t="shared" si="3"/>
        <v>145.68965517241381</v>
      </c>
      <c r="Y27" s="313">
        <f t="shared" si="4"/>
        <v>87.413793103448285</v>
      </c>
      <c r="Z27" s="316" t="e">
        <f t="shared" ca="1" si="5"/>
        <v>#VALUE!</v>
      </c>
      <c r="AA27" s="316" t="e">
        <f t="shared" ca="1" si="6"/>
        <v>#VALUE!</v>
      </c>
      <c r="AB27" s="317">
        <f t="shared" si="7"/>
        <v>0.4</v>
      </c>
      <c r="AC27" s="318" t="s">
        <v>315</v>
      </c>
      <c r="AD27" s="304"/>
      <c r="AE27" s="307">
        <v>6</v>
      </c>
      <c r="AF27" s="307">
        <v>144</v>
      </c>
      <c r="AG27" s="324" t="s">
        <v>316</v>
      </c>
      <c r="AH27" s="363">
        <v>46308</v>
      </c>
      <c r="AI27" s="359"/>
      <c r="AJ27" s="359"/>
      <c r="AL27" s="319">
        <v>109.85</v>
      </c>
      <c r="AM27" s="320">
        <f t="shared" si="8"/>
        <v>94.698275862068968</v>
      </c>
      <c r="AN27" s="321" t="e">
        <f t="shared" ca="1" si="9"/>
        <v>#VALUE!</v>
      </c>
      <c r="AO27" s="321" t="e">
        <f t="shared" ca="1" si="10"/>
        <v>#VALUE!</v>
      </c>
      <c r="AP27" s="317">
        <f t="shared" si="11"/>
        <v>0</v>
      </c>
      <c r="BA27" s="322">
        <v>1</v>
      </c>
      <c r="BB27" s="322">
        <v>1</v>
      </c>
      <c r="BC27" s="322">
        <v>1</v>
      </c>
      <c r="BD27" s="322">
        <v>1</v>
      </c>
      <c r="BE27" s="322">
        <v>1</v>
      </c>
      <c r="BF27" s="322"/>
      <c r="BG27" s="322"/>
      <c r="BH27" s="322"/>
      <c r="BI27" s="360"/>
      <c r="BJ27" s="322">
        <v>9</v>
      </c>
      <c r="BK27" s="385">
        <f t="shared" si="12"/>
        <v>5</v>
      </c>
      <c r="BL27" s="384">
        <f t="shared" si="13"/>
        <v>0.55555555555555558</v>
      </c>
      <c r="BM27" s="361"/>
      <c r="BN27" s="361"/>
      <c r="BO27" s="361"/>
      <c r="BP27" s="361"/>
      <c r="BQ27" s="361"/>
      <c r="BR27" s="362" t="s">
        <v>317</v>
      </c>
      <c r="BS27" s="382">
        <f t="shared" si="15"/>
        <v>46308</v>
      </c>
      <c r="BT27" s="325" t="s">
        <v>211</v>
      </c>
      <c r="CJ27" s="326">
        <v>46188</v>
      </c>
      <c r="CK27" s="325"/>
      <c r="CL27" s="325"/>
      <c r="CM27" s="325"/>
      <c r="CN27" s="325"/>
      <c r="CO27" s="325"/>
      <c r="CP27" s="327"/>
      <c r="CQ27" s="327"/>
      <c r="CR27" s="328"/>
      <c r="CS27" s="328"/>
      <c r="CT27" s="328"/>
      <c r="CU27" s="328"/>
      <c r="CV27" s="328"/>
      <c r="CW27" s="328"/>
      <c r="CX27" s="328"/>
      <c r="CY27" s="328"/>
      <c r="CZ27" s="328"/>
      <c r="DA27" s="328"/>
    </row>
    <row r="28" spans="1:105" ht="356.5">
      <c r="A28" s="304">
        <v>16</v>
      </c>
      <c r="B28" s="305">
        <v>46248</v>
      </c>
      <c r="C28" s="305" t="s">
        <v>305</v>
      </c>
      <c r="D28" s="305" t="s">
        <v>163</v>
      </c>
      <c r="E28" s="306">
        <v>7502327991007</v>
      </c>
      <c r="F28" s="304" t="s">
        <v>347</v>
      </c>
      <c r="G28" s="307" t="s">
        <v>348</v>
      </c>
      <c r="H28" s="308" t="s">
        <v>60</v>
      </c>
      <c r="I28" s="304" t="s">
        <v>335</v>
      </c>
      <c r="J28" s="307" t="s">
        <v>277</v>
      </c>
      <c r="K28" s="307" t="s">
        <v>309</v>
      </c>
      <c r="L28" s="304">
        <v>1</v>
      </c>
      <c r="M28" s="310" t="s">
        <v>310</v>
      </c>
      <c r="N28" s="311" t="s">
        <v>349</v>
      </c>
      <c r="O28" s="304" t="s">
        <v>312</v>
      </c>
      <c r="P28" s="357" t="s">
        <v>350</v>
      </c>
      <c r="Q28" s="312" t="s">
        <v>314</v>
      </c>
      <c r="R28" s="312">
        <v>10000</v>
      </c>
      <c r="S28" s="313" t="e">
        <f t="shared" ca="1" si="14"/>
        <v>#VALUE!</v>
      </c>
      <c r="T28" s="313" t="e">
        <f t="shared" ca="1" si="0"/>
        <v>#VALUE!</v>
      </c>
      <c r="U28" s="313" t="e">
        <f t="shared" ca="1" si="16"/>
        <v>#VALUE!</v>
      </c>
      <c r="V28" s="314" t="e">
        <f t="shared" ca="1" si="2"/>
        <v>#VALUE!</v>
      </c>
      <c r="W28" s="331">
        <v>169</v>
      </c>
      <c r="X28" s="313">
        <f t="shared" si="3"/>
        <v>145.68965517241381</v>
      </c>
      <c r="Y28" s="313">
        <f t="shared" si="4"/>
        <v>87.413793103448285</v>
      </c>
      <c r="Z28" s="316" t="e">
        <f t="shared" ca="1" si="5"/>
        <v>#VALUE!</v>
      </c>
      <c r="AA28" s="316" t="e">
        <f t="shared" ca="1" si="6"/>
        <v>#VALUE!</v>
      </c>
      <c r="AB28" s="317">
        <f t="shared" si="7"/>
        <v>0.4</v>
      </c>
      <c r="AC28" s="318" t="s">
        <v>315</v>
      </c>
      <c r="AD28" s="304"/>
      <c r="AE28" s="307">
        <v>6</v>
      </c>
      <c r="AF28" s="307">
        <v>144</v>
      </c>
      <c r="AG28" s="324" t="s">
        <v>351</v>
      </c>
      <c r="AH28" s="358">
        <v>46315</v>
      </c>
      <c r="AI28" s="359"/>
      <c r="AJ28" s="359"/>
      <c r="AL28" s="319">
        <v>109.85</v>
      </c>
      <c r="AM28" s="320">
        <f t="shared" si="8"/>
        <v>94.698275862068968</v>
      </c>
      <c r="AN28" s="321" t="e">
        <f t="shared" ca="1" si="9"/>
        <v>#VALUE!</v>
      </c>
      <c r="AO28" s="321" t="e">
        <f t="shared" ca="1" si="10"/>
        <v>#VALUE!</v>
      </c>
      <c r="AP28" s="317">
        <f t="shared" si="11"/>
        <v>0</v>
      </c>
      <c r="BA28" s="322">
        <v>1</v>
      </c>
      <c r="BB28" s="322">
        <v>1</v>
      </c>
      <c r="BC28" s="322">
        <v>1</v>
      </c>
      <c r="BD28" s="322">
        <v>1</v>
      </c>
      <c r="BE28" s="322"/>
      <c r="BF28" s="322"/>
      <c r="BG28" s="322"/>
      <c r="BH28" s="322"/>
      <c r="BI28" s="360"/>
      <c r="BJ28" s="322">
        <v>9</v>
      </c>
      <c r="BK28" s="385">
        <f t="shared" si="12"/>
        <v>4</v>
      </c>
      <c r="BL28" s="384">
        <f t="shared" si="13"/>
        <v>0.44444444444444442</v>
      </c>
      <c r="BM28" s="361"/>
      <c r="BN28" s="361"/>
      <c r="BO28" s="361"/>
      <c r="BP28" s="361"/>
      <c r="BQ28" s="361"/>
      <c r="BR28" s="362" t="s">
        <v>317</v>
      </c>
      <c r="BS28" s="382">
        <f t="shared" si="15"/>
        <v>46315</v>
      </c>
      <c r="BT28" s="325" t="s">
        <v>211</v>
      </c>
      <c r="CJ28" s="326">
        <v>46195</v>
      </c>
      <c r="CK28" s="325"/>
      <c r="CL28" s="325"/>
      <c r="CM28" s="325"/>
      <c r="CN28" s="325"/>
      <c r="CO28" s="325"/>
      <c r="CP28" s="327"/>
      <c r="CQ28" s="327"/>
      <c r="CR28" s="328"/>
      <c r="CS28" s="328"/>
      <c r="CT28" s="328"/>
      <c r="CU28" s="328"/>
      <c r="CV28" s="328"/>
      <c r="CW28" s="328"/>
      <c r="CX28" s="328"/>
      <c r="CY28" s="328"/>
      <c r="CZ28" s="328"/>
      <c r="DA28" s="328"/>
    </row>
    <row r="29" spans="1:105" ht="356.5">
      <c r="A29" s="304">
        <v>17</v>
      </c>
      <c r="B29" s="305">
        <v>46248</v>
      </c>
      <c r="C29" s="305" t="s">
        <v>305</v>
      </c>
      <c r="D29" s="305" t="s">
        <v>163</v>
      </c>
      <c r="E29" s="306">
        <v>7502327991014</v>
      </c>
      <c r="F29" s="304" t="s">
        <v>352</v>
      </c>
      <c r="G29" s="307" t="s">
        <v>348</v>
      </c>
      <c r="H29" s="308" t="s">
        <v>60</v>
      </c>
      <c r="I29" s="304" t="s">
        <v>335</v>
      </c>
      <c r="J29" s="307" t="s">
        <v>277</v>
      </c>
      <c r="K29" s="307" t="s">
        <v>309</v>
      </c>
      <c r="L29" s="304">
        <v>1</v>
      </c>
      <c r="M29" s="310" t="s">
        <v>310</v>
      </c>
      <c r="N29" s="311" t="s">
        <v>349</v>
      </c>
      <c r="O29" s="304" t="s">
        <v>312</v>
      </c>
      <c r="P29" s="357" t="s">
        <v>350</v>
      </c>
      <c r="Q29" s="312" t="s">
        <v>314</v>
      </c>
      <c r="R29" s="312">
        <v>10000</v>
      </c>
      <c r="S29" s="313" t="e">
        <f t="shared" ca="1" si="14"/>
        <v>#VALUE!</v>
      </c>
      <c r="T29" s="313" t="e">
        <f t="shared" ca="1" si="0"/>
        <v>#VALUE!</v>
      </c>
      <c r="U29" s="313" t="e">
        <f t="shared" ca="1" si="16"/>
        <v>#VALUE!</v>
      </c>
      <c r="V29" s="314" t="e">
        <f t="shared" ca="1" si="2"/>
        <v>#VALUE!</v>
      </c>
      <c r="W29" s="331">
        <v>169</v>
      </c>
      <c r="X29" s="313">
        <f t="shared" si="3"/>
        <v>145.68965517241381</v>
      </c>
      <c r="Y29" s="313">
        <f t="shared" si="4"/>
        <v>87.413793103448285</v>
      </c>
      <c r="Z29" s="316" t="e">
        <f t="shared" ca="1" si="5"/>
        <v>#VALUE!</v>
      </c>
      <c r="AA29" s="316" t="e">
        <f t="shared" ca="1" si="6"/>
        <v>#VALUE!</v>
      </c>
      <c r="AB29" s="317">
        <f t="shared" si="7"/>
        <v>0.4</v>
      </c>
      <c r="AC29" s="318" t="s">
        <v>315</v>
      </c>
      <c r="AD29" s="304"/>
      <c r="AE29" s="307">
        <v>6</v>
      </c>
      <c r="AF29" s="307">
        <v>144</v>
      </c>
      <c r="AG29" s="324" t="s">
        <v>351</v>
      </c>
      <c r="AH29" s="363">
        <v>46315</v>
      </c>
      <c r="AI29" s="359"/>
      <c r="AJ29" s="359"/>
      <c r="AL29" s="319">
        <v>109.85</v>
      </c>
      <c r="AM29" s="320">
        <f t="shared" si="8"/>
        <v>94.698275862068968</v>
      </c>
      <c r="AN29" s="321" t="e">
        <f t="shared" ca="1" si="9"/>
        <v>#VALUE!</v>
      </c>
      <c r="AO29" s="321" t="e">
        <f t="shared" ca="1" si="10"/>
        <v>#VALUE!</v>
      </c>
      <c r="AP29" s="317">
        <f t="shared" si="11"/>
        <v>0</v>
      </c>
      <c r="BA29" s="322">
        <v>1</v>
      </c>
      <c r="BB29" s="322">
        <v>1</v>
      </c>
      <c r="BC29" s="322">
        <v>1</v>
      </c>
      <c r="BD29" s="322">
        <v>1</v>
      </c>
      <c r="BE29" s="322"/>
      <c r="BF29" s="322"/>
      <c r="BG29" s="322"/>
      <c r="BH29" s="322"/>
      <c r="BI29" s="360"/>
      <c r="BJ29" s="322">
        <v>9</v>
      </c>
      <c r="BK29" s="385">
        <f t="shared" si="12"/>
        <v>4</v>
      </c>
      <c r="BL29" s="384">
        <f t="shared" si="13"/>
        <v>0.44444444444444442</v>
      </c>
      <c r="BM29" s="361"/>
      <c r="BN29" s="361"/>
      <c r="BO29" s="361"/>
      <c r="BP29" s="361"/>
      <c r="BQ29" s="361"/>
      <c r="BR29" s="362" t="s">
        <v>317</v>
      </c>
      <c r="BS29" s="382">
        <f t="shared" si="15"/>
        <v>46315</v>
      </c>
      <c r="BT29" s="325" t="s">
        <v>211</v>
      </c>
      <c r="CJ29" s="326">
        <v>46195</v>
      </c>
      <c r="CK29" s="325"/>
      <c r="CL29" s="325"/>
      <c r="CM29" s="325"/>
      <c r="CN29" s="325"/>
      <c r="CO29" s="325"/>
      <c r="CP29" s="327"/>
      <c r="CQ29" s="327"/>
      <c r="CR29" s="328"/>
      <c r="CS29" s="328"/>
      <c r="CT29" s="328"/>
      <c r="CU29" s="328"/>
      <c r="CV29" s="328"/>
      <c r="CW29" s="328"/>
      <c r="CX29" s="328"/>
      <c r="CY29" s="328"/>
      <c r="CZ29" s="328"/>
      <c r="DA29" s="328"/>
    </row>
    <row r="30" spans="1:105" ht="356.5">
      <c r="A30" s="304">
        <v>18</v>
      </c>
      <c r="B30" s="305">
        <v>46248</v>
      </c>
      <c r="C30" s="305" t="s">
        <v>305</v>
      </c>
      <c r="D30" s="305" t="s">
        <v>163</v>
      </c>
      <c r="E30" s="306">
        <v>7502327991021</v>
      </c>
      <c r="F30" s="304" t="s">
        <v>353</v>
      </c>
      <c r="G30" s="307" t="s">
        <v>348</v>
      </c>
      <c r="H30" s="308" t="s">
        <v>60</v>
      </c>
      <c r="I30" s="304" t="s">
        <v>335</v>
      </c>
      <c r="J30" s="307" t="s">
        <v>277</v>
      </c>
      <c r="K30" s="307" t="s">
        <v>309</v>
      </c>
      <c r="L30" s="304">
        <v>1</v>
      </c>
      <c r="M30" s="310" t="s">
        <v>310</v>
      </c>
      <c r="N30" s="311" t="s">
        <v>349</v>
      </c>
      <c r="O30" s="304" t="s">
        <v>312</v>
      </c>
      <c r="P30" s="357" t="s">
        <v>350</v>
      </c>
      <c r="Q30" s="312" t="s">
        <v>314</v>
      </c>
      <c r="R30" s="312">
        <v>10000</v>
      </c>
      <c r="S30" s="313" t="e">
        <f t="shared" ca="1" si="14"/>
        <v>#VALUE!</v>
      </c>
      <c r="T30" s="313" t="e">
        <f t="shared" ca="1" si="0"/>
        <v>#VALUE!</v>
      </c>
      <c r="U30" s="313" t="e">
        <f t="shared" ca="1" si="16"/>
        <v>#VALUE!</v>
      </c>
      <c r="V30" s="314" t="e">
        <f t="shared" ca="1" si="2"/>
        <v>#VALUE!</v>
      </c>
      <c r="W30" s="331">
        <v>169</v>
      </c>
      <c r="X30" s="313">
        <f t="shared" si="3"/>
        <v>145.68965517241381</v>
      </c>
      <c r="Y30" s="313">
        <f t="shared" si="4"/>
        <v>87.413793103448285</v>
      </c>
      <c r="Z30" s="316" t="e">
        <f t="shared" ca="1" si="5"/>
        <v>#VALUE!</v>
      </c>
      <c r="AA30" s="316" t="e">
        <f t="shared" ca="1" si="6"/>
        <v>#VALUE!</v>
      </c>
      <c r="AB30" s="317">
        <f t="shared" si="7"/>
        <v>0.4</v>
      </c>
      <c r="AC30" s="318" t="s">
        <v>315</v>
      </c>
      <c r="AD30" s="304"/>
      <c r="AE30" s="307">
        <v>6</v>
      </c>
      <c r="AF30" s="307">
        <v>144</v>
      </c>
      <c r="AG30" s="324" t="s">
        <v>351</v>
      </c>
      <c r="AH30" s="363">
        <v>46315</v>
      </c>
      <c r="AI30" s="359"/>
      <c r="AJ30" s="359"/>
      <c r="AL30" s="319">
        <v>109.85</v>
      </c>
      <c r="AM30" s="320">
        <f t="shared" si="8"/>
        <v>94.698275862068968</v>
      </c>
      <c r="AN30" s="321" t="e">
        <f t="shared" ca="1" si="9"/>
        <v>#VALUE!</v>
      </c>
      <c r="AO30" s="321" t="e">
        <f t="shared" ca="1" si="10"/>
        <v>#VALUE!</v>
      </c>
      <c r="AP30" s="317">
        <f t="shared" si="11"/>
        <v>0</v>
      </c>
      <c r="BA30" s="322">
        <v>1</v>
      </c>
      <c r="BB30" s="322">
        <v>1</v>
      </c>
      <c r="BC30" s="322">
        <v>1</v>
      </c>
      <c r="BD30" s="322">
        <v>1</v>
      </c>
      <c r="BE30" s="322"/>
      <c r="BF30" s="322"/>
      <c r="BG30" s="322"/>
      <c r="BH30" s="322"/>
      <c r="BI30" s="360"/>
      <c r="BJ30" s="322">
        <v>9</v>
      </c>
      <c r="BK30" s="385">
        <f t="shared" si="12"/>
        <v>4</v>
      </c>
      <c r="BL30" s="384">
        <f t="shared" si="13"/>
        <v>0.44444444444444442</v>
      </c>
      <c r="BM30" s="361"/>
      <c r="BN30" s="361"/>
      <c r="BO30" s="361"/>
      <c r="BP30" s="361"/>
      <c r="BQ30" s="361"/>
      <c r="BR30" s="362" t="s">
        <v>317</v>
      </c>
      <c r="BS30" s="382">
        <f t="shared" si="15"/>
        <v>46315</v>
      </c>
      <c r="BT30" s="325" t="s">
        <v>211</v>
      </c>
      <c r="CJ30" s="326">
        <v>46195</v>
      </c>
      <c r="CK30" s="325"/>
      <c r="CL30" s="325"/>
      <c r="CM30" s="325"/>
      <c r="CN30" s="325"/>
      <c r="CO30" s="325"/>
      <c r="CP30" s="327"/>
      <c r="CQ30" s="327"/>
      <c r="CR30" s="328"/>
      <c r="CS30" s="328"/>
      <c r="CT30" s="328"/>
      <c r="CU30" s="328"/>
      <c r="CV30" s="328"/>
      <c r="CW30" s="328"/>
      <c r="CX30" s="328"/>
      <c r="CY30" s="328"/>
      <c r="CZ30" s="328"/>
      <c r="DA30" s="328"/>
    </row>
    <row r="31" spans="1:105" ht="217">
      <c r="A31" s="304">
        <v>19</v>
      </c>
      <c r="B31" s="305">
        <v>46248</v>
      </c>
      <c r="C31" s="305" t="s">
        <v>305</v>
      </c>
      <c r="D31" s="305" t="s">
        <v>163</v>
      </c>
      <c r="E31" s="306">
        <v>7502327991038</v>
      </c>
      <c r="F31" s="304" t="s">
        <v>354</v>
      </c>
      <c r="G31" s="307" t="s">
        <v>355</v>
      </c>
      <c r="H31" s="308" t="s">
        <v>60</v>
      </c>
      <c r="I31" s="304" t="s">
        <v>335</v>
      </c>
      <c r="J31" s="307" t="s">
        <v>277</v>
      </c>
      <c r="K31" s="307" t="s">
        <v>309</v>
      </c>
      <c r="L31" s="304">
        <v>1</v>
      </c>
      <c r="M31" s="310" t="s">
        <v>310</v>
      </c>
      <c r="N31" s="311" t="s">
        <v>356</v>
      </c>
      <c r="O31" s="304" t="s">
        <v>312</v>
      </c>
      <c r="P31" s="357" t="s">
        <v>357</v>
      </c>
      <c r="Q31" s="312" t="s">
        <v>314</v>
      </c>
      <c r="R31" s="312">
        <v>10000</v>
      </c>
      <c r="S31" s="313" t="e">
        <f t="shared" ca="1" si="14"/>
        <v>#VALUE!</v>
      </c>
      <c r="T31" s="313" t="e">
        <f t="shared" ca="1" si="0"/>
        <v>#VALUE!</v>
      </c>
      <c r="U31" s="313" t="e">
        <f t="shared" ca="1" si="16"/>
        <v>#VALUE!</v>
      </c>
      <c r="V31" s="314" t="e">
        <f t="shared" ca="1" si="2"/>
        <v>#VALUE!</v>
      </c>
      <c r="W31" s="331">
        <v>169</v>
      </c>
      <c r="X31" s="313">
        <f t="shared" si="3"/>
        <v>145.68965517241381</v>
      </c>
      <c r="Y31" s="313">
        <f t="shared" si="4"/>
        <v>87.413793103448285</v>
      </c>
      <c r="Z31" s="316" t="e">
        <f t="shared" ca="1" si="5"/>
        <v>#VALUE!</v>
      </c>
      <c r="AA31" s="316" t="e">
        <f t="shared" ca="1" si="6"/>
        <v>#VALUE!</v>
      </c>
      <c r="AB31" s="317">
        <f t="shared" si="7"/>
        <v>0.4</v>
      </c>
      <c r="AC31" s="318" t="s">
        <v>315</v>
      </c>
      <c r="AD31" s="304"/>
      <c r="AE31" s="307">
        <v>6</v>
      </c>
      <c r="AF31" s="307">
        <v>144</v>
      </c>
      <c r="AG31" s="324" t="s">
        <v>358</v>
      </c>
      <c r="AH31" s="363">
        <v>46315</v>
      </c>
      <c r="AI31" s="359"/>
      <c r="AJ31" s="359"/>
      <c r="AL31" s="319">
        <v>109.85</v>
      </c>
      <c r="AM31" s="320">
        <f t="shared" si="8"/>
        <v>94.698275862068968</v>
      </c>
      <c r="AN31" s="321" t="e">
        <f t="shared" ca="1" si="9"/>
        <v>#VALUE!</v>
      </c>
      <c r="AO31" s="321" t="e">
        <f t="shared" ca="1" si="10"/>
        <v>#VALUE!</v>
      </c>
      <c r="AP31" s="317">
        <f t="shared" si="11"/>
        <v>0</v>
      </c>
      <c r="BA31" s="322">
        <v>1</v>
      </c>
      <c r="BB31" s="322">
        <v>1</v>
      </c>
      <c r="BC31" s="322">
        <v>1</v>
      </c>
      <c r="BD31" s="322">
        <v>1</v>
      </c>
      <c r="BE31" s="322"/>
      <c r="BF31" s="322"/>
      <c r="BG31" s="322"/>
      <c r="BH31" s="322"/>
      <c r="BI31" s="360"/>
      <c r="BJ31" s="322">
        <v>9</v>
      </c>
      <c r="BK31" s="385">
        <f t="shared" si="12"/>
        <v>4</v>
      </c>
      <c r="BL31" s="384">
        <f t="shared" si="13"/>
        <v>0.44444444444444442</v>
      </c>
      <c r="BM31" s="361"/>
      <c r="BN31" s="361"/>
      <c r="BO31" s="361"/>
      <c r="BP31" s="361"/>
      <c r="BQ31" s="361"/>
      <c r="BR31" s="362" t="s">
        <v>317</v>
      </c>
      <c r="BS31" s="382">
        <f t="shared" si="15"/>
        <v>46315</v>
      </c>
      <c r="BT31" s="325" t="s">
        <v>211</v>
      </c>
      <c r="CJ31" s="326">
        <v>46202</v>
      </c>
      <c r="CK31" s="325"/>
      <c r="CL31" s="325"/>
      <c r="CM31" s="325"/>
      <c r="CN31" s="325"/>
      <c r="CO31" s="325"/>
      <c r="CP31" s="327"/>
      <c r="CQ31" s="327"/>
      <c r="CR31" s="328"/>
      <c r="CS31" s="328"/>
      <c r="CT31" s="328"/>
      <c r="CU31" s="328"/>
      <c r="CV31" s="328"/>
      <c r="CW31" s="328"/>
      <c r="CX31" s="328"/>
      <c r="CY31" s="328"/>
      <c r="CZ31" s="328"/>
      <c r="DA31" s="328"/>
    </row>
    <row r="32" spans="1:105" ht="217">
      <c r="A32" s="304">
        <v>20</v>
      </c>
      <c r="B32" s="305">
        <v>46248</v>
      </c>
      <c r="C32" s="305" t="s">
        <v>305</v>
      </c>
      <c r="D32" s="305" t="s">
        <v>163</v>
      </c>
      <c r="E32" s="306">
        <v>7502327991045</v>
      </c>
      <c r="F32" s="304" t="s">
        <v>359</v>
      </c>
      <c r="G32" s="307" t="s">
        <v>360</v>
      </c>
      <c r="H32" s="308" t="s">
        <v>60</v>
      </c>
      <c r="I32" s="304" t="s">
        <v>335</v>
      </c>
      <c r="J32" s="307" t="s">
        <v>277</v>
      </c>
      <c r="K32" s="307" t="s">
        <v>309</v>
      </c>
      <c r="L32" s="304">
        <v>1</v>
      </c>
      <c r="M32" s="310" t="s">
        <v>310</v>
      </c>
      <c r="N32" s="311" t="s">
        <v>361</v>
      </c>
      <c r="O32" s="304" t="s">
        <v>312</v>
      </c>
      <c r="P32" s="357" t="s">
        <v>357</v>
      </c>
      <c r="Q32" s="312" t="s">
        <v>314</v>
      </c>
      <c r="R32" s="312">
        <v>10000</v>
      </c>
      <c r="S32" s="313" t="e">
        <f t="shared" ca="1" si="14"/>
        <v>#VALUE!</v>
      </c>
      <c r="T32" s="313" t="e">
        <f t="shared" ca="1" si="0"/>
        <v>#VALUE!</v>
      </c>
      <c r="U32" s="313" t="e">
        <f t="shared" ca="1" si="16"/>
        <v>#VALUE!</v>
      </c>
      <c r="V32" s="314" t="e">
        <f t="shared" ca="1" si="2"/>
        <v>#VALUE!</v>
      </c>
      <c r="W32" s="331">
        <v>169</v>
      </c>
      <c r="X32" s="313">
        <f t="shared" si="3"/>
        <v>145.68965517241381</v>
      </c>
      <c r="Y32" s="313">
        <f t="shared" si="4"/>
        <v>87.413793103448285</v>
      </c>
      <c r="Z32" s="316" t="e">
        <f t="shared" ca="1" si="5"/>
        <v>#VALUE!</v>
      </c>
      <c r="AA32" s="316" t="e">
        <f t="shared" ca="1" si="6"/>
        <v>#VALUE!</v>
      </c>
      <c r="AB32" s="317">
        <f t="shared" si="7"/>
        <v>0.4</v>
      </c>
      <c r="AC32" s="318" t="s">
        <v>315</v>
      </c>
      <c r="AD32" s="304"/>
      <c r="AE32" s="307">
        <v>6</v>
      </c>
      <c r="AF32" s="307">
        <v>144</v>
      </c>
      <c r="AG32" s="324" t="s">
        <v>358</v>
      </c>
      <c r="AH32" s="363">
        <v>46315</v>
      </c>
      <c r="AI32" s="359"/>
      <c r="AJ32" s="359"/>
      <c r="AL32" s="319">
        <v>109.85</v>
      </c>
      <c r="AM32" s="320">
        <f t="shared" si="8"/>
        <v>94.698275862068968</v>
      </c>
      <c r="AN32" s="321" t="e">
        <f t="shared" ca="1" si="9"/>
        <v>#VALUE!</v>
      </c>
      <c r="AO32" s="321" t="e">
        <f t="shared" ca="1" si="10"/>
        <v>#VALUE!</v>
      </c>
      <c r="AP32" s="317">
        <f t="shared" si="11"/>
        <v>0</v>
      </c>
      <c r="BA32" s="322">
        <v>1</v>
      </c>
      <c r="BB32" s="322">
        <v>1</v>
      </c>
      <c r="BC32" s="322">
        <v>1</v>
      </c>
      <c r="BD32" s="322">
        <v>1</v>
      </c>
      <c r="BE32" s="322"/>
      <c r="BF32" s="322"/>
      <c r="BG32" s="322"/>
      <c r="BH32" s="322"/>
      <c r="BI32" s="360"/>
      <c r="BJ32" s="322">
        <v>9</v>
      </c>
      <c r="BK32" s="385">
        <f t="shared" si="12"/>
        <v>4</v>
      </c>
      <c r="BL32" s="384">
        <f t="shared" si="13"/>
        <v>0.44444444444444442</v>
      </c>
      <c r="BM32" s="361"/>
      <c r="BN32" s="361"/>
      <c r="BO32" s="361"/>
      <c r="BP32" s="361"/>
      <c r="BQ32" s="361"/>
      <c r="BR32" s="362" t="s">
        <v>317</v>
      </c>
      <c r="BS32" s="382">
        <f t="shared" si="15"/>
        <v>46315</v>
      </c>
      <c r="BT32" s="325" t="s">
        <v>211</v>
      </c>
      <c r="CJ32" s="326">
        <v>46202</v>
      </c>
      <c r="CK32" s="325"/>
      <c r="CL32" s="325"/>
      <c r="CM32" s="325"/>
      <c r="CN32" s="325"/>
      <c r="CO32" s="325"/>
      <c r="CP32" s="327"/>
      <c r="CQ32" s="327"/>
      <c r="CR32" s="328"/>
      <c r="CS32" s="328"/>
      <c r="CT32" s="328"/>
      <c r="CU32" s="328"/>
      <c r="CV32" s="328"/>
      <c r="CW32" s="328"/>
      <c r="CX32" s="328"/>
      <c r="CY32" s="328"/>
      <c r="CZ32" s="328"/>
      <c r="DA32" s="328"/>
    </row>
    <row r="33" spans="1:105" ht="217">
      <c r="A33" s="304">
        <v>21</v>
      </c>
      <c r="B33" s="305">
        <v>46248</v>
      </c>
      <c r="C33" s="305" t="s">
        <v>305</v>
      </c>
      <c r="D33" s="305" t="s">
        <v>163</v>
      </c>
      <c r="E33" s="306">
        <v>7502327991052</v>
      </c>
      <c r="F33" s="304" t="s">
        <v>362</v>
      </c>
      <c r="G33" s="307" t="s">
        <v>363</v>
      </c>
      <c r="H33" s="308" t="s">
        <v>60</v>
      </c>
      <c r="I33" s="304" t="s">
        <v>335</v>
      </c>
      <c r="J33" s="307" t="s">
        <v>277</v>
      </c>
      <c r="K33" s="307" t="s">
        <v>309</v>
      </c>
      <c r="L33" s="304">
        <v>1</v>
      </c>
      <c r="M33" s="310" t="s">
        <v>310</v>
      </c>
      <c r="N33" s="311" t="s">
        <v>361</v>
      </c>
      <c r="O33" s="304" t="s">
        <v>312</v>
      </c>
      <c r="P33" s="357" t="s">
        <v>357</v>
      </c>
      <c r="Q33" s="312" t="s">
        <v>314</v>
      </c>
      <c r="R33" s="312">
        <v>10000</v>
      </c>
      <c r="S33" s="313" t="e">
        <f t="shared" ca="1" si="14"/>
        <v>#VALUE!</v>
      </c>
      <c r="T33" s="313" t="e">
        <f t="shared" ca="1" si="0"/>
        <v>#VALUE!</v>
      </c>
      <c r="U33" s="313" t="e">
        <f t="shared" ca="1" si="16"/>
        <v>#VALUE!</v>
      </c>
      <c r="V33" s="314" t="e">
        <f t="shared" ca="1" si="2"/>
        <v>#VALUE!</v>
      </c>
      <c r="W33" s="331">
        <v>169</v>
      </c>
      <c r="X33" s="313">
        <f t="shared" si="3"/>
        <v>145.68965517241381</v>
      </c>
      <c r="Y33" s="313">
        <f t="shared" si="4"/>
        <v>87.413793103448285</v>
      </c>
      <c r="Z33" s="316" t="e">
        <f t="shared" ca="1" si="5"/>
        <v>#VALUE!</v>
      </c>
      <c r="AA33" s="316" t="e">
        <f t="shared" ca="1" si="6"/>
        <v>#VALUE!</v>
      </c>
      <c r="AB33" s="317">
        <f t="shared" si="7"/>
        <v>0.4</v>
      </c>
      <c r="AC33" s="318" t="s">
        <v>315</v>
      </c>
      <c r="AD33" s="304"/>
      <c r="AE33" s="307">
        <v>6</v>
      </c>
      <c r="AF33" s="307">
        <v>144</v>
      </c>
      <c r="AG33" s="324" t="s">
        <v>358</v>
      </c>
      <c r="AH33" s="304"/>
      <c r="AI33" s="359"/>
      <c r="AJ33" s="359"/>
      <c r="AL33" s="319">
        <v>109.85</v>
      </c>
      <c r="AM33" s="320">
        <f t="shared" si="8"/>
        <v>94.698275862068968</v>
      </c>
      <c r="AN33" s="321" t="e">
        <f t="shared" ca="1" si="9"/>
        <v>#VALUE!</v>
      </c>
      <c r="AO33" s="321" t="e">
        <f t="shared" ca="1" si="10"/>
        <v>#VALUE!</v>
      </c>
      <c r="AP33" s="317">
        <f t="shared" si="11"/>
        <v>0</v>
      </c>
      <c r="BA33" s="322">
        <v>1</v>
      </c>
      <c r="BB33" s="322">
        <v>1</v>
      </c>
      <c r="BC33" s="322">
        <v>1</v>
      </c>
      <c r="BD33" s="322">
        <v>1</v>
      </c>
      <c r="BE33" s="322"/>
      <c r="BF33" s="322"/>
      <c r="BG33" s="322"/>
      <c r="BH33" s="322"/>
      <c r="BI33" s="360"/>
      <c r="BJ33" s="322">
        <v>9</v>
      </c>
      <c r="BK33" s="385">
        <f t="shared" si="12"/>
        <v>4</v>
      </c>
      <c r="BL33" s="384">
        <f t="shared" si="13"/>
        <v>0.44444444444444442</v>
      </c>
      <c r="BM33" s="361"/>
      <c r="BN33" s="361"/>
      <c r="BO33" s="361"/>
      <c r="BP33" s="361"/>
      <c r="BQ33" s="361"/>
      <c r="BR33" s="362" t="s">
        <v>317</v>
      </c>
      <c r="BS33" s="382">
        <f t="shared" si="15"/>
        <v>0</v>
      </c>
      <c r="BT33" s="325" t="s">
        <v>211</v>
      </c>
      <c r="CJ33" s="326">
        <v>46202</v>
      </c>
      <c r="CK33" s="325"/>
      <c r="CL33" s="325"/>
      <c r="CM33" s="325"/>
      <c r="CN33" s="325"/>
      <c r="CO33" s="325"/>
      <c r="CP33" s="327"/>
      <c r="CQ33" s="327"/>
      <c r="CR33" s="328"/>
      <c r="CS33" s="328"/>
      <c r="CT33" s="328"/>
      <c r="CU33" s="328"/>
      <c r="CV33" s="328"/>
      <c r="CW33" s="328"/>
      <c r="CX33" s="328"/>
      <c r="CY33" s="328"/>
      <c r="CZ33" s="328"/>
      <c r="DA33" s="328"/>
    </row>
    <row r="34" spans="1:105" ht="155">
      <c r="A34" s="304">
        <v>22</v>
      </c>
      <c r="B34" s="305">
        <v>46248</v>
      </c>
      <c r="C34" s="305" t="s">
        <v>305</v>
      </c>
      <c r="D34" s="305" t="s">
        <v>163</v>
      </c>
      <c r="E34" s="306">
        <v>7502327991069</v>
      </c>
      <c r="F34" s="304" t="s">
        <v>364</v>
      </c>
      <c r="G34" s="307" t="s">
        <v>365</v>
      </c>
      <c r="H34" s="308" t="s">
        <v>60</v>
      </c>
      <c r="I34" s="304" t="s">
        <v>366</v>
      </c>
      <c r="J34" s="307" t="s">
        <v>277</v>
      </c>
      <c r="K34" s="307" t="s">
        <v>309</v>
      </c>
      <c r="L34" s="304">
        <v>1</v>
      </c>
      <c r="M34" s="310" t="s">
        <v>310</v>
      </c>
      <c r="N34" s="311" t="s">
        <v>367</v>
      </c>
      <c r="O34" s="304" t="s">
        <v>312</v>
      </c>
      <c r="P34" s="357" t="s">
        <v>368</v>
      </c>
      <c r="Q34" s="312" t="s">
        <v>314</v>
      </c>
      <c r="R34" s="312">
        <v>10000</v>
      </c>
      <c r="S34" s="313" t="e">
        <f t="shared" ca="1" si="14"/>
        <v>#VALUE!</v>
      </c>
      <c r="T34" s="313" t="e">
        <f t="shared" ca="1" si="0"/>
        <v>#VALUE!</v>
      </c>
      <c r="U34" s="313" t="e">
        <f ca="1">(S34+T34)*0.0745</f>
        <v>#VALUE!</v>
      </c>
      <c r="V34" s="314" t="e">
        <f t="shared" ca="1" si="2"/>
        <v>#VALUE!</v>
      </c>
      <c r="W34" s="315">
        <v>219</v>
      </c>
      <c r="X34" s="313">
        <f t="shared" si="3"/>
        <v>188.79310344827587</v>
      </c>
      <c r="Y34" s="313">
        <f t="shared" si="4"/>
        <v>113.27586206896552</v>
      </c>
      <c r="Z34" s="316" t="e">
        <f t="shared" ca="1" si="5"/>
        <v>#VALUE!</v>
      </c>
      <c r="AA34" s="316" t="e">
        <f t="shared" ca="1" si="6"/>
        <v>#VALUE!</v>
      </c>
      <c r="AB34" s="317">
        <f t="shared" si="7"/>
        <v>0.4</v>
      </c>
      <c r="AC34" s="318" t="s">
        <v>315</v>
      </c>
      <c r="AD34" s="304"/>
      <c r="AE34" s="307">
        <v>6</v>
      </c>
      <c r="AF34" s="307">
        <v>72</v>
      </c>
      <c r="AG34" s="324" t="s">
        <v>316</v>
      </c>
      <c r="AH34" s="304"/>
      <c r="AI34" s="359"/>
      <c r="AJ34" s="359"/>
      <c r="AL34" s="364">
        <v>142.35</v>
      </c>
      <c r="AM34" s="320">
        <f t="shared" si="8"/>
        <v>122.71551724137932</v>
      </c>
      <c r="AN34" s="321" t="e">
        <f t="shared" ca="1" si="9"/>
        <v>#VALUE!</v>
      </c>
      <c r="AO34" s="321" t="e">
        <f t="shared" ca="1" si="10"/>
        <v>#VALUE!</v>
      </c>
      <c r="AP34" s="317">
        <f t="shared" si="11"/>
        <v>0</v>
      </c>
      <c r="BA34" s="322">
        <v>1</v>
      </c>
      <c r="BB34" s="322">
        <v>1</v>
      </c>
      <c r="BC34" s="322">
        <v>1</v>
      </c>
      <c r="BD34" s="322">
        <v>1</v>
      </c>
      <c r="BE34" s="322">
        <v>1</v>
      </c>
      <c r="BF34" s="322"/>
      <c r="BG34" s="322"/>
      <c r="BH34" s="322"/>
      <c r="BI34" s="360"/>
      <c r="BJ34" s="322">
        <v>9</v>
      </c>
      <c r="BK34" s="385">
        <f t="shared" si="12"/>
        <v>5</v>
      </c>
      <c r="BL34" s="384">
        <f t="shared" si="13"/>
        <v>0.55555555555555558</v>
      </c>
      <c r="BM34" s="361"/>
      <c r="BN34" s="361"/>
      <c r="BO34" s="361"/>
      <c r="BP34" s="361"/>
      <c r="BQ34" s="361"/>
      <c r="BR34" s="362" t="str">
        <f t="shared" ref="BR34:BR52" si="17">+AG34</f>
        <v>En revisión de dummy para autorización final</v>
      </c>
      <c r="BS34" s="382">
        <f t="shared" si="15"/>
        <v>0</v>
      </c>
      <c r="BT34" s="325" t="s">
        <v>211</v>
      </c>
      <c r="CJ34" s="326">
        <v>46188</v>
      </c>
      <c r="CK34" s="325"/>
      <c r="CL34" s="325"/>
      <c r="CM34" s="325"/>
      <c r="CN34" s="325"/>
      <c r="CO34" s="325"/>
      <c r="CP34" s="327"/>
      <c r="CQ34" s="327"/>
      <c r="CR34" s="328"/>
      <c r="CS34" s="328"/>
      <c r="CT34" s="328"/>
      <c r="CU34" s="328"/>
      <c r="CV34" s="328"/>
      <c r="CW34" s="328"/>
      <c r="CX34" s="328"/>
      <c r="CY34" s="328"/>
      <c r="CZ34" s="328"/>
      <c r="DA34" s="328"/>
    </row>
    <row r="35" spans="1:105" ht="186">
      <c r="A35" s="304">
        <v>23</v>
      </c>
      <c r="B35" s="305">
        <v>46248</v>
      </c>
      <c r="C35" s="305" t="s">
        <v>305</v>
      </c>
      <c r="D35" s="305" t="s">
        <v>163</v>
      </c>
      <c r="E35" s="306">
        <v>7502327991076</v>
      </c>
      <c r="F35" s="304" t="s">
        <v>369</v>
      </c>
      <c r="G35" s="307" t="s">
        <v>370</v>
      </c>
      <c r="H35" s="308" t="s">
        <v>60</v>
      </c>
      <c r="I35" s="304" t="s">
        <v>371</v>
      </c>
      <c r="J35" s="307" t="s">
        <v>277</v>
      </c>
      <c r="K35" s="307" t="s">
        <v>309</v>
      </c>
      <c r="L35" s="304">
        <v>1</v>
      </c>
      <c r="M35" s="310" t="s">
        <v>310</v>
      </c>
      <c r="N35" s="311" t="s">
        <v>372</v>
      </c>
      <c r="O35" s="304" t="s">
        <v>312</v>
      </c>
      <c r="P35" s="357" t="s">
        <v>373</v>
      </c>
      <c r="Q35" s="312" t="s">
        <v>314</v>
      </c>
      <c r="R35" s="312">
        <v>10000</v>
      </c>
      <c r="S35" s="313" t="e">
        <f t="shared" ca="1" si="14"/>
        <v>#VALUE!</v>
      </c>
      <c r="T35" s="313" t="e">
        <f t="shared" ca="1" si="0"/>
        <v>#VALUE!</v>
      </c>
      <c r="U35" s="313" t="e">
        <f ca="1">(S35+T35)*0.0769</f>
        <v>#VALUE!</v>
      </c>
      <c r="V35" s="314" t="e">
        <f t="shared" ca="1" si="2"/>
        <v>#VALUE!</v>
      </c>
      <c r="W35" s="315">
        <v>259</v>
      </c>
      <c r="X35" s="313">
        <f t="shared" si="3"/>
        <v>223.27586206896552</v>
      </c>
      <c r="Y35" s="313">
        <f t="shared" si="4"/>
        <v>133.9655172413793</v>
      </c>
      <c r="Z35" s="316" t="e">
        <f t="shared" ca="1" si="5"/>
        <v>#VALUE!</v>
      </c>
      <c r="AA35" s="316" t="e">
        <f t="shared" ca="1" si="6"/>
        <v>#VALUE!</v>
      </c>
      <c r="AB35" s="317">
        <f t="shared" si="7"/>
        <v>0.4</v>
      </c>
      <c r="AC35" s="318" t="s">
        <v>315</v>
      </c>
      <c r="AD35" s="304"/>
      <c r="AE35" s="307">
        <v>6</v>
      </c>
      <c r="AF35" s="307">
        <v>72</v>
      </c>
      <c r="AG35" s="324" t="s">
        <v>316</v>
      </c>
      <c r="AH35" s="363">
        <v>46308</v>
      </c>
      <c r="AI35" s="359"/>
      <c r="AJ35" s="359"/>
      <c r="AL35" s="320">
        <v>168.35</v>
      </c>
      <c r="AM35" s="320">
        <f t="shared" si="8"/>
        <v>145.12931034482759</v>
      </c>
      <c r="AN35" s="321" t="e">
        <f t="shared" ca="1" si="9"/>
        <v>#VALUE!</v>
      </c>
      <c r="AO35" s="321" t="e">
        <f t="shared" ca="1" si="10"/>
        <v>#VALUE!</v>
      </c>
      <c r="AP35" s="317">
        <f t="shared" si="11"/>
        <v>0</v>
      </c>
      <c r="BA35" s="322">
        <v>1</v>
      </c>
      <c r="BB35" s="322">
        <v>1</v>
      </c>
      <c r="BC35" s="322">
        <v>1</v>
      </c>
      <c r="BD35" s="322">
        <v>1</v>
      </c>
      <c r="BE35" s="322"/>
      <c r="BF35" s="322"/>
      <c r="BG35" s="322"/>
      <c r="BH35" s="322"/>
      <c r="BI35" s="360"/>
      <c r="BJ35" s="322">
        <v>9</v>
      </c>
      <c r="BK35" s="385">
        <f t="shared" si="12"/>
        <v>4</v>
      </c>
      <c r="BL35" s="384">
        <f t="shared" si="13"/>
        <v>0.44444444444444442</v>
      </c>
      <c r="BM35" s="361"/>
      <c r="BN35" s="361"/>
      <c r="BO35" s="361"/>
      <c r="BP35" s="361"/>
      <c r="BQ35" s="361"/>
      <c r="BR35" s="362" t="str">
        <f t="shared" si="17"/>
        <v>En revisión de dummy para autorización final</v>
      </c>
      <c r="BS35" s="382">
        <f t="shared" si="15"/>
        <v>46308</v>
      </c>
      <c r="BT35" s="325" t="s">
        <v>211</v>
      </c>
      <c r="CJ35" s="326">
        <v>46188</v>
      </c>
      <c r="CK35" s="325"/>
      <c r="CL35" s="325"/>
      <c r="CM35" s="325"/>
      <c r="CN35" s="325"/>
      <c r="CO35" s="325"/>
      <c r="CP35" s="327"/>
      <c r="CQ35" s="327"/>
      <c r="CR35" s="328"/>
      <c r="CS35" s="328"/>
      <c r="CT35" s="328"/>
      <c r="CU35" s="328"/>
      <c r="CV35" s="328"/>
      <c r="CW35" s="328"/>
      <c r="CX35" s="328"/>
      <c r="CY35" s="328"/>
      <c r="CZ35" s="328"/>
      <c r="DA35" s="328"/>
    </row>
    <row r="36" spans="1:105" ht="232.5">
      <c r="A36" s="304">
        <v>24</v>
      </c>
      <c r="B36" s="305">
        <v>46248</v>
      </c>
      <c r="C36" s="305" t="s">
        <v>305</v>
      </c>
      <c r="D36" s="305" t="s">
        <v>163</v>
      </c>
      <c r="E36" s="306">
        <v>7502327991083</v>
      </c>
      <c r="F36" s="304" t="s">
        <v>374</v>
      </c>
      <c r="G36" s="307" t="s">
        <v>375</v>
      </c>
      <c r="H36" s="308" t="s">
        <v>60</v>
      </c>
      <c r="I36" s="324" t="s">
        <v>229</v>
      </c>
      <c r="J36" s="307" t="s">
        <v>277</v>
      </c>
      <c r="K36" s="307" t="s">
        <v>309</v>
      </c>
      <c r="L36" s="304">
        <v>1</v>
      </c>
      <c r="M36" s="310" t="s">
        <v>310</v>
      </c>
      <c r="N36" s="365" t="s">
        <v>376</v>
      </c>
      <c r="O36" s="304" t="s">
        <v>312</v>
      </c>
      <c r="P36" s="357" t="s">
        <v>377</v>
      </c>
      <c r="Q36" s="312" t="s">
        <v>314</v>
      </c>
      <c r="R36" s="312">
        <v>10000</v>
      </c>
      <c r="S36" s="313" t="e">
        <f t="shared" ca="1" si="14"/>
        <v>#VALUE!</v>
      </c>
      <c r="T36" s="313" t="e">
        <f t="shared" ca="1" si="0"/>
        <v>#VALUE!</v>
      </c>
      <c r="U36" s="313" t="e">
        <f t="shared" ref="U36:U41" ca="1" si="18">(S36+T36)*0.0369</f>
        <v>#VALUE!</v>
      </c>
      <c r="V36" s="314" t="e">
        <f t="shared" ca="1" si="2"/>
        <v>#VALUE!</v>
      </c>
      <c r="W36" s="315">
        <v>149</v>
      </c>
      <c r="X36" s="313">
        <f t="shared" si="3"/>
        <v>128.44827586206898</v>
      </c>
      <c r="Y36" s="313">
        <f t="shared" si="4"/>
        <v>77.068965517241381</v>
      </c>
      <c r="Z36" s="316" t="e">
        <f t="shared" ca="1" si="5"/>
        <v>#VALUE!</v>
      </c>
      <c r="AA36" s="316" t="e">
        <f t="shared" ca="1" si="6"/>
        <v>#VALUE!</v>
      </c>
      <c r="AB36" s="317">
        <f t="shared" si="7"/>
        <v>0.4</v>
      </c>
      <c r="AC36" s="318" t="s">
        <v>315</v>
      </c>
      <c r="AD36" s="304"/>
      <c r="AE36" s="307">
        <v>6</v>
      </c>
      <c r="AF36" s="307">
        <v>72</v>
      </c>
      <c r="AG36" s="324" t="s">
        <v>316</v>
      </c>
      <c r="AH36" s="363">
        <v>46308</v>
      </c>
      <c r="AI36" s="359"/>
      <c r="AJ36" s="359"/>
      <c r="AL36" s="320">
        <v>96.85</v>
      </c>
      <c r="AM36" s="320">
        <f t="shared" si="8"/>
        <v>83.491379310344826</v>
      </c>
      <c r="AN36" s="321" t="e">
        <f t="shared" ca="1" si="9"/>
        <v>#VALUE!</v>
      </c>
      <c r="AO36" s="321" t="e">
        <f t="shared" ca="1" si="10"/>
        <v>#VALUE!</v>
      </c>
      <c r="AP36" s="317">
        <f t="shared" si="11"/>
        <v>0</v>
      </c>
      <c r="BA36" s="322">
        <v>1</v>
      </c>
      <c r="BB36" s="322">
        <v>1</v>
      </c>
      <c r="BC36" s="322">
        <v>1</v>
      </c>
      <c r="BD36" s="322">
        <v>1</v>
      </c>
      <c r="BE36" s="322"/>
      <c r="BF36" s="322"/>
      <c r="BG36" s="322"/>
      <c r="BH36" s="322"/>
      <c r="BI36" s="360"/>
      <c r="BJ36" s="322">
        <v>9</v>
      </c>
      <c r="BK36" s="385">
        <f t="shared" si="12"/>
        <v>4</v>
      </c>
      <c r="BL36" s="384">
        <f t="shared" si="13"/>
        <v>0.44444444444444442</v>
      </c>
      <c r="BM36" s="361"/>
      <c r="BN36" s="361"/>
      <c r="BO36" s="361"/>
      <c r="BP36" s="361"/>
      <c r="BQ36" s="361"/>
      <c r="BR36" s="362" t="str">
        <f t="shared" si="17"/>
        <v>En revisión de dummy para autorización final</v>
      </c>
      <c r="BS36" s="382">
        <f t="shared" si="15"/>
        <v>46308</v>
      </c>
      <c r="BT36" s="325" t="s">
        <v>211</v>
      </c>
      <c r="CJ36" s="325"/>
      <c r="CK36" s="325"/>
      <c r="CL36" s="325"/>
      <c r="CM36" s="325"/>
      <c r="CN36" s="325"/>
      <c r="CO36" s="325"/>
      <c r="CP36" s="327"/>
      <c r="CQ36" s="327"/>
      <c r="CR36" s="328"/>
      <c r="CS36" s="328"/>
      <c r="CT36" s="328"/>
      <c r="CU36" s="328"/>
      <c r="CV36" s="328"/>
      <c r="CW36" s="328"/>
      <c r="CX36" s="328"/>
      <c r="CY36" s="328"/>
      <c r="CZ36" s="328"/>
      <c r="DA36" s="328"/>
    </row>
    <row r="37" spans="1:105" ht="232.5">
      <c r="A37" s="304">
        <v>25</v>
      </c>
      <c r="B37" s="305">
        <v>46248</v>
      </c>
      <c r="C37" s="305" t="s">
        <v>305</v>
      </c>
      <c r="D37" s="305" t="s">
        <v>163</v>
      </c>
      <c r="E37" s="306">
        <v>7502327991090</v>
      </c>
      <c r="F37" s="304" t="s">
        <v>378</v>
      </c>
      <c r="G37" s="307" t="s">
        <v>379</v>
      </c>
      <c r="H37" s="308" t="s">
        <v>60</v>
      </c>
      <c r="I37" s="324" t="s">
        <v>229</v>
      </c>
      <c r="J37" s="307" t="s">
        <v>277</v>
      </c>
      <c r="K37" s="307" t="s">
        <v>309</v>
      </c>
      <c r="L37" s="304">
        <v>1</v>
      </c>
      <c r="M37" s="310" t="s">
        <v>310</v>
      </c>
      <c r="N37" s="365" t="s">
        <v>380</v>
      </c>
      <c r="O37" s="304" t="s">
        <v>312</v>
      </c>
      <c r="P37" s="357" t="s">
        <v>377</v>
      </c>
      <c r="Q37" s="312" t="s">
        <v>314</v>
      </c>
      <c r="R37" s="312">
        <v>10000</v>
      </c>
      <c r="S37" s="313" t="e">
        <f t="shared" ca="1" si="14"/>
        <v>#VALUE!</v>
      </c>
      <c r="T37" s="313" t="e">
        <f t="shared" ca="1" si="0"/>
        <v>#VALUE!</v>
      </c>
      <c r="U37" s="313" t="e">
        <f t="shared" ca="1" si="18"/>
        <v>#VALUE!</v>
      </c>
      <c r="V37" s="314" t="e">
        <f t="shared" ca="1" si="2"/>
        <v>#VALUE!</v>
      </c>
      <c r="W37" s="315">
        <v>149</v>
      </c>
      <c r="X37" s="313">
        <f t="shared" si="3"/>
        <v>128.44827586206898</v>
      </c>
      <c r="Y37" s="313">
        <f t="shared" si="4"/>
        <v>77.068965517241381</v>
      </c>
      <c r="Z37" s="316" t="e">
        <f t="shared" ca="1" si="5"/>
        <v>#VALUE!</v>
      </c>
      <c r="AA37" s="316" t="e">
        <f t="shared" ca="1" si="6"/>
        <v>#VALUE!</v>
      </c>
      <c r="AB37" s="317">
        <f t="shared" si="7"/>
        <v>0.4</v>
      </c>
      <c r="AC37" s="318" t="s">
        <v>315</v>
      </c>
      <c r="AD37" s="304"/>
      <c r="AE37" s="307">
        <v>6</v>
      </c>
      <c r="AF37" s="307">
        <v>72</v>
      </c>
      <c r="AG37" s="324" t="s">
        <v>316</v>
      </c>
      <c r="AH37" s="363">
        <v>46308</v>
      </c>
      <c r="AI37" s="359"/>
      <c r="AJ37" s="359"/>
      <c r="AL37" s="320">
        <v>96.85</v>
      </c>
      <c r="AM37" s="320">
        <f t="shared" si="8"/>
        <v>83.491379310344826</v>
      </c>
      <c r="AN37" s="321" t="e">
        <f t="shared" ca="1" si="9"/>
        <v>#VALUE!</v>
      </c>
      <c r="AO37" s="321" t="e">
        <f t="shared" ca="1" si="10"/>
        <v>#VALUE!</v>
      </c>
      <c r="AP37" s="317">
        <f t="shared" si="11"/>
        <v>0</v>
      </c>
      <c r="BA37" s="322">
        <v>1</v>
      </c>
      <c r="BB37" s="322">
        <v>1</v>
      </c>
      <c r="BC37" s="322">
        <v>1</v>
      </c>
      <c r="BD37" s="322">
        <v>1</v>
      </c>
      <c r="BE37" s="322"/>
      <c r="BF37" s="322"/>
      <c r="BG37" s="322"/>
      <c r="BH37" s="322"/>
      <c r="BI37" s="360"/>
      <c r="BJ37" s="322">
        <v>9</v>
      </c>
      <c r="BK37" s="385">
        <f t="shared" si="12"/>
        <v>4</v>
      </c>
      <c r="BL37" s="384">
        <f t="shared" si="13"/>
        <v>0.44444444444444442</v>
      </c>
      <c r="BM37" s="361"/>
      <c r="BN37" s="361"/>
      <c r="BO37" s="361"/>
      <c r="BP37" s="361"/>
      <c r="BQ37" s="361"/>
      <c r="BR37" s="362" t="str">
        <f t="shared" si="17"/>
        <v>En revisión de dummy para autorización final</v>
      </c>
      <c r="BS37" s="382">
        <f t="shared" si="15"/>
        <v>46308</v>
      </c>
      <c r="BT37" s="325" t="s">
        <v>211</v>
      </c>
      <c r="CJ37" s="325"/>
      <c r="CK37" s="325"/>
      <c r="CL37" s="325"/>
      <c r="CM37" s="325"/>
      <c r="CN37" s="325"/>
      <c r="CO37" s="325"/>
      <c r="CP37" s="327"/>
      <c r="CQ37" s="327"/>
      <c r="CR37" s="328"/>
      <c r="CS37" s="328"/>
      <c r="CT37" s="328"/>
      <c r="CU37" s="328"/>
      <c r="CV37" s="328"/>
      <c r="CW37" s="328"/>
      <c r="CX37" s="328"/>
      <c r="CY37" s="328"/>
      <c r="CZ37" s="328"/>
      <c r="DA37" s="328"/>
    </row>
    <row r="38" spans="1:105" ht="232.5">
      <c r="A38" s="304">
        <v>26</v>
      </c>
      <c r="B38" s="305">
        <v>46248</v>
      </c>
      <c r="C38" s="305" t="s">
        <v>305</v>
      </c>
      <c r="D38" s="305" t="s">
        <v>163</v>
      </c>
      <c r="E38" s="306">
        <v>7502327991106</v>
      </c>
      <c r="F38" s="304" t="s">
        <v>381</v>
      </c>
      <c r="G38" s="307" t="s">
        <v>382</v>
      </c>
      <c r="H38" s="308" t="s">
        <v>60</v>
      </c>
      <c r="I38" s="324" t="s">
        <v>229</v>
      </c>
      <c r="J38" s="307" t="s">
        <v>277</v>
      </c>
      <c r="K38" s="307" t="s">
        <v>309</v>
      </c>
      <c r="L38" s="304">
        <v>1</v>
      </c>
      <c r="M38" s="310" t="s">
        <v>310</v>
      </c>
      <c r="N38" s="365" t="s">
        <v>383</v>
      </c>
      <c r="O38" s="304" t="s">
        <v>312</v>
      </c>
      <c r="P38" s="357" t="s">
        <v>377</v>
      </c>
      <c r="Q38" s="312" t="s">
        <v>314</v>
      </c>
      <c r="R38" s="312">
        <v>10000</v>
      </c>
      <c r="S38" s="313" t="e">
        <f t="shared" ca="1" si="14"/>
        <v>#VALUE!</v>
      </c>
      <c r="T38" s="313" t="e">
        <f t="shared" ca="1" si="0"/>
        <v>#VALUE!</v>
      </c>
      <c r="U38" s="313" t="e">
        <f t="shared" ca="1" si="18"/>
        <v>#VALUE!</v>
      </c>
      <c r="V38" s="314" t="e">
        <f t="shared" ca="1" si="2"/>
        <v>#VALUE!</v>
      </c>
      <c r="W38" s="315">
        <v>149</v>
      </c>
      <c r="X38" s="313">
        <f t="shared" si="3"/>
        <v>128.44827586206898</v>
      </c>
      <c r="Y38" s="313">
        <f t="shared" si="4"/>
        <v>77.068965517241381</v>
      </c>
      <c r="Z38" s="316" t="e">
        <f t="shared" ca="1" si="5"/>
        <v>#VALUE!</v>
      </c>
      <c r="AA38" s="316" t="e">
        <f t="shared" ca="1" si="6"/>
        <v>#VALUE!</v>
      </c>
      <c r="AB38" s="317">
        <f t="shared" si="7"/>
        <v>0.4</v>
      </c>
      <c r="AC38" s="318" t="s">
        <v>315</v>
      </c>
      <c r="AD38" s="304"/>
      <c r="AE38" s="307">
        <v>6</v>
      </c>
      <c r="AF38" s="307">
        <v>72</v>
      </c>
      <c r="AG38" s="324" t="s">
        <v>316</v>
      </c>
      <c r="AH38" s="363">
        <v>46308</v>
      </c>
      <c r="AI38" s="359"/>
      <c r="AJ38" s="359"/>
      <c r="AL38" s="320">
        <v>96.85</v>
      </c>
      <c r="AM38" s="320">
        <f t="shared" si="8"/>
        <v>83.491379310344826</v>
      </c>
      <c r="AN38" s="321" t="e">
        <f t="shared" ca="1" si="9"/>
        <v>#VALUE!</v>
      </c>
      <c r="AO38" s="321" t="e">
        <f t="shared" ca="1" si="10"/>
        <v>#VALUE!</v>
      </c>
      <c r="AP38" s="317">
        <f t="shared" si="11"/>
        <v>0</v>
      </c>
      <c r="BA38" s="322">
        <v>1</v>
      </c>
      <c r="BB38" s="322">
        <v>1</v>
      </c>
      <c r="BC38" s="322">
        <v>1</v>
      </c>
      <c r="BD38" s="322">
        <v>1</v>
      </c>
      <c r="BE38" s="322"/>
      <c r="BF38" s="322"/>
      <c r="BG38" s="322"/>
      <c r="BH38" s="322"/>
      <c r="BI38" s="360"/>
      <c r="BJ38" s="322">
        <v>9</v>
      </c>
      <c r="BK38" s="385">
        <f t="shared" si="12"/>
        <v>4</v>
      </c>
      <c r="BL38" s="384">
        <f t="shared" si="13"/>
        <v>0.44444444444444442</v>
      </c>
      <c r="BM38" s="361"/>
      <c r="BN38" s="361"/>
      <c r="BO38" s="361"/>
      <c r="BP38" s="361"/>
      <c r="BQ38" s="361"/>
      <c r="BR38" s="362" t="str">
        <f t="shared" si="17"/>
        <v>En revisión de dummy para autorización final</v>
      </c>
      <c r="BS38" s="382">
        <f t="shared" si="15"/>
        <v>46308</v>
      </c>
      <c r="BT38" s="325" t="s">
        <v>211</v>
      </c>
      <c r="CJ38" s="325"/>
      <c r="CK38" s="325"/>
      <c r="CL38" s="325"/>
      <c r="CM38" s="325"/>
      <c r="CN38" s="325"/>
      <c r="CO38" s="325"/>
      <c r="CP38" s="327"/>
      <c r="CQ38" s="327"/>
      <c r="CR38" s="328"/>
      <c r="CS38" s="328"/>
      <c r="CT38" s="328"/>
      <c r="CU38" s="328"/>
      <c r="CV38" s="328"/>
      <c r="CW38" s="328"/>
      <c r="CX38" s="328"/>
      <c r="CY38" s="328"/>
      <c r="CZ38" s="328"/>
      <c r="DA38" s="328"/>
    </row>
    <row r="39" spans="1:105" ht="232.5">
      <c r="A39" s="304">
        <v>27</v>
      </c>
      <c r="B39" s="305">
        <v>46248</v>
      </c>
      <c r="C39" s="305" t="s">
        <v>305</v>
      </c>
      <c r="D39" s="305" t="s">
        <v>163</v>
      </c>
      <c r="E39" s="306">
        <v>7502327991113</v>
      </c>
      <c r="F39" s="304" t="s">
        <v>384</v>
      </c>
      <c r="G39" s="307" t="s">
        <v>385</v>
      </c>
      <c r="H39" s="308" t="s">
        <v>60</v>
      </c>
      <c r="I39" s="324" t="s">
        <v>229</v>
      </c>
      <c r="J39" s="307" t="s">
        <v>277</v>
      </c>
      <c r="K39" s="307" t="s">
        <v>309</v>
      </c>
      <c r="L39" s="304">
        <v>1</v>
      </c>
      <c r="M39" s="310" t="s">
        <v>310</v>
      </c>
      <c r="N39" s="365" t="s">
        <v>386</v>
      </c>
      <c r="O39" s="304" t="s">
        <v>312</v>
      </c>
      <c r="P39" s="357" t="s">
        <v>377</v>
      </c>
      <c r="Q39" s="312" t="s">
        <v>314</v>
      </c>
      <c r="R39" s="312">
        <v>10000</v>
      </c>
      <c r="S39" s="313" t="e">
        <f t="shared" ca="1" si="14"/>
        <v>#VALUE!</v>
      </c>
      <c r="T39" s="313" t="e">
        <f t="shared" ca="1" si="0"/>
        <v>#VALUE!</v>
      </c>
      <c r="U39" s="313" t="e">
        <f t="shared" ca="1" si="18"/>
        <v>#VALUE!</v>
      </c>
      <c r="V39" s="314" t="e">
        <f t="shared" ca="1" si="2"/>
        <v>#VALUE!</v>
      </c>
      <c r="W39" s="315">
        <v>149</v>
      </c>
      <c r="X39" s="313">
        <f t="shared" si="3"/>
        <v>128.44827586206898</v>
      </c>
      <c r="Y39" s="313">
        <f t="shared" si="4"/>
        <v>77.068965517241381</v>
      </c>
      <c r="Z39" s="316" t="e">
        <f t="shared" ca="1" si="5"/>
        <v>#VALUE!</v>
      </c>
      <c r="AA39" s="316" t="e">
        <f t="shared" ca="1" si="6"/>
        <v>#VALUE!</v>
      </c>
      <c r="AB39" s="317">
        <f t="shared" si="7"/>
        <v>0.4</v>
      </c>
      <c r="AC39" s="318" t="s">
        <v>315</v>
      </c>
      <c r="AD39" s="304"/>
      <c r="AE39" s="307">
        <v>6</v>
      </c>
      <c r="AF39" s="307">
        <v>72</v>
      </c>
      <c r="AG39" s="324" t="s">
        <v>316</v>
      </c>
      <c r="AH39" s="363"/>
      <c r="AI39" s="359"/>
      <c r="AJ39" s="359"/>
      <c r="AL39" s="320">
        <v>96.85</v>
      </c>
      <c r="AM39" s="320">
        <f t="shared" si="8"/>
        <v>83.491379310344826</v>
      </c>
      <c r="AN39" s="321" t="e">
        <f t="shared" ca="1" si="9"/>
        <v>#VALUE!</v>
      </c>
      <c r="AO39" s="321" t="e">
        <f t="shared" ca="1" si="10"/>
        <v>#VALUE!</v>
      </c>
      <c r="AP39" s="317">
        <f t="shared" si="11"/>
        <v>0</v>
      </c>
      <c r="BA39" s="322">
        <v>1</v>
      </c>
      <c r="BB39" s="322">
        <v>1</v>
      </c>
      <c r="BC39" s="322">
        <v>1</v>
      </c>
      <c r="BD39" s="322">
        <v>1</v>
      </c>
      <c r="BE39" s="322"/>
      <c r="BF39" s="322"/>
      <c r="BG39" s="322"/>
      <c r="BH39" s="322"/>
      <c r="BI39" s="360"/>
      <c r="BJ39" s="322">
        <v>9</v>
      </c>
      <c r="BK39" s="385">
        <f t="shared" si="12"/>
        <v>4</v>
      </c>
      <c r="BL39" s="384">
        <f t="shared" si="13"/>
        <v>0.44444444444444442</v>
      </c>
      <c r="BM39" s="361"/>
      <c r="BN39" s="361"/>
      <c r="BO39" s="361"/>
      <c r="BP39" s="361"/>
      <c r="BQ39" s="361"/>
      <c r="BR39" s="362" t="str">
        <f t="shared" si="17"/>
        <v>En revisión de dummy para autorización final</v>
      </c>
      <c r="BS39" s="382">
        <f t="shared" si="15"/>
        <v>0</v>
      </c>
      <c r="BT39" s="325" t="s">
        <v>211</v>
      </c>
      <c r="CJ39" s="325"/>
      <c r="CK39" s="325"/>
      <c r="CL39" s="325"/>
      <c r="CM39" s="325"/>
      <c r="CN39" s="325"/>
      <c r="CO39" s="325"/>
      <c r="CP39" s="327"/>
      <c r="CQ39" s="327"/>
      <c r="CR39" s="328"/>
      <c r="CS39" s="328"/>
      <c r="CT39" s="328"/>
      <c r="CU39" s="328"/>
      <c r="CV39" s="328"/>
      <c r="CW39" s="328"/>
      <c r="CX39" s="328"/>
      <c r="CY39" s="328"/>
      <c r="CZ39" s="328"/>
      <c r="DA39" s="328"/>
    </row>
    <row r="40" spans="1:105" ht="232.5">
      <c r="A40" s="304">
        <v>28</v>
      </c>
      <c r="B40" s="305">
        <v>46248</v>
      </c>
      <c r="C40" s="305" t="s">
        <v>305</v>
      </c>
      <c r="D40" s="305" t="s">
        <v>163</v>
      </c>
      <c r="E40" s="306">
        <v>7502327991120</v>
      </c>
      <c r="F40" s="304" t="s">
        <v>387</v>
      </c>
      <c r="G40" s="307" t="s">
        <v>388</v>
      </c>
      <c r="H40" s="308" t="s">
        <v>60</v>
      </c>
      <c r="I40" s="324" t="s">
        <v>229</v>
      </c>
      <c r="J40" s="307" t="s">
        <v>277</v>
      </c>
      <c r="K40" s="307" t="s">
        <v>309</v>
      </c>
      <c r="L40" s="304">
        <v>1</v>
      </c>
      <c r="M40" s="310" t="s">
        <v>310</v>
      </c>
      <c r="N40" s="365" t="s">
        <v>389</v>
      </c>
      <c r="O40" s="304" t="s">
        <v>312</v>
      </c>
      <c r="P40" s="357" t="s">
        <v>377</v>
      </c>
      <c r="Q40" s="312" t="s">
        <v>314</v>
      </c>
      <c r="R40" s="312">
        <v>10000</v>
      </c>
      <c r="S40" s="313" t="e">
        <f t="shared" ca="1" si="14"/>
        <v>#VALUE!</v>
      </c>
      <c r="T40" s="313" t="e">
        <f t="shared" ca="1" si="0"/>
        <v>#VALUE!</v>
      </c>
      <c r="U40" s="313" t="e">
        <f t="shared" ca="1" si="18"/>
        <v>#VALUE!</v>
      </c>
      <c r="V40" s="314" t="e">
        <f t="shared" ca="1" si="2"/>
        <v>#VALUE!</v>
      </c>
      <c r="W40" s="315">
        <v>149</v>
      </c>
      <c r="X40" s="313">
        <f t="shared" si="3"/>
        <v>128.44827586206898</v>
      </c>
      <c r="Y40" s="313">
        <f t="shared" si="4"/>
        <v>77.068965517241381</v>
      </c>
      <c r="Z40" s="316" t="e">
        <f t="shared" ca="1" si="5"/>
        <v>#VALUE!</v>
      </c>
      <c r="AA40" s="316" t="e">
        <f t="shared" ca="1" si="6"/>
        <v>#VALUE!</v>
      </c>
      <c r="AB40" s="317">
        <f t="shared" si="7"/>
        <v>0.4</v>
      </c>
      <c r="AC40" s="318" t="s">
        <v>315</v>
      </c>
      <c r="AD40" s="304"/>
      <c r="AE40" s="307">
        <v>6</v>
      </c>
      <c r="AF40" s="307">
        <v>72</v>
      </c>
      <c r="AG40" s="324" t="s">
        <v>316</v>
      </c>
      <c r="AH40" s="363"/>
      <c r="AI40" s="359"/>
      <c r="AJ40" s="359"/>
      <c r="AL40" s="320">
        <v>96.85</v>
      </c>
      <c r="AM40" s="320">
        <f t="shared" si="8"/>
        <v>83.491379310344826</v>
      </c>
      <c r="AN40" s="321" t="e">
        <f t="shared" ca="1" si="9"/>
        <v>#VALUE!</v>
      </c>
      <c r="AO40" s="321" t="e">
        <f t="shared" ca="1" si="10"/>
        <v>#VALUE!</v>
      </c>
      <c r="AP40" s="317">
        <f t="shared" si="11"/>
        <v>0</v>
      </c>
      <c r="BA40" s="322">
        <v>1</v>
      </c>
      <c r="BB40" s="322">
        <v>1</v>
      </c>
      <c r="BC40" s="322">
        <v>1</v>
      </c>
      <c r="BD40" s="322">
        <v>1</v>
      </c>
      <c r="BE40" s="322"/>
      <c r="BF40" s="322"/>
      <c r="BG40" s="322"/>
      <c r="BH40" s="322"/>
      <c r="BI40" s="360"/>
      <c r="BJ40" s="322">
        <v>9</v>
      </c>
      <c r="BK40" s="385">
        <f t="shared" si="12"/>
        <v>4</v>
      </c>
      <c r="BL40" s="384">
        <f t="shared" si="13"/>
        <v>0.44444444444444442</v>
      </c>
      <c r="BM40" s="361"/>
      <c r="BN40" s="361"/>
      <c r="BO40" s="361"/>
      <c r="BP40" s="361"/>
      <c r="BQ40" s="361"/>
      <c r="BR40" s="362" t="str">
        <f t="shared" si="17"/>
        <v>En revisión de dummy para autorización final</v>
      </c>
      <c r="BS40" s="382">
        <f t="shared" si="15"/>
        <v>0</v>
      </c>
      <c r="BT40" s="325" t="s">
        <v>211</v>
      </c>
      <c r="CJ40" s="325"/>
      <c r="CK40" s="325"/>
      <c r="CL40" s="325"/>
      <c r="CM40" s="325"/>
      <c r="CN40" s="325"/>
      <c r="CO40" s="325"/>
      <c r="CP40" s="327"/>
      <c r="CQ40" s="327"/>
      <c r="CR40" s="328"/>
      <c r="CS40" s="328"/>
      <c r="CT40" s="328"/>
      <c r="CU40" s="328"/>
      <c r="CV40" s="328"/>
      <c r="CW40" s="328"/>
      <c r="CX40" s="328"/>
      <c r="CY40" s="328"/>
      <c r="CZ40" s="328"/>
      <c r="DA40" s="328"/>
    </row>
    <row r="41" spans="1:105" ht="232.5">
      <c r="A41" s="304">
        <v>29</v>
      </c>
      <c r="B41" s="305">
        <v>46248</v>
      </c>
      <c r="C41" s="305" t="s">
        <v>305</v>
      </c>
      <c r="D41" s="305" t="s">
        <v>163</v>
      </c>
      <c r="E41" s="306">
        <v>7502327991137</v>
      </c>
      <c r="F41" s="304" t="s">
        <v>390</v>
      </c>
      <c r="G41" s="307" t="s">
        <v>391</v>
      </c>
      <c r="H41" s="308" t="s">
        <v>60</v>
      </c>
      <c r="I41" s="324" t="s">
        <v>229</v>
      </c>
      <c r="J41" s="307" t="s">
        <v>277</v>
      </c>
      <c r="K41" s="307" t="s">
        <v>309</v>
      </c>
      <c r="L41" s="304">
        <v>1</v>
      </c>
      <c r="M41" s="310" t="s">
        <v>310</v>
      </c>
      <c r="N41" s="365" t="s">
        <v>392</v>
      </c>
      <c r="O41" s="304" t="s">
        <v>312</v>
      </c>
      <c r="P41" s="357" t="s">
        <v>377</v>
      </c>
      <c r="Q41" s="312" t="s">
        <v>314</v>
      </c>
      <c r="R41" s="312">
        <v>10000</v>
      </c>
      <c r="S41" s="313" t="e">
        <f t="shared" ca="1" si="14"/>
        <v>#VALUE!</v>
      </c>
      <c r="T41" s="313" t="e">
        <f t="shared" ca="1" si="0"/>
        <v>#VALUE!</v>
      </c>
      <c r="U41" s="313" t="e">
        <f t="shared" ca="1" si="18"/>
        <v>#VALUE!</v>
      </c>
      <c r="V41" s="314" t="e">
        <f t="shared" ca="1" si="2"/>
        <v>#VALUE!</v>
      </c>
      <c r="W41" s="315">
        <v>149</v>
      </c>
      <c r="X41" s="313">
        <f t="shared" si="3"/>
        <v>128.44827586206898</v>
      </c>
      <c r="Y41" s="313">
        <f t="shared" si="4"/>
        <v>77.068965517241381</v>
      </c>
      <c r="Z41" s="316" t="e">
        <f t="shared" ca="1" si="5"/>
        <v>#VALUE!</v>
      </c>
      <c r="AA41" s="316" t="e">
        <f t="shared" ca="1" si="6"/>
        <v>#VALUE!</v>
      </c>
      <c r="AB41" s="317">
        <f t="shared" si="7"/>
        <v>0.4</v>
      </c>
      <c r="AC41" s="318" t="s">
        <v>315</v>
      </c>
      <c r="AD41" s="304"/>
      <c r="AE41" s="307">
        <v>6</v>
      </c>
      <c r="AF41" s="307">
        <v>72</v>
      </c>
      <c r="AG41" s="324" t="s">
        <v>316</v>
      </c>
      <c r="AH41" s="363">
        <v>46308</v>
      </c>
      <c r="AI41" s="359"/>
      <c r="AJ41" s="359"/>
      <c r="AL41" s="320">
        <v>96.85</v>
      </c>
      <c r="AM41" s="320">
        <f t="shared" si="8"/>
        <v>83.491379310344826</v>
      </c>
      <c r="AN41" s="321" t="e">
        <f t="shared" ca="1" si="9"/>
        <v>#VALUE!</v>
      </c>
      <c r="AO41" s="321" t="e">
        <f t="shared" ca="1" si="10"/>
        <v>#VALUE!</v>
      </c>
      <c r="AP41" s="317">
        <f t="shared" si="11"/>
        <v>0</v>
      </c>
      <c r="BA41" s="322">
        <v>1</v>
      </c>
      <c r="BB41" s="322">
        <v>1</v>
      </c>
      <c r="BC41" s="322">
        <v>1</v>
      </c>
      <c r="BD41" s="322">
        <v>1</v>
      </c>
      <c r="BE41" s="322"/>
      <c r="BF41" s="322"/>
      <c r="BG41" s="322"/>
      <c r="BH41" s="322"/>
      <c r="BI41" s="360"/>
      <c r="BJ41" s="322">
        <v>9</v>
      </c>
      <c r="BK41" s="385">
        <f t="shared" si="12"/>
        <v>4</v>
      </c>
      <c r="BL41" s="384">
        <f t="shared" si="13"/>
        <v>0.44444444444444442</v>
      </c>
      <c r="BM41" s="361"/>
      <c r="BN41" s="361"/>
      <c r="BO41" s="361"/>
      <c r="BP41" s="361"/>
      <c r="BQ41" s="361"/>
      <c r="BR41" s="362" t="str">
        <f t="shared" si="17"/>
        <v>En revisión de dummy para autorización final</v>
      </c>
      <c r="BS41" s="382">
        <f t="shared" si="15"/>
        <v>46308</v>
      </c>
      <c r="BT41" s="325" t="s">
        <v>211</v>
      </c>
      <c r="CJ41" s="325"/>
      <c r="CK41" s="325"/>
      <c r="CL41" s="325"/>
      <c r="CM41" s="325"/>
      <c r="CN41" s="325"/>
      <c r="CO41" s="325"/>
      <c r="CP41" s="327"/>
      <c r="CQ41" s="327"/>
      <c r="CR41" s="328"/>
      <c r="CS41" s="328"/>
      <c r="CT41" s="328"/>
      <c r="CU41" s="328"/>
      <c r="CV41" s="328"/>
      <c r="CW41" s="328"/>
      <c r="CX41" s="328"/>
      <c r="CY41" s="328"/>
      <c r="CZ41" s="328"/>
      <c r="DA41" s="328"/>
    </row>
    <row r="42" spans="1:105" ht="46.5">
      <c r="A42" s="304">
        <v>30</v>
      </c>
      <c r="B42" s="305">
        <v>46248</v>
      </c>
      <c r="C42" s="305" t="s">
        <v>305</v>
      </c>
      <c r="D42" s="305" t="s">
        <v>163</v>
      </c>
      <c r="E42" s="306">
        <v>7502327991144</v>
      </c>
      <c r="F42" s="304" t="s">
        <v>393</v>
      </c>
      <c r="G42" s="366" t="s">
        <v>394</v>
      </c>
      <c r="H42" s="308" t="s">
        <v>60</v>
      </c>
      <c r="I42" s="304" t="s">
        <v>395</v>
      </c>
      <c r="J42" s="307" t="s">
        <v>277</v>
      </c>
      <c r="K42" s="307" t="s">
        <v>309</v>
      </c>
      <c r="L42" s="304">
        <v>1</v>
      </c>
      <c r="M42" s="310" t="s">
        <v>310</v>
      </c>
      <c r="N42" s="367" t="s">
        <v>396</v>
      </c>
      <c r="O42" s="304" t="s">
        <v>312</v>
      </c>
      <c r="P42" s="357" t="s">
        <v>377</v>
      </c>
      <c r="Q42" s="312" t="s">
        <v>314</v>
      </c>
      <c r="R42" s="312">
        <v>10000</v>
      </c>
      <c r="S42" s="313" t="e">
        <f t="shared" ca="1" si="14"/>
        <v>#VALUE!</v>
      </c>
      <c r="T42" s="313" t="e">
        <f t="shared" ca="1" si="0"/>
        <v>#VALUE!</v>
      </c>
      <c r="U42" s="313" t="e">
        <f ca="1">(S42+T42)*0.0123</f>
        <v>#VALUE!</v>
      </c>
      <c r="V42" s="314" t="e">
        <f t="shared" ca="1" si="2"/>
        <v>#VALUE!</v>
      </c>
      <c r="W42" s="331">
        <v>159</v>
      </c>
      <c r="X42" s="313">
        <f t="shared" si="3"/>
        <v>137.06896551724139</v>
      </c>
      <c r="Y42" s="313">
        <f t="shared" si="4"/>
        <v>82.24137931034484</v>
      </c>
      <c r="Z42" s="316" t="e">
        <f t="shared" ca="1" si="5"/>
        <v>#VALUE!</v>
      </c>
      <c r="AA42" s="316" t="e">
        <f t="shared" ca="1" si="6"/>
        <v>#VALUE!</v>
      </c>
      <c r="AB42" s="317">
        <f t="shared" si="7"/>
        <v>0.4</v>
      </c>
      <c r="AC42" s="318" t="s">
        <v>315</v>
      </c>
      <c r="AD42" s="304"/>
      <c r="AE42" s="307">
        <v>6</v>
      </c>
      <c r="AF42" s="307">
        <v>144</v>
      </c>
      <c r="AG42" s="324" t="s">
        <v>316</v>
      </c>
      <c r="AH42" s="363">
        <v>46315</v>
      </c>
      <c r="AI42" s="359"/>
      <c r="AJ42" s="359"/>
      <c r="AL42" s="320">
        <v>103.35</v>
      </c>
      <c r="AM42" s="320">
        <f t="shared" si="8"/>
        <v>89.094827586206904</v>
      </c>
      <c r="AN42" s="321" t="e">
        <f t="shared" ca="1" si="9"/>
        <v>#VALUE!</v>
      </c>
      <c r="AO42" s="321" t="e">
        <f t="shared" ca="1" si="10"/>
        <v>#VALUE!</v>
      </c>
      <c r="AP42" s="317">
        <f t="shared" si="11"/>
        <v>0</v>
      </c>
      <c r="BA42" s="322">
        <v>1</v>
      </c>
      <c r="BB42" s="322">
        <v>1</v>
      </c>
      <c r="BC42" s="322">
        <v>1</v>
      </c>
      <c r="BD42" s="322">
        <v>1</v>
      </c>
      <c r="BE42" s="322">
        <v>1</v>
      </c>
      <c r="BF42" s="322"/>
      <c r="BG42" s="322"/>
      <c r="BH42" s="322"/>
      <c r="BI42" s="360"/>
      <c r="BJ42" s="322">
        <v>9</v>
      </c>
      <c r="BK42" s="385">
        <f t="shared" si="12"/>
        <v>5</v>
      </c>
      <c r="BL42" s="384">
        <f t="shared" si="13"/>
        <v>0.55555555555555558</v>
      </c>
      <c r="BM42" s="361"/>
      <c r="BN42" s="361"/>
      <c r="BO42" s="361"/>
      <c r="BP42" s="361"/>
      <c r="BQ42" s="361"/>
      <c r="BR42" s="362" t="str">
        <f t="shared" si="17"/>
        <v>En revisión de dummy para autorización final</v>
      </c>
      <c r="BS42" s="382">
        <f t="shared" si="15"/>
        <v>46315</v>
      </c>
      <c r="BT42" s="325" t="s">
        <v>211</v>
      </c>
      <c r="CJ42" s="325"/>
      <c r="CK42" s="325"/>
      <c r="CL42" s="325"/>
      <c r="CM42" s="325"/>
      <c r="CN42" s="325"/>
      <c r="CO42" s="325"/>
      <c r="CP42" s="327"/>
      <c r="CQ42" s="327"/>
      <c r="CR42" s="328"/>
      <c r="CS42" s="328"/>
      <c r="CT42" s="328"/>
      <c r="CU42" s="328"/>
      <c r="CV42" s="328"/>
      <c r="CW42" s="328"/>
      <c r="CX42" s="328"/>
      <c r="CY42" s="328"/>
      <c r="CZ42" s="328"/>
      <c r="DA42" s="328"/>
    </row>
    <row r="43" spans="1:105" ht="48">
      <c r="A43" s="304">
        <v>31</v>
      </c>
      <c r="B43" s="305">
        <v>46248</v>
      </c>
      <c r="C43" s="305" t="s">
        <v>305</v>
      </c>
      <c r="D43" s="305" t="s">
        <v>163</v>
      </c>
      <c r="E43" s="306">
        <v>7502327991151</v>
      </c>
      <c r="F43" s="304" t="s">
        <v>397</v>
      </c>
      <c r="G43" s="366" t="s">
        <v>398</v>
      </c>
      <c r="H43" s="308" t="s">
        <v>60</v>
      </c>
      <c r="I43" s="304" t="s">
        <v>395</v>
      </c>
      <c r="J43" s="307" t="s">
        <v>277</v>
      </c>
      <c r="K43" s="307" t="s">
        <v>309</v>
      </c>
      <c r="L43" s="304">
        <v>1</v>
      </c>
      <c r="M43" s="310" t="s">
        <v>310</v>
      </c>
      <c r="N43" s="367" t="s">
        <v>399</v>
      </c>
      <c r="O43" s="304" t="s">
        <v>312</v>
      </c>
      <c r="P43" s="357" t="s">
        <v>400</v>
      </c>
      <c r="Q43" s="312" t="s">
        <v>314</v>
      </c>
      <c r="R43" s="312">
        <v>10000</v>
      </c>
      <c r="S43" s="313" t="e">
        <f t="shared" ca="1" si="14"/>
        <v>#VALUE!</v>
      </c>
      <c r="T43" s="313" t="e">
        <f t="shared" ca="1" si="0"/>
        <v>#VALUE!</v>
      </c>
      <c r="U43" s="313" t="e">
        <f ca="1">(S43+T43)*0.0123</f>
        <v>#VALUE!</v>
      </c>
      <c r="V43" s="314" t="e">
        <f t="shared" ca="1" si="2"/>
        <v>#VALUE!</v>
      </c>
      <c r="W43" s="331">
        <v>159</v>
      </c>
      <c r="X43" s="313">
        <f t="shared" si="3"/>
        <v>137.06896551724139</v>
      </c>
      <c r="Y43" s="313">
        <f t="shared" si="4"/>
        <v>82.24137931034484</v>
      </c>
      <c r="Z43" s="316" t="e">
        <f t="shared" ca="1" si="5"/>
        <v>#VALUE!</v>
      </c>
      <c r="AA43" s="316" t="e">
        <f t="shared" ca="1" si="6"/>
        <v>#VALUE!</v>
      </c>
      <c r="AB43" s="317">
        <f t="shared" si="7"/>
        <v>0.4</v>
      </c>
      <c r="AC43" s="318" t="s">
        <v>315</v>
      </c>
      <c r="AD43" s="304"/>
      <c r="AE43" s="307">
        <v>6</v>
      </c>
      <c r="AF43" s="307">
        <v>144</v>
      </c>
      <c r="AG43" s="324" t="s">
        <v>316</v>
      </c>
      <c r="AH43" s="363">
        <v>46315</v>
      </c>
      <c r="AI43" s="359"/>
      <c r="AJ43" s="359"/>
      <c r="AL43" s="320">
        <v>103.35</v>
      </c>
      <c r="AM43" s="320">
        <f t="shared" si="8"/>
        <v>89.094827586206904</v>
      </c>
      <c r="AN43" s="321" t="e">
        <f t="shared" ca="1" si="9"/>
        <v>#VALUE!</v>
      </c>
      <c r="AO43" s="321" t="e">
        <f t="shared" ca="1" si="10"/>
        <v>#VALUE!</v>
      </c>
      <c r="AP43" s="317">
        <f t="shared" si="11"/>
        <v>0</v>
      </c>
      <c r="BA43" s="322">
        <v>1</v>
      </c>
      <c r="BB43" s="322">
        <v>1</v>
      </c>
      <c r="BC43" s="322">
        <v>1</v>
      </c>
      <c r="BD43" s="322">
        <v>1</v>
      </c>
      <c r="BE43" s="322">
        <v>1</v>
      </c>
      <c r="BF43" s="322"/>
      <c r="BG43" s="322"/>
      <c r="BH43" s="322"/>
      <c r="BI43" s="360"/>
      <c r="BJ43" s="322">
        <v>9</v>
      </c>
      <c r="BK43" s="385">
        <f t="shared" si="12"/>
        <v>5</v>
      </c>
      <c r="BL43" s="384">
        <f t="shared" si="13"/>
        <v>0.55555555555555558</v>
      </c>
      <c r="BM43" s="361"/>
      <c r="BN43" s="361"/>
      <c r="BO43" s="361"/>
      <c r="BP43" s="361"/>
      <c r="BQ43" s="361"/>
      <c r="BR43" s="362" t="str">
        <f t="shared" si="17"/>
        <v>En revisión de dummy para autorización final</v>
      </c>
      <c r="BS43" s="382">
        <f t="shared" si="15"/>
        <v>46315</v>
      </c>
      <c r="BT43" s="325" t="s">
        <v>211</v>
      </c>
      <c r="CJ43" s="325"/>
      <c r="CK43" s="325"/>
      <c r="CL43" s="325"/>
      <c r="CM43" s="325"/>
      <c r="CN43" s="325"/>
      <c r="CO43" s="325"/>
      <c r="CP43" s="327"/>
      <c r="CQ43" s="327"/>
      <c r="CR43" s="328"/>
      <c r="CS43" s="328"/>
      <c r="CT43" s="328"/>
      <c r="CU43" s="328"/>
      <c r="CV43" s="328"/>
      <c r="CW43" s="328"/>
      <c r="CX43" s="328"/>
      <c r="CY43" s="328"/>
      <c r="CZ43" s="328"/>
      <c r="DA43" s="328"/>
    </row>
    <row r="44" spans="1:105" ht="46.5">
      <c r="A44" s="304">
        <v>32</v>
      </c>
      <c r="B44" s="305">
        <v>46248</v>
      </c>
      <c r="C44" s="305" t="s">
        <v>305</v>
      </c>
      <c r="D44" s="305" t="s">
        <v>163</v>
      </c>
      <c r="E44" s="306">
        <v>7502327991168</v>
      </c>
      <c r="F44" s="304" t="s">
        <v>401</v>
      </c>
      <c r="G44" s="307" t="s">
        <v>402</v>
      </c>
      <c r="H44" s="308" t="s">
        <v>60</v>
      </c>
      <c r="I44" s="304" t="s">
        <v>403</v>
      </c>
      <c r="J44" s="307" t="s">
        <v>277</v>
      </c>
      <c r="K44" s="307" t="s">
        <v>309</v>
      </c>
      <c r="L44" s="304">
        <v>1</v>
      </c>
      <c r="M44" s="310" t="s">
        <v>404</v>
      </c>
      <c r="N44" s="367" t="s">
        <v>405</v>
      </c>
      <c r="O44" s="304" t="s">
        <v>312</v>
      </c>
      <c r="P44" s="357">
        <v>3.2</v>
      </c>
      <c r="Q44" s="312" t="s">
        <v>314</v>
      </c>
      <c r="R44" s="312">
        <v>10000</v>
      </c>
      <c r="S44" s="313" t="e">
        <f t="shared" ca="1" si="14"/>
        <v>#VALUE!</v>
      </c>
      <c r="T44" s="313" t="e">
        <f t="shared" ca="1" si="0"/>
        <v>#VALUE!</v>
      </c>
      <c r="U44" s="313" t="e">
        <f ca="1">(S44+T44)*0.0691</f>
        <v>#VALUE!</v>
      </c>
      <c r="V44" s="314" t="e">
        <f t="shared" ca="1" si="2"/>
        <v>#VALUE!</v>
      </c>
      <c r="W44" s="331">
        <v>169</v>
      </c>
      <c r="X44" s="313">
        <f t="shared" si="3"/>
        <v>145.68965517241381</v>
      </c>
      <c r="Y44" s="313">
        <f t="shared" si="4"/>
        <v>87.413793103448285</v>
      </c>
      <c r="Z44" s="316" t="e">
        <f t="shared" ca="1" si="5"/>
        <v>#VALUE!</v>
      </c>
      <c r="AA44" s="316" t="e">
        <f t="shared" ca="1" si="6"/>
        <v>#VALUE!</v>
      </c>
      <c r="AB44" s="317">
        <f t="shared" si="7"/>
        <v>0.4</v>
      </c>
      <c r="AC44" s="318" t="s">
        <v>315</v>
      </c>
      <c r="AD44" s="304"/>
      <c r="AE44" s="307">
        <v>6</v>
      </c>
      <c r="AF44" s="307">
        <v>144</v>
      </c>
      <c r="AG44" s="324" t="s">
        <v>316</v>
      </c>
      <c r="AH44" s="363">
        <v>46315</v>
      </c>
      <c r="AI44" s="359"/>
      <c r="AJ44" s="359"/>
      <c r="AL44" s="320">
        <v>109.85</v>
      </c>
      <c r="AM44" s="320">
        <f t="shared" si="8"/>
        <v>94.698275862068968</v>
      </c>
      <c r="AN44" s="321" t="e">
        <f t="shared" ca="1" si="9"/>
        <v>#VALUE!</v>
      </c>
      <c r="AO44" s="321" t="e">
        <f t="shared" ca="1" si="10"/>
        <v>#VALUE!</v>
      </c>
      <c r="AP44" s="317">
        <f t="shared" si="11"/>
        <v>0</v>
      </c>
      <c r="BA44" s="322">
        <v>1</v>
      </c>
      <c r="BB44" s="322">
        <v>1</v>
      </c>
      <c r="BC44" s="322">
        <v>1</v>
      </c>
      <c r="BD44" s="322">
        <v>1</v>
      </c>
      <c r="BE44" s="322">
        <v>1</v>
      </c>
      <c r="BF44" s="322"/>
      <c r="BG44" s="322"/>
      <c r="BH44" s="322"/>
      <c r="BI44" s="360"/>
      <c r="BJ44" s="322">
        <v>9</v>
      </c>
      <c r="BK44" s="385">
        <f t="shared" si="12"/>
        <v>5</v>
      </c>
      <c r="BL44" s="384">
        <f t="shared" si="13"/>
        <v>0.55555555555555558</v>
      </c>
      <c r="BM44" s="361"/>
      <c r="BN44" s="361"/>
      <c r="BO44" s="361"/>
      <c r="BP44" s="361"/>
      <c r="BQ44" s="361"/>
      <c r="BR44" s="362" t="str">
        <f t="shared" si="17"/>
        <v>En revisión de dummy para autorización final</v>
      </c>
      <c r="BS44" s="382">
        <f t="shared" si="15"/>
        <v>46315</v>
      </c>
      <c r="BT44" s="325" t="s">
        <v>211</v>
      </c>
      <c r="CJ44" s="325"/>
      <c r="CK44" s="325"/>
      <c r="CL44" s="325"/>
      <c r="CM44" s="325"/>
      <c r="CN44" s="325"/>
      <c r="CO44" s="325"/>
      <c r="CP44" s="327"/>
      <c r="CQ44" s="327"/>
      <c r="CR44" s="329"/>
      <c r="CS44" s="329"/>
      <c r="CT44" s="329"/>
      <c r="CU44" s="329"/>
      <c r="CV44" s="329"/>
      <c r="CW44" s="329"/>
      <c r="CX44" s="329"/>
      <c r="CY44" s="329"/>
      <c r="CZ44" s="329"/>
      <c r="DA44" s="329"/>
    </row>
    <row r="45" spans="1:105" ht="46.5">
      <c r="A45" s="304">
        <v>33</v>
      </c>
      <c r="B45" s="305">
        <v>46248</v>
      </c>
      <c r="C45" s="305" t="s">
        <v>305</v>
      </c>
      <c r="D45" s="305" t="s">
        <v>163</v>
      </c>
      <c r="E45" s="306">
        <v>7502327991175</v>
      </c>
      <c r="F45" s="304" t="s">
        <v>406</v>
      </c>
      <c r="G45" s="307" t="s">
        <v>407</v>
      </c>
      <c r="H45" s="308" t="s">
        <v>60</v>
      </c>
      <c r="I45" s="304" t="s">
        <v>403</v>
      </c>
      <c r="J45" s="307" t="s">
        <v>277</v>
      </c>
      <c r="K45" s="307" t="s">
        <v>309</v>
      </c>
      <c r="L45" s="304">
        <v>1</v>
      </c>
      <c r="M45" s="310" t="s">
        <v>404</v>
      </c>
      <c r="N45" s="367" t="s">
        <v>408</v>
      </c>
      <c r="O45" s="304" t="s">
        <v>312</v>
      </c>
      <c r="P45" s="357">
        <v>3.2</v>
      </c>
      <c r="Q45" s="312" t="s">
        <v>314</v>
      </c>
      <c r="R45" s="312">
        <v>10000</v>
      </c>
      <c r="S45" s="313" t="e">
        <f t="shared" ca="1" si="14"/>
        <v>#VALUE!</v>
      </c>
      <c r="T45" s="313" t="e">
        <f t="shared" ca="1" si="0"/>
        <v>#VALUE!</v>
      </c>
      <c r="U45" s="313" t="e">
        <f ca="1">(S45+T45)*0.0691</f>
        <v>#VALUE!</v>
      </c>
      <c r="V45" s="314" t="e">
        <f t="shared" ca="1" si="2"/>
        <v>#VALUE!</v>
      </c>
      <c r="W45" s="331">
        <v>169</v>
      </c>
      <c r="X45" s="313">
        <f t="shared" si="3"/>
        <v>145.68965517241381</v>
      </c>
      <c r="Y45" s="313">
        <f t="shared" si="4"/>
        <v>87.413793103448285</v>
      </c>
      <c r="Z45" s="316" t="e">
        <f t="shared" ca="1" si="5"/>
        <v>#VALUE!</v>
      </c>
      <c r="AA45" s="316" t="e">
        <f t="shared" ca="1" si="6"/>
        <v>#VALUE!</v>
      </c>
      <c r="AB45" s="317">
        <f t="shared" si="7"/>
        <v>0.4</v>
      </c>
      <c r="AC45" s="318" t="s">
        <v>315</v>
      </c>
      <c r="AD45" s="304"/>
      <c r="AE45" s="307">
        <v>6</v>
      </c>
      <c r="AF45" s="307">
        <v>144</v>
      </c>
      <c r="AG45" s="324" t="s">
        <v>316</v>
      </c>
      <c r="AH45" s="363">
        <v>46315</v>
      </c>
      <c r="AI45" s="359"/>
      <c r="AJ45" s="359"/>
      <c r="AL45" s="320">
        <v>109.85</v>
      </c>
      <c r="AM45" s="320">
        <f t="shared" si="8"/>
        <v>94.698275862068968</v>
      </c>
      <c r="AN45" s="321" t="e">
        <f t="shared" ca="1" si="9"/>
        <v>#VALUE!</v>
      </c>
      <c r="AO45" s="321" t="e">
        <f t="shared" ca="1" si="10"/>
        <v>#VALUE!</v>
      </c>
      <c r="AP45" s="317">
        <f t="shared" si="11"/>
        <v>0</v>
      </c>
      <c r="BA45" s="322">
        <v>1</v>
      </c>
      <c r="BB45" s="322">
        <v>1</v>
      </c>
      <c r="BC45" s="322">
        <v>1</v>
      </c>
      <c r="BD45" s="322">
        <v>1</v>
      </c>
      <c r="BE45" s="322">
        <v>1</v>
      </c>
      <c r="BF45" s="322"/>
      <c r="BG45" s="322"/>
      <c r="BH45" s="322"/>
      <c r="BI45" s="360"/>
      <c r="BJ45" s="322">
        <v>9</v>
      </c>
      <c r="BK45" s="385">
        <f t="shared" si="12"/>
        <v>5</v>
      </c>
      <c r="BL45" s="384">
        <f t="shared" si="13"/>
        <v>0.55555555555555558</v>
      </c>
      <c r="BM45" s="361"/>
      <c r="BN45" s="361"/>
      <c r="BO45" s="361"/>
      <c r="BP45" s="361"/>
      <c r="BQ45" s="361"/>
      <c r="BR45" s="362" t="str">
        <f t="shared" si="17"/>
        <v>En revisión de dummy para autorización final</v>
      </c>
      <c r="BS45" s="382">
        <f t="shared" si="15"/>
        <v>46315</v>
      </c>
      <c r="BT45" s="325" t="s">
        <v>211</v>
      </c>
      <c r="CJ45" s="325"/>
      <c r="CK45" s="325"/>
      <c r="CL45" s="325"/>
      <c r="CM45" s="325"/>
      <c r="CN45" s="325"/>
      <c r="CO45" s="325"/>
      <c r="CP45" s="327"/>
      <c r="CQ45" s="327"/>
      <c r="CR45" s="328"/>
      <c r="CS45" s="328"/>
      <c r="CT45" s="328"/>
      <c r="CU45" s="328"/>
      <c r="CV45" s="328"/>
      <c r="CW45" s="328"/>
      <c r="CX45" s="328"/>
      <c r="CY45" s="328"/>
      <c r="CZ45" s="328"/>
      <c r="DA45" s="328"/>
    </row>
    <row r="46" spans="1:105" ht="46.5">
      <c r="A46" s="304">
        <v>34</v>
      </c>
      <c r="B46" s="305">
        <v>46248</v>
      </c>
      <c r="C46" s="305" t="s">
        <v>305</v>
      </c>
      <c r="D46" s="305" t="s">
        <v>163</v>
      </c>
      <c r="E46" s="306">
        <v>7502327991182</v>
      </c>
      <c r="F46" s="304" t="s">
        <v>409</v>
      </c>
      <c r="G46" s="307" t="s">
        <v>410</v>
      </c>
      <c r="H46" s="308" t="s">
        <v>60</v>
      </c>
      <c r="I46" s="304" t="s">
        <v>403</v>
      </c>
      <c r="J46" s="307" t="s">
        <v>277</v>
      </c>
      <c r="K46" s="307" t="s">
        <v>309</v>
      </c>
      <c r="L46" s="304">
        <v>1</v>
      </c>
      <c r="M46" s="310" t="s">
        <v>404</v>
      </c>
      <c r="N46" s="368" t="s">
        <v>411</v>
      </c>
      <c r="O46" s="304" t="s">
        <v>312</v>
      </c>
      <c r="P46" s="357">
        <v>2.9</v>
      </c>
      <c r="Q46" s="312" t="s">
        <v>314</v>
      </c>
      <c r="R46" s="312">
        <v>10000</v>
      </c>
      <c r="S46" s="313" t="e">
        <f t="shared" ca="1" si="14"/>
        <v>#VALUE!</v>
      </c>
      <c r="T46" s="313" t="e">
        <f t="shared" ca="1" si="0"/>
        <v>#VALUE!</v>
      </c>
      <c r="U46" s="313" t="e">
        <f ca="1">(S46+T46)*0.0762</f>
        <v>#VALUE!</v>
      </c>
      <c r="V46" s="314" t="e">
        <f t="shared" ca="1" si="2"/>
        <v>#VALUE!</v>
      </c>
      <c r="W46" s="331">
        <v>169</v>
      </c>
      <c r="X46" s="313">
        <f t="shared" si="3"/>
        <v>145.68965517241381</v>
      </c>
      <c r="Y46" s="313">
        <f t="shared" si="4"/>
        <v>87.413793103448285</v>
      </c>
      <c r="Z46" s="316" t="e">
        <f t="shared" ca="1" si="5"/>
        <v>#VALUE!</v>
      </c>
      <c r="AA46" s="316" t="e">
        <f t="shared" ca="1" si="6"/>
        <v>#VALUE!</v>
      </c>
      <c r="AB46" s="317">
        <f t="shared" si="7"/>
        <v>0.4</v>
      </c>
      <c r="AC46" s="318" t="s">
        <v>315</v>
      </c>
      <c r="AD46" s="304"/>
      <c r="AE46" s="307">
        <v>6</v>
      </c>
      <c r="AF46" s="307">
        <v>144</v>
      </c>
      <c r="AG46" s="324" t="s">
        <v>316</v>
      </c>
      <c r="AH46" s="363">
        <v>46315</v>
      </c>
      <c r="AI46" s="359"/>
      <c r="AJ46" s="359"/>
      <c r="AL46" s="320">
        <v>109.85</v>
      </c>
      <c r="AM46" s="320">
        <f t="shared" si="8"/>
        <v>94.698275862068968</v>
      </c>
      <c r="AN46" s="321">
        <f t="shared" si="9"/>
        <v>0.23231679563040508</v>
      </c>
      <c r="AO46" s="321">
        <f t="shared" si="10"/>
        <v>0.76768320436959492</v>
      </c>
      <c r="AP46" s="317">
        <f t="shared" si="11"/>
        <v>0</v>
      </c>
      <c r="BA46" s="322">
        <v>1</v>
      </c>
      <c r="BB46" s="322">
        <v>1</v>
      </c>
      <c r="BC46" s="322">
        <v>1</v>
      </c>
      <c r="BD46" s="322">
        <v>1</v>
      </c>
      <c r="BE46" s="322">
        <v>1</v>
      </c>
      <c r="BF46" s="322"/>
      <c r="BG46" s="322"/>
      <c r="BH46" s="322"/>
      <c r="BI46" s="360"/>
      <c r="BJ46" s="322">
        <v>9</v>
      </c>
      <c r="BK46" s="385">
        <f t="shared" si="12"/>
        <v>5</v>
      </c>
      <c r="BL46" s="384">
        <f t="shared" si="13"/>
        <v>0.55555555555555558</v>
      </c>
      <c r="BM46" s="361"/>
      <c r="BN46" s="361"/>
      <c r="BO46" s="361"/>
      <c r="BP46" s="361"/>
      <c r="BQ46" s="361"/>
      <c r="BR46" s="362" t="str">
        <f t="shared" si="17"/>
        <v>En revisión de dummy para autorización final</v>
      </c>
      <c r="BS46" s="382">
        <f t="shared" si="15"/>
        <v>46315</v>
      </c>
      <c r="BT46" s="325" t="s">
        <v>211</v>
      </c>
      <c r="CJ46" s="325"/>
      <c r="CK46" s="325"/>
      <c r="CL46" s="325"/>
      <c r="CM46" s="325"/>
      <c r="CN46" s="325"/>
      <c r="CO46" s="325"/>
      <c r="CP46" s="327"/>
      <c r="CQ46" s="327"/>
      <c r="CR46" s="328"/>
      <c r="CS46" s="328"/>
      <c r="CT46" s="328"/>
      <c r="CU46" s="328"/>
      <c r="CV46" s="328"/>
      <c r="CW46" s="328"/>
      <c r="CX46" s="328"/>
      <c r="CY46" s="328"/>
      <c r="CZ46" s="328"/>
      <c r="DA46" s="328"/>
    </row>
    <row r="47" spans="1:105" ht="46.5">
      <c r="A47" s="304">
        <v>35</v>
      </c>
      <c r="B47" s="305">
        <v>46248</v>
      </c>
      <c r="C47" s="305" t="s">
        <v>305</v>
      </c>
      <c r="D47" s="305" t="s">
        <v>163</v>
      </c>
      <c r="E47" s="306">
        <v>7502327991199</v>
      </c>
      <c r="F47" s="304" t="s">
        <v>412</v>
      </c>
      <c r="G47" s="307" t="s">
        <v>413</v>
      </c>
      <c r="H47" s="308" t="s">
        <v>60</v>
      </c>
      <c r="I47" s="304" t="s">
        <v>414</v>
      </c>
      <c r="J47" s="307" t="s">
        <v>277</v>
      </c>
      <c r="K47" s="307" t="s">
        <v>309</v>
      </c>
      <c r="L47" s="304">
        <v>1</v>
      </c>
      <c r="M47" s="310" t="s">
        <v>415</v>
      </c>
      <c r="N47" s="367" t="s">
        <v>416</v>
      </c>
      <c r="O47" s="304" t="s">
        <v>312</v>
      </c>
      <c r="P47" s="357"/>
      <c r="Q47" s="312" t="s">
        <v>67</v>
      </c>
      <c r="R47" s="312">
        <v>10000</v>
      </c>
      <c r="S47" s="313">
        <v>22</v>
      </c>
      <c r="T47" s="313"/>
      <c r="U47" s="313"/>
      <c r="V47" s="314">
        <f t="shared" si="2"/>
        <v>22</v>
      </c>
      <c r="W47" s="331">
        <v>199</v>
      </c>
      <c r="X47" s="313">
        <f t="shared" si="3"/>
        <v>171.55172413793105</v>
      </c>
      <c r="Y47" s="313">
        <f t="shared" si="4"/>
        <v>102.93103448275862</v>
      </c>
      <c r="Z47" s="316">
        <f t="shared" si="5"/>
        <v>0.2137353433835846</v>
      </c>
      <c r="AA47" s="316">
        <f t="shared" si="6"/>
        <v>0.78626465661641542</v>
      </c>
      <c r="AB47" s="317">
        <f t="shared" si="7"/>
        <v>0.4</v>
      </c>
      <c r="AC47" s="318" t="s">
        <v>315</v>
      </c>
      <c r="AD47" s="304"/>
      <c r="AE47" s="307">
        <v>6</v>
      </c>
      <c r="AF47" s="307">
        <v>144</v>
      </c>
      <c r="AG47" s="324" t="s">
        <v>316</v>
      </c>
      <c r="AH47" s="363">
        <v>46315</v>
      </c>
      <c r="AI47" s="359"/>
      <c r="AJ47" s="359"/>
      <c r="AL47" s="320">
        <v>129.35</v>
      </c>
      <c r="AM47" s="320">
        <f t="shared" si="8"/>
        <v>111.50862068965517</v>
      </c>
      <c r="AN47" s="321">
        <f t="shared" si="9"/>
        <v>7.516703034402783E-2</v>
      </c>
      <c r="AO47" s="321">
        <f t="shared" si="10"/>
        <v>0.92483296965597217</v>
      </c>
      <c r="AP47" s="317">
        <f t="shared" si="11"/>
        <v>0</v>
      </c>
      <c r="BA47" s="322">
        <v>1</v>
      </c>
      <c r="BB47" s="322">
        <v>1</v>
      </c>
      <c r="BC47" s="322">
        <v>1</v>
      </c>
      <c r="BD47" s="322">
        <v>1</v>
      </c>
      <c r="BE47" s="322">
        <v>1</v>
      </c>
      <c r="BF47" s="322"/>
      <c r="BG47" s="322"/>
      <c r="BH47" s="322"/>
      <c r="BI47" s="360"/>
      <c r="BJ47" s="322">
        <v>9</v>
      </c>
      <c r="BK47" s="385">
        <f t="shared" si="12"/>
        <v>5</v>
      </c>
      <c r="BL47" s="384">
        <f t="shared" si="13"/>
        <v>0.55555555555555558</v>
      </c>
      <c r="BM47" s="361"/>
      <c r="BN47" s="361"/>
      <c r="BO47" s="361"/>
      <c r="BP47" s="361"/>
      <c r="BQ47" s="361"/>
      <c r="BR47" s="362" t="str">
        <f t="shared" si="17"/>
        <v>En revisión de dummy para autorización final</v>
      </c>
      <c r="BS47" s="382">
        <f t="shared" si="15"/>
        <v>46315</v>
      </c>
      <c r="BT47" s="325" t="s">
        <v>211</v>
      </c>
      <c r="CJ47" s="325"/>
      <c r="CK47" s="325"/>
      <c r="CL47" s="325"/>
      <c r="CM47" s="325"/>
      <c r="CN47" s="325"/>
      <c r="CO47" s="325"/>
      <c r="CP47" s="327"/>
      <c r="CQ47" s="327"/>
      <c r="CR47" s="328"/>
      <c r="CS47" s="328"/>
      <c r="CT47" s="328"/>
      <c r="CU47" s="328"/>
      <c r="CV47" s="328"/>
      <c r="CW47" s="328"/>
      <c r="CX47" s="328"/>
      <c r="CY47" s="328"/>
      <c r="CZ47" s="328"/>
      <c r="DA47" s="328"/>
    </row>
    <row r="48" spans="1:105" ht="201.5">
      <c r="A48" s="304">
        <v>36</v>
      </c>
      <c r="B48" s="305">
        <v>46248</v>
      </c>
      <c r="C48" s="305" t="s">
        <v>305</v>
      </c>
      <c r="D48" s="305" t="s">
        <v>163</v>
      </c>
      <c r="E48" s="306">
        <v>7502327991205</v>
      </c>
      <c r="F48" s="304" t="s">
        <v>417</v>
      </c>
      <c r="G48" s="366" t="s">
        <v>418</v>
      </c>
      <c r="H48" s="308" t="s">
        <v>60</v>
      </c>
      <c r="I48" s="304" t="s">
        <v>419</v>
      </c>
      <c r="J48" s="307" t="s">
        <v>277</v>
      </c>
      <c r="K48" s="307" t="s">
        <v>309</v>
      </c>
      <c r="L48" s="304">
        <v>1</v>
      </c>
      <c r="M48" s="310" t="s">
        <v>420</v>
      </c>
      <c r="N48" s="365" t="s">
        <v>421</v>
      </c>
      <c r="O48" s="304" t="s">
        <v>312</v>
      </c>
      <c r="P48" s="357">
        <v>0.35499999999999998</v>
      </c>
      <c r="Q48" s="312" t="s">
        <v>74</v>
      </c>
      <c r="R48" s="312">
        <v>10000</v>
      </c>
      <c r="S48" s="313">
        <f>+P48*18.5</f>
        <v>6.5674999999999999</v>
      </c>
      <c r="T48" s="313">
        <f>+S48*0.25</f>
        <v>1.641875</v>
      </c>
      <c r="U48" s="313">
        <f>(S48+T48)*0.021</f>
        <v>0.172396875</v>
      </c>
      <c r="V48" s="314">
        <f t="shared" si="2"/>
        <v>8.3817718750000001</v>
      </c>
      <c r="W48" s="331">
        <v>149</v>
      </c>
      <c r="X48" s="313">
        <f t="shared" si="3"/>
        <v>128.44827586206898</v>
      </c>
      <c r="Y48" s="313">
        <f t="shared" si="4"/>
        <v>77.068965517241381</v>
      </c>
      <c r="Z48" s="316">
        <f t="shared" si="5"/>
        <v>0.10875677153243848</v>
      </c>
      <c r="AA48" s="316">
        <f t="shared" si="6"/>
        <v>0.89124322846756154</v>
      </c>
      <c r="AB48" s="317">
        <f t="shared" si="7"/>
        <v>0.4</v>
      </c>
      <c r="AC48" s="318" t="s">
        <v>315</v>
      </c>
      <c r="AD48" s="304"/>
      <c r="AE48" s="307">
        <v>6</v>
      </c>
      <c r="AF48" s="307">
        <v>144</v>
      </c>
      <c r="AG48" s="324" t="s">
        <v>316</v>
      </c>
      <c r="AH48" s="363">
        <v>46315</v>
      </c>
      <c r="AI48" s="359"/>
      <c r="AJ48" s="359"/>
      <c r="AL48" s="320">
        <v>96.85</v>
      </c>
      <c r="AM48" s="320">
        <f t="shared" si="8"/>
        <v>83.491379310344826</v>
      </c>
      <c r="AN48" s="321">
        <f t="shared" si="9"/>
        <v>0.10039086602994321</v>
      </c>
      <c r="AO48" s="321">
        <f t="shared" si="10"/>
        <v>0.89960913397005682</v>
      </c>
      <c r="AP48" s="317">
        <f t="shared" si="11"/>
        <v>0</v>
      </c>
      <c r="BA48" s="322">
        <v>1</v>
      </c>
      <c r="BB48" s="322">
        <v>1</v>
      </c>
      <c r="BC48" s="322">
        <v>1</v>
      </c>
      <c r="BD48" s="322">
        <v>1</v>
      </c>
      <c r="BE48" s="322">
        <v>1</v>
      </c>
      <c r="BF48" s="322"/>
      <c r="BG48" s="322"/>
      <c r="BH48" s="322"/>
      <c r="BI48" s="360"/>
      <c r="BJ48" s="322">
        <v>9</v>
      </c>
      <c r="BK48" s="385">
        <f t="shared" si="12"/>
        <v>5</v>
      </c>
      <c r="BL48" s="384">
        <f t="shared" si="13"/>
        <v>0.55555555555555558</v>
      </c>
      <c r="BM48" s="361"/>
      <c r="BN48" s="361"/>
      <c r="BO48" s="361"/>
      <c r="BP48" s="361"/>
      <c r="BQ48" s="361"/>
      <c r="BR48" s="362" t="str">
        <f t="shared" si="17"/>
        <v>En revisión de dummy para autorización final</v>
      </c>
      <c r="BS48" s="382">
        <f t="shared" si="15"/>
        <v>46315</v>
      </c>
      <c r="BT48" s="325" t="s">
        <v>211</v>
      </c>
      <c r="CJ48" s="325"/>
      <c r="CK48" s="325"/>
      <c r="CL48" s="325"/>
      <c r="CM48" s="325"/>
      <c r="CN48" s="325"/>
      <c r="CO48" s="325"/>
      <c r="CP48" s="327"/>
      <c r="CQ48" s="327"/>
      <c r="CR48" s="328"/>
      <c r="CS48" s="328"/>
      <c r="CT48" s="328"/>
      <c r="CU48" s="328"/>
      <c r="CV48" s="328"/>
      <c r="CW48" s="328"/>
      <c r="CX48" s="328"/>
      <c r="CY48" s="328"/>
      <c r="CZ48" s="328"/>
      <c r="DA48" s="328"/>
    </row>
    <row r="49" spans="1:105" ht="201.5">
      <c r="A49" s="304">
        <v>37</v>
      </c>
      <c r="B49" s="305">
        <v>46248</v>
      </c>
      <c r="C49" s="305" t="s">
        <v>305</v>
      </c>
      <c r="D49" s="305" t="s">
        <v>163</v>
      </c>
      <c r="E49" s="306">
        <v>7502327991212</v>
      </c>
      <c r="F49" s="304" t="s">
        <v>422</v>
      </c>
      <c r="G49" s="366" t="s">
        <v>423</v>
      </c>
      <c r="H49" s="308" t="s">
        <v>60</v>
      </c>
      <c r="I49" s="304" t="s">
        <v>419</v>
      </c>
      <c r="J49" s="307" t="s">
        <v>277</v>
      </c>
      <c r="K49" s="307" t="s">
        <v>309</v>
      </c>
      <c r="L49" s="304">
        <v>1</v>
      </c>
      <c r="M49" s="310" t="s">
        <v>420</v>
      </c>
      <c r="N49" s="365" t="s">
        <v>424</v>
      </c>
      <c r="O49" s="304" t="s">
        <v>312</v>
      </c>
      <c r="P49" s="357">
        <v>0.35499999999999998</v>
      </c>
      <c r="Q49" s="312" t="s">
        <v>74</v>
      </c>
      <c r="R49" s="312">
        <v>10000</v>
      </c>
      <c r="S49" s="313">
        <f>+P49*18.5</f>
        <v>6.5674999999999999</v>
      </c>
      <c r="T49" s="313">
        <f>+S49*0.25</f>
        <v>1.641875</v>
      </c>
      <c r="U49" s="313">
        <f>(S49+T49)*0.021</f>
        <v>0.172396875</v>
      </c>
      <c r="V49" s="314">
        <f t="shared" ref="V49:V77" si="19">S49+T49+U49</f>
        <v>8.3817718750000001</v>
      </c>
      <c r="W49" s="331">
        <v>149</v>
      </c>
      <c r="X49" s="313">
        <f t="shared" ref="X49:X77" si="20">W49/1.16</f>
        <v>128.44827586206898</v>
      </c>
      <c r="Y49" s="313">
        <f t="shared" ref="Y49:Y77" si="21">X49*0.6</f>
        <v>77.068965517241381</v>
      </c>
      <c r="Z49" s="316">
        <f t="shared" ref="Z49:Z77" si="22">V49/Y49</f>
        <v>0.10875677153243848</v>
      </c>
      <c r="AA49" s="316">
        <f t="shared" ref="AA49:AA77" si="23">1-(V49/Y49)</f>
        <v>0.89124322846756154</v>
      </c>
      <c r="AB49" s="317">
        <f t="shared" ref="AB49:AB77" si="24">1-(Y49/(W49/1.16))</f>
        <v>0.4</v>
      </c>
      <c r="AC49" s="318" t="s">
        <v>315</v>
      </c>
      <c r="AD49" s="304"/>
      <c r="AE49" s="307">
        <v>6</v>
      </c>
      <c r="AF49" s="307">
        <v>144</v>
      </c>
      <c r="AG49" s="324" t="s">
        <v>316</v>
      </c>
      <c r="AH49" s="363">
        <v>46315</v>
      </c>
      <c r="AI49" s="359"/>
      <c r="AJ49" s="359"/>
      <c r="AL49" s="320">
        <v>96.85</v>
      </c>
      <c r="AM49" s="320">
        <f t="shared" ref="AM49:AM77" si="25">+AL49/1.16</f>
        <v>83.491379310344826</v>
      </c>
      <c r="AN49" s="321" t="e">
        <f t="shared" ref="AN49:AN77" ca="1" si="26">+V50/AM49</f>
        <v>#VALUE!</v>
      </c>
      <c r="AO49" s="321" t="e">
        <f t="shared" ref="AO49:AO77" ca="1" si="27">1-V50/AM49</f>
        <v>#VALUE!</v>
      </c>
      <c r="AP49" s="317">
        <f t="shared" ref="AP49:AP77" si="28">1-(AM49/(AL49/1.16))</f>
        <v>0</v>
      </c>
      <c r="BA49" s="322">
        <v>1</v>
      </c>
      <c r="BB49" s="322">
        <v>1</v>
      </c>
      <c r="BC49" s="322">
        <v>1</v>
      </c>
      <c r="BD49" s="322">
        <v>1</v>
      </c>
      <c r="BE49" s="322">
        <v>1</v>
      </c>
      <c r="BF49" s="322"/>
      <c r="BG49" s="322"/>
      <c r="BH49" s="322"/>
      <c r="BI49" s="360"/>
      <c r="BJ49" s="322">
        <v>9</v>
      </c>
      <c r="BK49" s="385">
        <f t="shared" ref="BK49:BK77" si="29">SUM(BA49:BI49)</f>
        <v>5</v>
      </c>
      <c r="BL49" s="384">
        <f t="shared" ref="BL49:BL77" si="30">+BK49/BJ49</f>
        <v>0.55555555555555558</v>
      </c>
      <c r="BM49" s="361"/>
      <c r="BN49" s="361"/>
      <c r="BO49" s="361"/>
      <c r="BP49" s="361"/>
      <c r="BQ49" s="361"/>
      <c r="BR49" s="362" t="str">
        <f t="shared" si="17"/>
        <v>En revisión de dummy para autorización final</v>
      </c>
      <c r="BS49" s="382">
        <f t="shared" si="15"/>
        <v>46315</v>
      </c>
      <c r="BT49" s="325" t="s">
        <v>425</v>
      </c>
      <c r="CJ49" s="325"/>
      <c r="CK49" s="325"/>
      <c r="CL49" s="325"/>
      <c r="CM49" s="325"/>
      <c r="CN49" s="325"/>
      <c r="CO49" s="325"/>
      <c r="CP49" s="327"/>
      <c r="CQ49" s="327"/>
      <c r="CR49" s="328"/>
      <c r="CS49" s="328"/>
      <c r="CT49" s="328"/>
      <c r="CU49" s="328"/>
      <c r="CV49" s="328"/>
      <c r="CW49" s="328"/>
      <c r="CX49" s="328"/>
      <c r="CY49" s="328"/>
      <c r="CZ49" s="328"/>
      <c r="DA49" s="328"/>
    </row>
    <row r="50" spans="1:105" ht="46.5">
      <c r="A50" s="304">
        <v>38</v>
      </c>
      <c r="B50" s="305">
        <v>46248</v>
      </c>
      <c r="C50" s="305" t="s">
        <v>305</v>
      </c>
      <c r="D50" s="305" t="s">
        <v>163</v>
      </c>
      <c r="E50" s="306">
        <v>7502327991229</v>
      </c>
      <c r="F50" s="304" t="s">
        <v>426</v>
      </c>
      <c r="G50" s="307" t="s">
        <v>427</v>
      </c>
      <c r="H50" s="308" t="s">
        <v>60</v>
      </c>
      <c r="I50" s="369" t="s">
        <v>428</v>
      </c>
      <c r="J50" s="307" t="s">
        <v>277</v>
      </c>
      <c r="K50" s="307" t="s">
        <v>309</v>
      </c>
      <c r="L50" s="304">
        <v>1</v>
      </c>
      <c r="M50" s="330" t="s">
        <v>404</v>
      </c>
      <c r="N50" s="370" t="s">
        <v>429</v>
      </c>
      <c r="O50" s="304" t="s">
        <v>312</v>
      </c>
      <c r="P50" s="357">
        <v>6.8</v>
      </c>
      <c r="Q50" s="312" t="s">
        <v>314</v>
      </c>
      <c r="R50" s="312">
        <v>10000</v>
      </c>
      <c r="S50" s="313" t="e">
        <f t="shared" ref="S50:S55" ca="1" si="31">+P50*$T$25</f>
        <v>#VALUE!</v>
      </c>
      <c r="T50" s="313" t="e">
        <f t="shared" ref="T50:T73" ca="1" si="32">+S50*0.36</f>
        <v>#VALUE!</v>
      </c>
      <c r="U50" s="313" t="e">
        <f ca="1">(S50+T50)*0.0586</f>
        <v>#VALUE!</v>
      </c>
      <c r="V50" s="314" t="e">
        <f t="shared" ca="1" si="19"/>
        <v>#VALUE!</v>
      </c>
      <c r="W50" s="331">
        <v>179</v>
      </c>
      <c r="X50" s="313">
        <f t="shared" si="20"/>
        <v>154.31034482758622</v>
      </c>
      <c r="Y50" s="313">
        <f t="shared" si="21"/>
        <v>92.58620689655173</v>
      </c>
      <c r="Z50" s="316" t="e">
        <f t="shared" ca="1" si="22"/>
        <v>#VALUE!</v>
      </c>
      <c r="AA50" s="316" t="e">
        <f t="shared" ca="1" si="23"/>
        <v>#VALUE!</v>
      </c>
      <c r="AB50" s="317">
        <f t="shared" si="24"/>
        <v>0.4</v>
      </c>
      <c r="AC50" s="318" t="s">
        <v>315</v>
      </c>
      <c r="AD50" s="304"/>
      <c r="AE50" s="307">
        <v>6</v>
      </c>
      <c r="AF50" s="307">
        <v>144</v>
      </c>
      <c r="AG50" s="324" t="s">
        <v>316</v>
      </c>
      <c r="AH50" s="363">
        <v>46315</v>
      </c>
      <c r="AI50" s="359"/>
      <c r="AJ50" s="359"/>
      <c r="AL50" s="320">
        <v>116.35</v>
      </c>
      <c r="AM50" s="320">
        <f t="shared" si="25"/>
        <v>100.30172413793103</v>
      </c>
      <c r="AN50" s="321" t="e">
        <f t="shared" ca="1" si="26"/>
        <v>#VALUE!</v>
      </c>
      <c r="AO50" s="321" t="e">
        <f t="shared" ca="1" si="27"/>
        <v>#VALUE!</v>
      </c>
      <c r="AP50" s="317">
        <f t="shared" si="28"/>
        <v>0</v>
      </c>
      <c r="BA50" s="322">
        <v>1</v>
      </c>
      <c r="BB50" s="322">
        <v>1</v>
      </c>
      <c r="BC50" s="322">
        <v>1</v>
      </c>
      <c r="BD50" s="322">
        <v>1</v>
      </c>
      <c r="BE50" s="322"/>
      <c r="BF50" s="322"/>
      <c r="BG50" s="322"/>
      <c r="BH50" s="322"/>
      <c r="BI50" s="360"/>
      <c r="BJ50" s="322">
        <v>9</v>
      </c>
      <c r="BK50" s="385">
        <f t="shared" si="29"/>
        <v>4</v>
      </c>
      <c r="BL50" s="384">
        <f t="shared" si="30"/>
        <v>0.44444444444444442</v>
      </c>
      <c r="BM50" s="361"/>
      <c r="BN50" s="361"/>
      <c r="BO50" s="361"/>
      <c r="BP50" s="361"/>
      <c r="BQ50" s="361"/>
      <c r="BR50" s="362" t="str">
        <f t="shared" si="17"/>
        <v>En revisión de dummy para autorización final</v>
      </c>
      <c r="BS50" s="382">
        <f t="shared" si="15"/>
        <v>46315</v>
      </c>
      <c r="BT50" s="325" t="s">
        <v>70</v>
      </c>
      <c r="CJ50" s="325"/>
      <c r="CK50" s="325"/>
      <c r="CL50" s="325"/>
      <c r="CM50" s="325"/>
      <c r="CN50" s="325"/>
      <c r="CO50" s="325"/>
      <c r="CP50" s="327"/>
      <c r="CQ50" s="327"/>
      <c r="CR50" s="328"/>
      <c r="CS50" s="328"/>
      <c r="CT50" s="328"/>
      <c r="CU50" s="328"/>
      <c r="CV50" s="328"/>
      <c r="CW50" s="328"/>
      <c r="CX50" s="328"/>
      <c r="CY50" s="328"/>
      <c r="CZ50" s="328"/>
      <c r="DA50" s="328"/>
    </row>
    <row r="51" spans="1:105" ht="46.5">
      <c r="A51" s="304">
        <v>39</v>
      </c>
      <c r="B51" s="305">
        <v>46248</v>
      </c>
      <c r="C51" s="305" t="s">
        <v>305</v>
      </c>
      <c r="D51" s="305" t="s">
        <v>163</v>
      </c>
      <c r="E51" s="306">
        <v>7502327991236</v>
      </c>
      <c r="F51" s="304" t="s">
        <v>430</v>
      </c>
      <c r="G51" s="307" t="s">
        <v>431</v>
      </c>
      <c r="H51" s="308" t="s">
        <v>60</v>
      </c>
      <c r="I51" s="369" t="s">
        <v>428</v>
      </c>
      <c r="J51" s="307" t="s">
        <v>277</v>
      </c>
      <c r="K51" s="307" t="s">
        <v>309</v>
      </c>
      <c r="L51" s="304">
        <v>1</v>
      </c>
      <c r="M51" s="330" t="s">
        <v>404</v>
      </c>
      <c r="N51" s="370" t="s">
        <v>432</v>
      </c>
      <c r="O51" s="304" t="s">
        <v>312</v>
      </c>
      <c r="P51" s="357">
        <v>6.8</v>
      </c>
      <c r="Q51" s="312" t="s">
        <v>314</v>
      </c>
      <c r="R51" s="312">
        <v>10000</v>
      </c>
      <c r="S51" s="313" t="e">
        <f t="shared" ca="1" si="31"/>
        <v>#VALUE!</v>
      </c>
      <c r="T51" s="313" t="e">
        <f t="shared" ca="1" si="32"/>
        <v>#VALUE!</v>
      </c>
      <c r="U51" s="313" t="e">
        <f ca="1">(S51+T51)*0.0586</f>
        <v>#VALUE!</v>
      </c>
      <c r="V51" s="314" t="e">
        <f t="shared" ca="1" si="19"/>
        <v>#VALUE!</v>
      </c>
      <c r="W51" s="331">
        <v>179</v>
      </c>
      <c r="X51" s="313">
        <f t="shared" si="20"/>
        <v>154.31034482758622</v>
      </c>
      <c r="Y51" s="313">
        <f t="shared" si="21"/>
        <v>92.58620689655173</v>
      </c>
      <c r="Z51" s="316" t="e">
        <f t="shared" ca="1" si="22"/>
        <v>#VALUE!</v>
      </c>
      <c r="AA51" s="316" t="e">
        <f t="shared" ca="1" si="23"/>
        <v>#VALUE!</v>
      </c>
      <c r="AB51" s="317">
        <f t="shared" si="24"/>
        <v>0.4</v>
      </c>
      <c r="AC51" s="318" t="s">
        <v>315</v>
      </c>
      <c r="AD51" s="304"/>
      <c r="AE51" s="307">
        <v>6</v>
      </c>
      <c r="AF51" s="307">
        <v>144</v>
      </c>
      <c r="AG51" s="324" t="s">
        <v>316</v>
      </c>
      <c r="AH51" s="363">
        <v>46315</v>
      </c>
      <c r="AI51" s="359"/>
      <c r="AJ51" s="359"/>
      <c r="AL51" s="320">
        <v>116.35</v>
      </c>
      <c r="AM51" s="320">
        <f t="shared" si="25"/>
        <v>100.30172413793103</v>
      </c>
      <c r="AN51" s="321" t="e">
        <f t="shared" ca="1" si="26"/>
        <v>#VALUE!</v>
      </c>
      <c r="AO51" s="321" t="e">
        <f t="shared" ca="1" si="27"/>
        <v>#VALUE!</v>
      </c>
      <c r="AP51" s="317">
        <f t="shared" si="28"/>
        <v>0</v>
      </c>
      <c r="BA51" s="322">
        <v>1</v>
      </c>
      <c r="BB51" s="322">
        <v>1</v>
      </c>
      <c r="BC51" s="322">
        <v>1</v>
      </c>
      <c r="BD51" s="322">
        <v>1</v>
      </c>
      <c r="BE51" s="322"/>
      <c r="BF51" s="322"/>
      <c r="BG51" s="322"/>
      <c r="BH51" s="322"/>
      <c r="BI51" s="360"/>
      <c r="BJ51" s="322">
        <v>9</v>
      </c>
      <c r="BK51" s="385">
        <f t="shared" si="29"/>
        <v>4</v>
      </c>
      <c r="BL51" s="384">
        <f t="shared" si="30"/>
        <v>0.44444444444444442</v>
      </c>
      <c r="BM51" s="361"/>
      <c r="BN51" s="361"/>
      <c r="BO51" s="361"/>
      <c r="BP51" s="361"/>
      <c r="BQ51" s="361"/>
      <c r="BR51" s="362" t="str">
        <f t="shared" si="17"/>
        <v>En revisión de dummy para autorización final</v>
      </c>
      <c r="BS51" s="382">
        <f t="shared" si="15"/>
        <v>46315</v>
      </c>
      <c r="BT51" s="325" t="s">
        <v>70</v>
      </c>
      <c r="CJ51" s="325"/>
      <c r="CK51" s="325"/>
      <c r="CL51" s="325"/>
      <c r="CM51" s="325"/>
      <c r="CN51" s="325"/>
      <c r="CO51" s="325"/>
      <c r="CP51" s="327"/>
      <c r="CQ51" s="327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</row>
    <row r="52" spans="1:105" ht="46.5">
      <c r="A52" s="304">
        <v>40</v>
      </c>
      <c r="B52" s="305">
        <v>46248</v>
      </c>
      <c r="C52" s="305" t="s">
        <v>305</v>
      </c>
      <c r="D52" s="305" t="s">
        <v>163</v>
      </c>
      <c r="E52" s="306">
        <v>7502327991243</v>
      </c>
      <c r="F52" s="304" t="s">
        <v>433</v>
      </c>
      <c r="G52" s="307" t="s">
        <v>434</v>
      </c>
      <c r="H52" s="308" t="s">
        <v>60</v>
      </c>
      <c r="I52" s="369" t="s">
        <v>428</v>
      </c>
      <c r="J52" s="307" t="s">
        <v>277</v>
      </c>
      <c r="K52" s="307" t="s">
        <v>309</v>
      </c>
      <c r="L52" s="304">
        <v>1</v>
      </c>
      <c r="M52" s="330" t="s">
        <v>404</v>
      </c>
      <c r="N52" s="370" t="s">
        <v>435</v>
      </c>
      <c r="O52" s="304" t="s">
        <v>312</v>
      </c>
      <c r="P52" s="357">
        <v>6.8</v>
      </c>
      <c r="Q52" s="312" t="s">
        <v>314</v>
      </c>
      <c r="R52" s="312">
        <v>10000</v>
      </c>
      <c r="S52" s="313" t="e">
        <f t="shared" ca="1" si="31"/>
        <v>#VALUE!</v>
      </c>
      <c r="T52" s="313" t="e">
        <f t="shared" ca="1" si="32"/>
        <v>#VALUE!</v>
      </c>
      <c r="U52" s="313" t="e">
        <f ca="1">(S52+T52)*0.0586</f>
        <v>#VALUE!</v>
      </c>
      <c r="V52" s="314" t="e">
        <f t="shared" ca="1" si="19"/>
        <v>#VALUE!</v>
      </c>
      <c r="W52" s="331">
        <v>179</v>
      </c>
      <c r="X52" s="313">
        <f t="shared" si="20"/>
        <v>154.31034482758622</v>
      </c>
      <c r="Y52" s="313">
        <f t="shared" si="21"/>
        <v>92.58620689655173</v>
      </c>
      <c r="Z52" s="316" t="e">
        <f t="shared" ca="1" si="22"/>
        <v>#VALUE!</v>
      </c>
      <c r="AA52" s="316" t="e">
        <f t="shared" ca="1" si="23"/>
        <v>#VALUE!</v>
      </c>
      <c r="AB52" s="317">
        <f t="shared" si="24"/>
        <v>0.4</v>
      </c>
      <c r="AC52" s="318" t="s">
        <v>315</v>
      </c>
      <c r="AD52" s="304"/>
      <c r="AE52" s="307">
        <v>6</v>
      </c>
      <c r="AF52" s="307">
        <v>144</v>
      </c>
      <c r="AG52" s="324" t="s">
        <v>316</v>
      </c>
      <c r="AH52" s="363">
        <v>46315</v>
      </c>
      <c r="AI52" s="359"/>
      <c r="AJ52" s="359"/>
      <c r="AL52" s="320">
        <v>116.35</v>
      </c>
      <c r="AM52" s="320">
        <f t="shared" si="25"/>
        <v>100.30172413793103</v>
      </c>
      <c r="AN52" s="321" t="e">
        <f t="shared" ca="1" si="26"/>
        <v>#VALUE!</v>
      </c>
      <c r="AO52" s="321" t="e">
        <f t="shared" ca="1" si="27"/>
        <v>#VALUE!</v>
      </c>
      <c r="AP52" s="317">
        <f t="shared" si="28"/>
        <v>0</v>
      </c>
      <c r="BA52" s="322">
        <v>1</v>
      </c>
      <c r="BB52" s="322">
        <v>1</v>
      </c>
      <c r="BC52" s="322">
        <v>1</v>
      </c>
      <c r="BD52" s="322">
        <v>1</v>
      </c>
      <c r="BE52" s="322"/>
      <c r="BF52" s="322"/>
      <c r="BG52" s="322"/>
      <c r="BH52" s="322"/>
      <c r="BI52" s="360"/>
      <c r="BJ52" s="322">
        <v>9</v>
      </c>
      <c r="BK52" s="385">
        <f t="shared" si="29"/>
        <v>4</v>
      </c>
      <c r="BL52" s="384">
        <f t="shared" si="30"/>
        <v>0.44444444444444442</v>
      </c>
      <c r="BM52" s="361"/>
      <c r="BN52" s="361"/>
      <c r="BO52" s="361"/>
      <c r="BP52" s="361"/>
      <c r="BQ52" s="361"/>
      <c r="BR52" s="362" t="str">
        <f t="shared" si="17"/>
        <v>En revisión de dummy para autorización final</v>
      </c>
      <c r="BS52" s="382">
        <f t="shared" si="15"/>
        <v>46315</v>
      </c>
      <c r="BT52" s="325" t="s">
        <v>70</v>
      </c>
      <c r="CJ52" s="325"/>
      <c r="CK52" s="325"/>
      <c r="CL52" s="325"/>
      <c r="CM52" s="325"/>
      <c r="CN52" s="325"/>
      <c r="CO52" s="325"/>
      <c r="CP52" s="327"/>
      <c r="CQ52" s="327"/>
      <c r="CR52" s="328"/>
      <c r="CS52" s="328"/>
      <c r="CT52" s="328"/>
      <c r="CU52" s="328"/>
      <c r="CV52" s="328"/>
      <c r="CW52" s="328"/>
      <c r="CX52" s="328"/>
      <c r="CY52" s="328"/>
      <c r="CZ52" s="328"/>
      <c r="DA52" s="328"/>
    </row>
    <row r="53" spans="1:105" ht="46.5">
      <c r="A53" s="304">
        <v>41</v>
      </c>
      <c r="B53" s="305">
        <v>46248</v>
      </c>
      <c r="C53" s="305" t="s">
        <v>305</v>
      </c>
      <c r="D53" s="305" t="s">
        <v>163</v>
      </c>
      <c r="E53" s="306">
        <v>7502327991250</v>
      </c>
      <c r="F53" s="304" t="s">
        <v>436</v>
      </c>
      <c r="G53" s="307" t="s">
        <v>437</v>
      </c>
      <c r="H53" s="308" t="s">
        <v>60</v>
      </c>
      <c r="I53" s="369" t="s">
        <v>438</v>
      </c>
      <c r="J53" s="307" t="s">
        <v>277</v>
      </c>
      <c r="K53" s="307" t="s">
        <v>309</v>
      </c>
      <c r="L53" s="304">
        <v>1</v>
      </c>
      <c r="M53" s="330" t="s">
        <v>310</v>
      </c>
      <c r="N53" s="367" t="s">
        <v>439</v>
      </c>
      <c r="O53" s="304" t="s">
        <v>312</v>
      </c>
      <c r="P53" s="357" t="s">
        <v>357</v>
      </c>
      <c r="Q53" s="312" t="s">
        <v>314</v>
      </c>
      <c r="R53" s="312">
        <v>10000</v>
      </c>
      <c r="S53" s="313" t="e">
        <f t="shared" ca="1" si="31"/>
        <v>#VALUE!</v>
      </c>
      <c r="T53" s="313" t="e">
        <f t="shared" ca="1" si="32"/>
        <v>#VALUE!</v>
      </c>
      <c r="U53" s="313" t="e">
        <f ca="1">(S53+T53)*0.0248</f>
        <v>#VALUE!</v>
      </c>
      <c r="V53" s="314" t="e">
        <f t="shared" ca="1" si="19"/>
        <v>#VALUE!</v>
      </c>
      <c r="W53" s="331">
        <v>159</v>
      </c>
      <c r="X53" s="313">
        <f t="shared" si="20"/>
        <v>137.06896551724139</v>
      </c>
      <c r="Y53" s="313">
        <f t="shared" si="21"/>
        <v>82.24137931034484</v>
      </c>
      <c r="Z53" s="316" t="e">
        <f t="shared" ca="1" si="22"/>
        <v>#VALUE!</v>
      </c>
      <c r="AA53" s="316" t="e">
        <f t="shared" ca="1" si="23"/>
        <v>#VALUE!</v>
      </c>
      <c r="AB53" s="317">
        <f t="shared" si="24"/>
        <v>0.4</v>
      </c>
      <c r="AC53" s="318" t="s">
        <v>315</v>
      </c>
      <c r="AD53" s="304"/>
      <c r="AE53" s="307">
        <v>6</v>
      </c>
      <c r="AF53" s="307">
        <v>144</v>
      </c>
      <c r="AG53" s="324" t="s">
        <v>316</v>
      </c>
      <c r="AH53" s="363">
        <v>46308</v>
      </c>
      <c r="AI53" s="359"/>
      <c r="AJ53" s="359"/>
      <c r="AL53" s="320">
        <v>103.35</v>
      </c>
      <c r="AM53" s="320">
        <f t="shared" si="25"/>
        <v>89.094827586206904</v>
      </c>
      <c r="AN53" s="321" t="e">
        <f t="shared" ca="1" si="26"/>
        <v>#VALUE!</v>
      </c>
      <c r="AO53" s="321" t="e">
        <f t="shared" ca="1" si="27"/>
        <v>#VALUE!</v>
      </c>
      <c r="AP53" s="317">
        <f t="shared" si="28"/>
        <v>0</v>
      </c>
      <c r="BA53" s="322">
        <v>1</v>
      </c>
      <c r="BB53" s="322">
        <v>1</v>
      </c>
      <c r="BC53" s="322">
        <v>1</v>
      </c>
      <c r="BD53" s="322">
        <v>1</v>
      </c>
      <c r="BE53" s="322">
        <v>1</v>
      </c>
      <c r="BF53" s="322"/>
      <c r="BG53" s="322"/>
      <c r="BH53" s="322"/>
      <c r="BI53" s="360"/>
      <c r="BJ53" s="322">
        <v>9</v>
      </c>
      <c r="BK53" s="385">
        <f t="shared" si="29"/>
        <v>5</v>
      </c>
      <c r="BL53" s="384">
        <f t="shared" si="30"/>
        <v>0.55555555555555558</v>
      </c>
      <c r="BM53" s="361"/>
      <c r="BN53" s="361"/>
      <c r="BO53" s="361"/>
      <c r="BP53" s="361"/>
      <c r="BQ53" s="361"/>
      <c r="BR53" s="362" t="str">
        <f t="shared" ref="BR53:BR55" si="33">+AG53</f>
        <v>En revisión de dummy para autorización final</v>
      </c>
      <c r="BS53" s="382">
        <f t="shared" si="15"/>
        <v>46308</v>
      </c>
      <c r="BT53" s="325" t="s">
        <v>211</v>
      </c>
      <c r="CJ53" s="325"/>
      <c r="CK53" s="325"/>
      <c r="CL53" s="325"/>
      <c r="CM53" s="325"/>
      <c r="CN53" s="325"/>
      <c r="CO53" s="325"/>
      <c r="CP53" s="327"/>
      <c r="CQ53" s="327"/>
      <c r="CR53" s="328"/>
      <c r="CS53" s="328"/>
      <c r="CT53" s="328"/>
      <c r="CU53" s="328"/>
      <c r="CV53" s="328"/>
      <c r="CW53" s="328"/>
      <c r="CX53" s="328"/>
      <c r="CY53" s="328"/>
      <c r="CZ53" s="328"/>
      <c r="DA53" s="328"/>
    </row>
    <row r="54" spans="1:105" ht="46.5">
      <c r="A54" s="304">
        <v>42</v>
      </c>
      <c r="B54" s="305">
        <v>46248</v>
      </c>
      <c r="C54" s="305" t="s">
        <v>305</v>
      </c>
      <c r="D54" s="305" t="s">
        <v>163</v>
      </c>
      <c r="E54" s="306">
        <v>7502327991267</v>
      </c>
      <c r="F54" s="304" t="s">
        <v>440</v>
      </c>
      <c r="G54" s="307" t="s">
        <v>441</v>
      </c>
      <c r="H54" s="308" t="s">
        <v>60</v>
      </c>
      <c r="I54" s="369" t="s">
        <v>438</v>
      </c>
      <c r="J54" s="307" t="s">
        <v>277</v>
      </c>
      <c r="K54" s="307" t="s">
        <v>309</v>
      </c>
      <c r="L54" s="304">
        <v>1</v>
      </c>
      <c r="M54" s="330" t="s">
        <v>310</v>
      </c>
      <c r="N54" s="367" t="s">
        <v>439</v>
      </c>
      <c r="O54" s="304" t="s">
        <v>312</v>
      </c>
      <c r="P54" s="357" t="s">
        <v>357</v>
      </c>
      <c r="Q54" s="312" t="s">
        <v>314</v>
      </c>
      <c r="R54" s="312">
        <v>10000</v>
      </c>
      <c r="S54" s="313" t="e">
        <f t="shared" ca="1" si="31"/>
        <v>#VALUE!</v>
      </c>
      <c r="T54" s="313" t="e">
        <f t="shared" ca="1" si="32"/>
        <v>#VALUE!</v>
      </c>
      <c r="U54" s="313" t="e">
        <f ca="1">(S54+T54)*0.0248</f>
        <v>#VALUE!</v>
      </c>
      <c r="V54" s="314" t="e">
        <f t="shared" ca="1" si="19"/>
        <v>#VALUE!</v>
      </c>
      <c r="W54" s="331">
        <v>159</v>
      </c>
      <c r="X54" s="313">
        <f t="shared" si="20"/>
        <v>137.06896551724139</v>
      </c>
      <c r="Y54" s="313">
        <f t="shared" si="21"/>
        <v>82.24137931034484</v>
      </c>
      <c r="Z54" s="316" t="e">
        <f t="shared" ca="1" si="22"/>
        <v>#VALUE!</v>
      </c>
      <c r="AA54" s="316" t="e">
        <f t="shared" ca="1" si="23"/>
        <v>#VALUE!</v>
      </c>
      <c r="AB54" s="317">
        <f t="shared" si="24"/>
        <v>0.4</v>
      </c>
      <c r="AC54" s="318" t="s">
        <v>315</v>
      </c>
      <c r="AD54" s="304"/>
      <c r="AE54" s="307">
        <v>6</v>
      </c>
      <c r="AF54" s="307">
        <v>144</v>
      </c>
      <c r="AG54" s="324" t="s">
        <v>316</v>
      </c>
      <c r="AH54" s="363">
        <v>46308</v>
      </c>
      <c r="AI54" s="359"/>
      <c r="AJ54" s="359"/>
      <c r="AL54" s="320">
        <v>103.35</v>
      </c>
      <c r="AM54" s="320">
        <f t="shared" si="25"/>
        <v>89.094827586206904</v>
      </c>
      <c r="AN54" s="321" t="e">
        <f t="shared" ca="1" si="26"/>
        <v>#VALUE!</v>
      </c>
      <c r="AO54" s="321" t="e">
        <f t="shared" ca="1" si="27"/>
        <v>#VALUE!</v>
      </c>
      <c r="AP54" s="317">
        <f t="shared" si="28"/>
        <v>0</v>
      </c>
      <c r="BA54" s="322">
        <v>1</v>
      </c>
      <c r="BB54" s="322">
        <v>1</v>
      </c>
      <c r="BC54" s="322">
        <v>1</v>
      </c>
      <c r="BD54" s="322">
        <v>1</v>
      </c>
      <c r="BE54" s="322">
        <v>1</v>
      </c>
      <c r="BF54" s="322"/>
      <c r="BG54" s="322"/>
      <c r="BH54" s="322"/>
      <c r="BI54" s="360"/>
      <c r="BJ54" s="322">
        <v>9</v>
      </c>
      <c r="BK54" s="385">
        <f t="shared" si="29"/>
        <v>5</v>
      </c>
      <c r="BL54" s="384">
        <f t="shared" si="30"/>
        <v>0.55555555555555558</v>
      </c>
      <c r="BM54" s="361"/>
      <c r="BN54" s="361"/>
      <c r="BO54" s="361"/>
      <c r="BP54" s="361"/>
      <c r="BQ54" s="361"/>
      <c r="BR54" s="362" t="str">
        <f t="shared" si="33"/>
        <v>En revisión de dummy para autorización final</v>
      </c>
      <c r="BS54" s="382">
        <f t="shared" si="15"/>
        <v>46308</v>
      </c>
      <c r="BT54" s="325" t="s">
        <v>211</v>
      </c>
      <c r="CJ54" s="325"/>
      <c r="CK54" s="325"/>
      <c r="CL54" s="325"/>
      <c r="CM54" s="325"/>
      <c r="CN54" s="325"/>
      <c r="CO54" s="325"/>
      <c r="CP54" s="327"/>
      <c r="CQ54" s="327"/>
      <c r="CR54" s="328"/>
      <c r="CS54" s="328"/>
      <c r="CT54" s="328"/>
      <c r="CU54" s="328"/>
      <c r="CV54" s="328"/>
      <c r="CW54" s="328"/>
      <c r="CX54" s="328"/>
      <c r="CY54" s="328"/>
      <c r="CZ54" s="328"/>
      <c r="DA54" s="328"/>
    </row>
    <row r="55" spans="1:105" ht="46.5">
      <c r="A55" s="304">
        <v>43</v>
      </c>
      <c r="B55" s="305">
        <v>46248</v>
      </c>
      <c r="C55" s="305" t="s">
        <v>305</v>
      </c>
      <c r="D55" s="305" t="s">
        <v>163</v>
      </c>
      <c r="E55" s="306">
        <v>7502327991274</v>
      </c>
      <c r="F55" s="304" t="s">
        <v>442</v>
      </c>
      <c r="G55" s="307" t="s">
        <v>443</v>
      </c>
      <c r="H55" s="308" t="s">
        <v>60</v>
      </c>
      <c r="I55" s="369" t="s">
        <v>438</v>
      </c>
      <c r="J55" s="307" t="s">
        <v>277</v>
      </c>
      <c r="K55" s="307" t="s">
        <v>309</v>
      </c>
      <c r="L55" s="304">
        <v>1</v>
      </c>
      <c r="M55" s="330" t="s">
        <v>310</v>
      </c>
      <c r="N55" s="367" t="s">
        <v>444</v>
      </c>
      <c r="O55" s="304" t="s">
        <v>312</v>
      </c>
      <c r="P55" s="357" t="s">
        <v>357</v>
      </c>
      <c r="Q55" s="312" t="s">
        <v>314</v>
      </c>
      <c r="R55" s="312">
        <v>10000</v>
      </c>
      <c r="S55" s="313" t="e">
        <f t="shared" ca="1" si="31"/>
        <v>#VALUE!</v>
      </c>
      <c r="T55" s="313" t="e">
        <f t="shared" ca="1" si="32"/>
        <v>#VALUE!</v>
      </c>
      <c r="U55" s="313" t="e">
        <f ca="1">(S55+T55)*0.0248</f>
        <v>#VALUE!</v>
      </c>
      <c r="V55" s="314" t="e">
        <f t="shared" ca="1" si="19"/>
        <v>#VALUE!</v>
      </c>
      <c r="W55" s="331">
        <v>159</v>
      </c>
      <c r="X55" s="313">
        <f t="shared" si="20"/>
        <v>137.06896551724139</v>
      </c>
      <c r="Y55" s="313">
        <f t="shared" si="21"/>
        <v>82.24137931034484</v>
      </c>
      <c r="Z55" s="316" t="e">
        <f t="shared" ca="1" si="22"/>
        <v>#VALUE!</v>
      </c>
      <c r="AA55" s="316" t="e">
        <f t="shared" ca="1" si="23"/>
        <v>#VALUE!</v>
      </c>
      <c r="AB55" s="317">
        <f t="shared" si="24"/>
        <v>0.4</v>
      </c>
      <c r="AC55" s="318" t="s">
        <v>315</v>
      </c>
      <c r="AD55" s="304"/>
      <c r="AE55" s="307">
        <v>6</v>
      </c>
      <c r="AF55" s="307">
        <v>144</v>
      </c>
      <c r="AG55" s="324" t="s">
        <v>316</v>
      </c>
      <c r="AH55" s="363">
        <v>46308</v>
      </c>
      <c r="AI55" s="359"/>
      <c r="AJ55" s="359"/>
      <c r="AL55" s="320">
        <v>103.35</v>
      </c>
      <c r="AM55" s="320">
        <f t="shared" si="25"/>
        <v>89.094827586206904</v>
      </c>
      <c r="AN55" s="321" t="e">
        <f>+#REF!/AM55</f>
        <v>#REF!</v>
      </c>
      <c r="AO55" s="321" t="e">
        <f>1-#REF!/AM55</f>
        <v>#REF!</v>
      </c>
      <c r="AP55" s="317">
        <f t="shared" si="28"/>
        <v>0</v>
      </c>
      <c r="BA55" s="322">
        <v>1</v>
      </c>
      <c r="BB55" s="322">
        <v>1</v>
      </c>
      <c r="BC55" s="322">
        <v>1</v>
      </c>
      <c r="BD55" s="322">
        <v>1</v>
      </c>
      <c r="BE55" s="322">
        <v>1</v>
      </c>
      <c r="BF55" s="322"/>
      <c r="BG55" s="322"/>
      <c r="BH55" s="322"/>
      <c r="BI55" s="360"/>
      <c r="BJ55" s="322">
        <v>9</v>
      </c>
      <c r="BK55" s="385">
        <f t="shared" si="29"/>
        <v>5</v>
      </c>
      <c r="BL55" s="384">
        <f t="shared" si="30"/>
        <v>0.55555555555555558</v>
      </c>
      <c r="BM55" s="361"/>
      <c r="BN55" s="361"/>
      <c r="BO55" s="361"/>
      <c r="BP55" s="361"/>
      <c r="BQ55" s="361"/>
      <c r="BR55" s="362" t="str">
        <f t="shared" si="33"/>
        <v>En revisión de dummy para autorización final</v>
      </c>
      <c r="BS55" s="382">
        <f t="shared" si="15"/>
        <v>46308</v>
      </c>
      <c r="BT55" s="325" t="s">
        <v>425</v>
      </c>
      <c r="CJ55" s="325"/>
      <c r="CK55" s="325"/>
      <c r="CL55" s="325"/>
      <c r="CM55" s="325"/>
      <c r="CN55" s="325"/>
      <c r="CO55" s="325"/>
      <c r="CP55" s="327"/>
      <c r="CQ55" s="327"/>
      <c r="CR55" s="328"/>
      <c r="CS55" s="328"/>
      <c r="CT55" s="328"/>
      <c r="CU55" s="328"/>
      <c r="CV55" s="328"/>
      <c r="CW55" s="328"/>
      <c r="CX55" s="328"/>
      <c r="CY55" s="328"/>
      <c r="CZ55" s="328"/>
      <c r="DA55" s="328"/>
    </row>
    <row r="56" spans="1:105" ht="170.5">
      <c r="A56" s="304">
        <v>47</v>
      </c>
      <c r="B56" s="305">
        <v>46248</v>
      </c>
      <c r="C56" s="305" t="s">
        <v>305</v>
      </c>
      <c r="D56" s="305" t="s">
        <v>163</v>
      </c>
      <c r="E56" s="306">
        <v>7502327991311</v>
      </c>
      <c r="F56" s="304" t="s">
        <v>445</v>
      </c>
      <c r="G56" s="307" t="s">
        <v>446</v>
      </c>
      <c r="H56" s="308" t="s">
        <v>60</v>
      </c>
      <c r="I56" s="304" t="s">
        <v>447</v>
      </c>
      <c r="J56" s="307" t="s">
        <v>277</v>
      </c>
      <c r="K56" s="307" t="s">
        <v>309</v>
      </c>
      <c r="L56" s="304">
        <v>1</v>
      </c>
      <c r="M56" s="310" t="s">
        <v>310</v>
      </c>
      <c r="N56" s="365" t="s">
        <v>448</v>
      </c>
      <c r="O56" s="304" t="s">
        <v>312</v>
      </c>
      <c r="P56" s="357" t="s">
        <v>449</v>
      </c>
      <c r="Q56" s="312" t="s">
        <v>74</v>
      </c>
      <c r="R56" s="312">
        <v>10000</v>
      </c>
      <c r="S56" s="313">
        <f>+P56*18.5</f>
        <v>86.025000000000006</v>
      </c>
      <c r="T56" s="313">
        <f t="shared" si="32"/>
        <v>30.969000000000001</v>
      </c>
      <c r="U56" s="313">
        <f>(S56+T56)*0.117</f>
        <v>13.688298000000001</v>
      </c>
      <c r="V56" s="314">
        <f t="shared" si="19"/>
        <v>130.682298</v>
      </c>
      <c r="W56" s="331">
        <v>139</v>
      </c>
      <c r="X56" s="313">
        <f t="shared" si="20"/>
        <v>119.82758620689656</v>
      </c>
      <c r="Y56" s="313">
        <f t="shared" si="21"/>
        <v>71.896551724137936</v>
      </c>
      <c r="Z56" s="316">
        <f t="shared" si="22"/>
        <v>1.8176434733812949</v>
      </c>
      <c r="AA56" s="316">
        <f t="shared" si="23"/>
        <v>-0.81764347338129495</v>
      </c>
      <c r="AB56" s="317">
        <f t="shared" si="24"/>
        <v>0.4</v>
      </c>
      <c r="AC56" s="318" t="s">
        <v>315</v>
      </c>
      <c r="AD56" s="304"/>
      <c r="AE56" s="307">
        <v>6</v>
      </c>
      <c r="AF56" s="307">
        <v>144</v>
      </c>
      <c r="AG56" s="324" t="s">
        <v>351</v>
      </c>
      <c r="AH56" s="363">
        <v>46315</v>
      </c>
      <c r="AI56" s="359"/>
      <c r="AJ56" s="359"/>
      <c r="AL56" s="320" t="s">
        <v>450</v>
      </c>
      <c r="AM56" s="320">
        <f t="shared" si="25"/>
        <v>66.379310344827587</v>
      </c>
      <c r="AN56" s="321">
        <f t="shared" si="26"/>
        <v>1.9687203335064936</v>
      </c>
      <c r="AO56" s="321">
        <f t="shared" si="27"/>
        <v>-0.96872033350649356</v>
      </c>
      <c r="AP56" s="317">
        <f t="shared" si="28"/>
        <v>0</v>
      </c>
      <c r="BA56" s="322">
        <v>1</v>
      </c>
      <c r="BB56" s="322">
        <v>1</v>
      </c>
      <c r="BC56" s="322">
        <v>1</v>
      </c>
      <c r="BD56" s="322">
        <v>1</v>
      </c>
      <c r="BE56" s="322">
        <v>1</v>
      </c>
      <c r="BF56" s="322"/>
      <c r="BG56" s="322"/>
      <c r="BH56" s="322"/>
      <c r="BI56" s="360"/>
      <c r="BJ56" s="322">
        <v>9</v>
      </c>
      <c r="BK56" s="385">
        <f t="shared" si="29"/>
        <v>5</v>
      </c>
      <c r="BL56" s="384">
        <f t="shared" si="30"/>
        <v>0.55555555555555558</v>
      </c>
      <c r="BM56" s="361"/>
      <c r="BN56" s="361"/>
      <c r="BO56" s="361"/>
      <c r="BP56" s="361"/>
      <c r="BQ56" s="361"/>
      <c r="BR56" s="362" t="str">
        <f t="shared" ref="BR56:BR76" si="34">+AG56</f>
        <v>Falta arte final de la caja por parte de Incitrus</v>
      </c>
      <c r="BS56" s="382">
        <f t="shared" si="15"/>
        <v>46315</v>
      </c>
      <c r="BT56" s="325" t="s">
        <v>425</v>
      </c>
      <c r="CJ56" s="325"/>
      <c r="CK56" s="325"/>
      <c r="CL56" s="325"/>
      <c r="CM56" s="325"/>
      <c r="CN56" s="325"/>
      <c r="CO56" s="325"/>
      <c r="CP56" s="327"/>
      <c r="CQ56" s="327"/>
      <c r="CR56" s="328"/>
      <c r="CS56" s="328"/>
      <c r="CT56" s="328"/>
      <c r="CU56" s="328"/>
      <c r="CV56" s="328"/>
      <c r="CW56" s="328"/>
      <c r="CX56" s="328"/>
      <c r="CY56" s="328"/>
      <c r="CZ56" s="328"/>
      <c r="DA56" s="328"/>
    </row>
    <row r="57" spans="1:105" ht="170.5">
      <c r="A57" s="304">
        <v>48</v>
      </c>
      <c r="B57" s="305">
        <v>46248</v>
      </c>
      <c r="C57" s="305" t="s">
        <v>305</v>
      </c>
      <c r="D57" s="305" t="s">
        <v>163</v>
      </c>
      <c r="E57" s="306">
        <v>7502327991328</v>
      </c>
      <c r="F57" s="304" t="s">
        <v>451</v>
      </c>
      <c r="G57" s="307" t="s">
        <v>452</v>
      </c>
      <c r="H57" s="308" t="s">
        <v>60</v>
      </c>
      <c r="I57" s="304" t="s">
        <v>447</v>
      </c>
      <c r="J57" s="307" t="s">
        <v>277</v>
      </c>
      <c r="K57" s="307" t="s">
        <v>309</v>
      </c>
      <c r="L57" s="304">
        <v>1</v>
      </c>
      <c r="M57" s="310" t="s">
        <v>310</v>
      </c>
      <c r="N57" s="365" t="s">
        <v>453</v>
      </c>
      <c r="O57" s="304" t="s">
        <v>312</v>
      </c>
      <c r="P57" s="357" t="s">
        <v>449</v>
      </c>
      <c r="Q57" s="312" t="s">
        <v>74</v>
      </c>
      <c r="R57" s="312">
        <v>10000</v>
      </c>
      <c r="S57" s="313">
        <f>+P57*18.5</f>
        <v>86.025000000000006</v>
      </c>
      <c r="T57" s="313">
        <f t="shared" si="32"/>
        <v>30.969000000000001</v>
      </c>
      <c r="U57" s="313">
        <f>(S57+T57)*0.117</f>
        <v>13.688298000000001</v>
      </c>
      <c r="V57" s="314">
        <f t="shared" si="19"/>
        <v>130.682298</v>
      </c>
      <c r="W57" s="331">
        <v>139</v>
      </c>
      <c r="X57" s="313">
        <f t="shared" si="20"/>
        <v>119.82758620689656</v>
      </c>
      <c r="Y57" s="313">
        <f t="shared" si="21"/>
        <v>71.896551724137936</v>
      </c>
      <c r="Z57" s="316">
        <f t="shared" si="22"/>
        <v>1.8176434733812949</v>
      </c>
      <c r="AA57" s="316">
        <f t="shared" si="23"/>
        <v>-0.81764347338129495</v>
      </c>
      <c r="AB57" s="317">
        <f t="shared" si="24"/>
        <v>0.4</v>
      </c>
      <c r="AC57" s="318" t="s">
        <v>315</v>
      </c>
      <c r="AD57" s="304"/>
      <c r="AE57" s="307">
        <v>6</v>
      </c>
      <c r="AF57" s="307">
        <v>144</v>
      </c>
      <c r="AG57" s="324" t="s">
        <v>351</v>
      </c>
      <c r="AH57" s="363">
        <v>46315</v>
      </c>
      <c r="AI57" s="359"/>
      <c r="AJ57" s="359"/>
      <c r="AL57" s="320" t="s">
        <v>450</v>
      </c>
      <c r="AM57" s="320">
        <f t="shared" si="25"/>
        <v>66.379310344827587</v>
      </c>
      <c r="AN57" s="321">
        <f t="shared" si="26"/>
        <v>1.9687203335064936</v>
      </c>
      <c r="AO57" s="321">
        <f t="shared" si="27"/>
        <v>-0.96872033350649356</v>
      </c>
      <c r="AP57" s="317">
        <f t="shared" si="28"/>
        <v>0</v>
      </c>
      <c r="BA57" s="322">
        <v>1</v>
      </c>
      <c r="BB57" s="322">
        <v>1</v>
      </c>
      <c r="BC57" s="322">
        <v>1</v>
      </c>
      <c r="BD57" s="322">
        <v>1</v>
      </c>
      <c r="BE57" s="322">
        <v>1</v>
      </c>
      <c r="BF57" s="322"/>
      <c r="BG57" s="322"/>
      <c r="BH57" s="322"/>
      <c r="BI57" s="360"/>
      <c r="BJ57" s="322">
        <v>9</v>
      </c>
      <c r="BK57" s="385">
        <f t="shared" si="29"/>
        <v>5</v>
      </c>
      <c r="BL57" s="384">
        <f t="shared" si="30"/>
        <v>0.55555555555555558</v>
      </c>
      <c r="BM57" s="361"/>
      <c r="BN57" s="361"/>
      <c r="BO57" s="361"/>
      <c r="BP57" s="361"/>
      <c r="BQ57" s="361"/>
      <c r="BR57" s="362" t="str">
        <f t="shared" si="34"/>
        <v>Falta arte final de la caja por parte de Incitrus</v>
      </c>
      <c r="BS57" s="382">
        <f t="shared" si="15"/>
        <v>46315</v>
      </c>
      <c r="BT57" s="325" t="s">
        <v>70</v>
      </c>
      <c r="CJ57" s="325"/>
      <c r="CK57" s="325"/>
      <c r="CL57" s="325"/>
      <c r="CM57" s="325"/>
      <c r="CN57" s="325"/>
      <c r="CO57" s="325"/>
      <c r="CP57" s="327"/>
      <c r="CQ57" s="327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</row>
    <row r="58" spans="1:105" ht="170.5">
      <c r="A58" s="304">
        <v>49</v>
      </c>
      <c r="B58" s="305">
        <v>46248</v>
      </c>
      <c r="C58" s="305" t="s">
        <v>305</v>
      </c>
      <c r="D58" s="305" t="s">
        <v>163</v>
      </c>
      <c r="E58" s="306">
        <v>7502327991335</v>
      </c>
      <c r="F58" s="304" t="s">
        <v>454</v>
      </c>
      <c r="G58" s="307" t="s">
        <v>455</v>
      </c>
      <c r="H58" s="308" t="s">
        <v>60</v>
      </c>
      <c r="I58" s="304" t="s">
        <v>447</v>
      </c>
      <c r="J58" s="307" t="s">
        <v>277</v>
      </c>
      <c r="K58" s="307" t="s">
        <v>309</v>
      </c>
      <c r="L58" s="304">
        <v>1</v>
      </c>
      <c r="M58" s="310" t="s">
        <v>310</v>
      </c>
      <c r="N58" s="365" t="s">
        <v>456</v>
      </c>
      <c r="O58" s="304" t="s">
        <v>312</v>
      </c>
      <c r="P58" s="357" t="s">
        <v>449</v>
      </c>
      <c r="Q58" s="312" t="s">
        <v>74</v>
      </c>
      <c r="R58" s="312">
        <v>10000</v>
      </c>
      <c r="S58" s="313">
        <f>+P58*18.5</f>
        <v>86.025000000000006</v>
      </c>
      <c r="T58" s="313">
        <f t="shared" si="32"/>
        <v>30.969000000000001</v>
      </c>
      <c r="U58" s="313">
        <f>(S58+T58)*0.117</f>
        <v>13.688298000000001</v>
      </c>
      <c r="V58" s="314">
        <f t="shared" si="19"/>
        <v>130.682298</v>
      </c>
      <c r="W58" s="331">
        <v>139</v>
      </c>
      <c r="X58" s="313">
        <f t="shared" si="20"/>
        <v>119.82758620689656</v>
      </c>
      <c r="Y58" s="313">
        <f t="shared" si="21"/>
        <v>71.896551724137936</v>
      </c>
      <c r="Z58" s="316">
        <f t="shared" si="22"/>
        <v>1.8176434733812949</v>
      </c>
      <c r="AA58" s="316">
        <f t="shared" si="23"/>
        <v>-0.81764347338129495</v>
      </c>
      <c r="AB58" s="317">
        <f t="shared" si="24"/>
        <v>0.4</v>
      </c>
      <c r="AC58" s="318" t="s">
        <v>315</v>
      </c>
      <c r="AD58" s="304"/>
      <c r="AE58" s="307">
        <v>6</v>
      </c>
      <c r="AF58" s="307">
        <v>144</v>
      </c>
      <c r="AG58" s="324" t="s">
        <v>351</v>
      </c>
      <c r="AH58" s="304"/>
      <c r="AI58" s="359"/>
      <c r="AJ58" s="359"/>
      <c r="AL58" s="320" t="s">
        <v>450</v>
      </c>
      <c r="AM58" s="320">
        <f t="shared" si="25"/>
        <v>66.379310344827587</v>
      </c>
      <c r="AN58" s="321">
        <f t="shared" si="26"/>
        <v>1.9687203335064936</v>
      </c>
      <c r="AO58" s="321">
        <f t="shared" si="27"/>
        <v>-0.96872033350649356</v>
      </c>
      <c r="AP58" s="317">
        <f t="shared" si="28"/>
        <v>0</v>
      </c>
      <c r="BA58" s="322">
        <v>1</v>
      </c>
      <c r="BB58" s="322">
        <v>1</v>
      </c>
      <c r="BC58" s="322">
        <v>1</v>
      </c>
      <c r="BD58" s="322">
        <v>1</v>
      </c>
      <c r="BE58" s="322">
        <v>1</v>
      </c>
      <c r="BF58" s="322"/>
      <c r="BG58" s="322"/>
      <c r="BH58" s="322"/>
      <c r="BI58" s="360"/>
      <c r="BJ58" s="322">
        <v>9</v>
      </c>
      <c r="BK58" s="385">
        <f t="shared" si="29"/>
        <v>5</v>
      </c>
      <c r="BL58" s="384">
        <f t="shared" si="30"/>
        <v>0.55555555555555558</v>
      </c>
      <c r="BM58" s="361"/>
      <c r="BN58" s="361"/>
      <c r="BO58" s="361"/>
      <c r="BP58" s="361"/>
      <c r="BQ58" s="361"/>
      <c r="BR58" s="362" t="str">
        <f t="shared" si="34"/>
        <v>Falta arte final de la caja por parte de Incitrus</v>
      </c>
      <c r="BS58" s="382">
        <f t="shared" si="15"/>
        <v>0</v>
      </c>
      <c r="BT58" s="325" t="s">
        <v>70</v>
      </c>
      <c r="CJ58" s="325"/>
      <c r="CK58" s="325"/>
      <c r="CL58" s="325"/>
      <c r="CM58" s="325"/>
      <c r="CN58" s="325"/>
      <c r="CO58" s="325"/>
      <c r="CP58" s="327"/>
      <c r="CQ58" s="327"/>
      <c r="CR58" s="328"/>
      <c r="CS58" s="328"/>
      <c r="CT58" s="328"/>
      <c r="CU58" s="328"/>
      <c r="CV58" s="328"/>
      <c r="CW58" s="328"/>
      <c r="CX58" s="328"/>
      <c r="CY58" s="328"/>
      <c r="CZ58" s="328"/>
      <c r="DA58" s="328"/>
    </row>
    <row r="59" spans="1:105" ht="170.5">
      <c r="A59" s="304">
        <v>50</v>
      </c>
      <c r="B59" s="305">
        <v>46248</v>
      </c>
      <c r="C59" s="305" t="s">
        <v>305</v>
      </c>
      <c r="D59" s="305" t="s">
        <v>163</v>
      </c>
      <c r="E59" s="306">
        <v>7502327991342</v>
      </c>
      <c r="F59" s="304" t="s">
        <v>457</v>
      </c>
      <c r="G59" s="307" t="s">
        <v>458</v>
      </c>
      <c r="H59" s="308" t="s">
        <v>60</v>
      </c>
      <c r="I59" s="304" t="s">
        <v>447</v>
      </c>
      <c r="J59" s="307" t="s">
        <v>277</v>
      </c>
      <c r="K59" s="307" t="s">
        <v>309</v>
      </c>
      <c r="L59" s="304">
        <v>1</v>
      </c>
      <c r="M59" s="310" t="s">
        <v>310</v>
      </c>
      <c r="N59" s="365" t="s">
        <v>459</v>
      </c>
      <c r="O59" s="304" t="s">
        <v>312</v>
      </c>
      <c r="P59" s="357" t="s">
        <v>449</v>
      </c>
      <c r="Q59" s="312" t="s">
        <v>74</v>
      </c>
      <c r="R59" s="312">
        <v>10000</v>
      </c>
      <c r="S59" s="313">
        <f>+P59*18.5</f>
        <v>86.025000000000006</v>
      </c>
      <c r="T59" s="313">
        <f t="shared" si="32"/>
        <v>30.969000000000001</v>
      </c>
      <c r="U59" s="313">
        <f>(S59+T59)*0.117</f>
        <v>13.688298000000001</v>
      </c>
      <c r="V59" s="314">
        <f t="shared" si="19"/>
        <v>130.682298</v>
      </c>
      <c r="W59" s="331">
        <v>139</v>
      </c>
      <c r="X59" s="313">
        <f t="shared" si="20"/>
        <v>119.82758620689656</v>
      </c>
      <c r="Y59" s="313">
        <f t="shared" si="21"/>
        <v>71.896551724137936</v>
      </c>
      <c r="Z59" s="316">
        <f t="shared" si="22"/>
        <v>1.8176434733812949</v>
      </c>
      <c r="AA59" s="316">
        <f t="shared" si="23"/>
        <v>-0.81764347338129495</v>
      </c>
      <c r="AB59" s="317">
        <f t="shared" si="24"/>
        <v>0.4</v>
      </c>
      <c r="AC59" s="318" t="s">
        <v>315</v>
      </c>
      <c r="AD59" s="304"/>
      <c r="AE59" s="307">
        <v>6</v>
      </c>
      <c r="AF59" s="307">
        <v>144</v>
      </c>
      <c r="AG59" s="324" t="s">
        <v>351</v>
      </c>
      <c r="AH59" s="363">
        <v>46315</v>
      </c>
      <c r="AI59" s="359"/>
      <c r="AJ59" s="359"/>
      <c r="AL59" s="320" t="s">
        <v>450</v>
      </c>
      <c r="AM59" s="320">
        <f t="shared" si="25"/>
        <v>66.379310344827587</v>
      </c>
      <c r="AN59" s="321">
        <f t="shared" si="26"/>
        <v>1.9687203335064936</v>
      </c>
      <c r="AO59" s="321">
        <f t="shared" si="27"/>
        <v>-0.96872033350649356</v>
      </c>
      <c r="AP59" s="317">
        <f t="shared" si="28"/>
        <v>0</v>
      </c>
      <c r="BA59" s="322">
        <v>1</v>
      </c>
      <c r="BB59" s="322">
        <v>1</v>
      </c>
      <c r="BC59" s="322">
        <v>1</v>
      </c>
      <c r="BD59" s="322">
        <v>1</v>
      </c>
      <c r="BE59" s="322">
        <v>1</v>
      </c>
      <c r="BF59" s="322"/>
      <c r="BG59" s="322"/>
      <c r="BH59" s="322"/>
      <c r="BI59" s="360"/>
      <c r="BJ59" s="322">
        <v>9</v>
      </c>
      <c r="BK59" s="385">
        <f t="shared" si="29"/>
        <v>5</v>
      </c>
      <c r="BL59" s="384">
        <f t="shared" si="30"/>
        <v>0.55555555555555558</v>
      </c>
      <c r="BM59" s="361"/>
      <c r="BN59" s="361"/>
      <c r="BO59" s="361"/>
      <c r="BP59" s="361"/>
      <c r="BQ59" s="361"/>
      <c r="BR59" s="362" t="str">
        <f t="shared" si="34"/>
        <v>Falta arte final de la caja por parte de Incitrus</v>
      </c>
      <c r="BS59" s="382">
        <f t="shared" si="15"/>
        <v>46315</v>
      </c>
      <c r="BT59" s="325" t="s">
        <v>70</v>
      </c>
      <c r="CJ59" s="325"/>
      <c r="CK59" s="325"/>
      <c r="CL59" s="325"/>
      <c r="CM59" s="325"/>
      <c r="CN59" s="325"/>
      <c r="CO59" s="325"/>
      <c r="CP59" s="327"/>
      <c r="CQ59" s="327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</row>
    <row r="60" spans="1:105" ht="170.5">
      <c r="A60" s="304">
        <v>51</v>
      </c>
      <c r="B60" s="305">
        <v>46248</v>
      </c>
      <c r="C60" s="305" t="s">
        <v>305</v>
      </c>
      <c r="D60" s="305" t="s">
        <v>163</v>
      </c>
      <c r="E60" s="306">
        <v>7502327991359</v>
      </c>
      <c r="F60" s="304" t="s">
        <v>460</v>
      </c>
      <c r="G60" s="307" t="s">
        <v>461</v>
      </c>
      <c r="H60" s="308"/>
      <c r="I60" s="304" t="s">
        <v>447</v>
      </c>
      <c r="J60" s="307" t="s">
        <v>277</v>
      </c>
      <c r="K60" s="307" t="s">
        <v>309</v>
      </c>
      <c r="L60" s="304">
        <v>1</v>
      </c>
      <c r="M60" s="310" t="s">
        <v>310</v>
      </c>
      <c r="N60" s="365" t="s">
        <v>462</v>
      </c>
      <c r="O60" s="304" t="s">
        <v>312</v>
      </c>
      <c r="P60" s="357" t="s">
        <v>449</v>
      </c>
      <c r="Q60" s="312" t="s">
        <v>74</v>
      </c>
      <c r="R60" s="312">
        <v>10000</v>
      </c>
      <c r="S60" s="313">
        <f>+P60*18.5</f>
        <v>86.025000000000006</v>
      </c>
      <c r="T60" s="313">
        <f t="shared" si="32"/>
        <v>30.969000000000001</v>
      </c>
      <c r="U60" s="313">
        <f>(S60+T60)*0.117</f>
        <v>13.688298000000001</v>
      </c>
      <c r="V60" s="314">
        <f t="shared" si="19"/>
        <v>130.682298</v>
      </c>
      <c r="W60" s="331">
        <v>139</v>
      </c>
      <c r="X60" s="313">
        <f t="shared" si="20"/>
        <v>119.82758620689656</v>
      </c>
      <c r="Y60" s="313">
        <f t="shared" si="21"/>
        <v>71.896551724137936</v>
      </c>
      <c r="Z60" s="316">
        <f t="shared" si="22"/>
        <v>1.8176434733812949</v>
      </c>
      <c r="AA60" s="316">
        <f t="shared" si="23"/>
        <v>-0.81764347338129495</v>
      </c>
      <c r="AB60" s="317">
        <f t="shared" si="24"/>
        <v>0.4</v>
      </c>
      <c r="AC60" s="318" t="s">
        <v>315</v>
      </c>
      <c r="AD60" s="304"/>
      <c r="AE60" s="307">
        <v>6</v>
      </c>
      <c r="AF60" s="307">
        <v>144</v>
      </c>
      <c r="AG60" s="324" t="s">
        <v>351</v>
      </c>
      <c r="AH60" s="363">
        <v>46315</v>
      </c>
      <c r="AI60" s="359"/>
      <c r="AJ60" s="359"/>
      <c r="AL60" s="320" t="s">
        <v>450</v>
      </c>
      <c r="AM60" s="320">
        <f t="shared" si="25"/>
        <v>66.379310344827587</v>
      </c>
      <c r="AN60" s="321" t="e">
        <f t="shared" ca="1" si="26"/>
        <v>#VALUE!</v>
      </c>
      <c r="AO60" s="321" t="e">
        <f t="shared" ca="1" si="27"/>
        <v>#VALUE!</v>
      </c>
      <c r="AP60" s="317">
        <f t="shared" si="28"/>
        <v>0</v>
      </c>
      <c r="BA60" s="322">
        <v>1</v>
      </c>
      <c r="BB60" s="322">
        <v>1</v>
      </c>
      <c r="BC60" s="322">
        <v>1</v>
      </c>
      <c r="BD60" s="322">
        <v>1</v>
      </c>
      <c r="BE60" s="322">
        <v>1</v>
      </c>
      <c r="BF60" s="322"/>
      <c r="BG60" s="322"/>
      <c r="BH60" s="322"/>
      <c r="BI60" s="360"/>
      <c r="BJ60" s="322">
        <v>9</v>
      </c>
      <c r="BK60" s="385">
        <f t="shared" si="29"/>
        <v>5</v>
      </c>
      <c r="BL60" s="384">
        <f t="shared" si="30"/>
        <v>0.55555555555555558</v>
      </c>
      <c r="BM60" s="361"/>
      <c r="BN60" s="361"/>
      <c r="BO60" s="361"/>
      <c r="BP60" s="361"/>
      <c r="BQ60" s="361"/>
      <c r="BR60" s="362" t="str">
        <f t="shared" si="34"/>
        <v>Falta arte final de la caja por parte de Incitrus</v>
      </c>
      <c r="BS60" s="382">
        <f t="shared" si="15"/>
        <v>46315</v>
      </c>
      <c r="BT60" s="325" t="s">
        <v>70</v>
      </c>
      <c r="CJ60" s="325"/>
      <c r="CK60" s="325"/>
      <c r="CL60" s="325"/>
      <c r="CM60" s="325"/>
      <c r="CN60" s="325"/>
      <c r="CO60" s="325"/>
      <c r="CP60" s="327"/>
      <c r="CQ60" s="327"/>
      <c r="CR60" s="328"/>
      <c r="CS60" s="328"/>
      <c r="CT60" s="328"/>
      <c r="CU60" s="328"/>
      <c r="CV60" s="328"/>
      <c r="CW60" s="328"/>
      <c r="CX60" s="328"/>
      <c r="CY60" s="328"/>
      <c r="CZ60" s="328"/>
      <c r="DA60" s="328"/>
    </row>
    <row r="61" spans="1:105" ht="186">
      <c r="A61" s="304">
        <v>52</v>
      </c>
      <c r="B61" s="305">
        <v>46248</v>
      </c>
      <c r="C61" s="305" t="s">
        <v>305</v>
      </c>
      <c r="D61" s="305" t="s">
        <v>163</v>
      </c>
      <c r="E61" s="306">
        <v>7502327991366</v>
      </c>
      <c r="F61" s="304" t="s">
        <v>463</v>
      </c>
      <c r="G61" s="307" t="s">
        <v>464</v>
      </c>
      <c r="H61" s="308" t="s">
        <v>60</v>
      </c>
      <c r="I61" s="304" t="s">
        <v>229</v>
      </c>
      <c r="J61" s="307" t="s">
        <v>277</v>
      </c>
      <c r="K61" s="307" t="s">
        <v>309</v>
      </c>
      <c r="L61" s="304">
        <v>1</v>
      </c>
      <c r="M61" s="330" t="s">
        <v>310</v>
      </c>
      <c r="N61" s="365" t="s">
        <v>465</v>
      </c>
      <c r="O61" s="304" t="s">
        <v>312</v>
      </c>
      <c r="P61" s="357" t="s">
        <v>449</v>
      </c>
      <c r="Q61" s="312" t="s">
        <v>314</v>
      </c>
      <c r="R61" s="312">
        <v>10000</v>
      </c>
      <c r="S61" s="313" t="e">
        <f t="shared" ref="S61:S75" ca="1" si="35">+P61*$T$25</f>
        <v>#VALUE!</v>
      </c>
      <c r="T61" s="313" t="e">
        <f t="shared" ca="1" si="32"/>
        <v>#VALUE!</v>
      </c>
      <c r="U61" s="313" t="e">
        <f ca="1">(S61+T61)*0.0323</f>
        <v>#VALUE!</v>
      </c>
      <c r="V61" s="314" t="e">
        <f t="shared" ca="1" si="19"/>
        <v>#VALUE!</v>
      </c>
      <c r="W61" s="331">
        <v>149</v>
      </c>
      <c r="X61" s="313">
        <f t="shared" si="20"/>
        <v>128.44827586206898</v>
      </c>
      <c r="Y61" s="313">
        <f t="shared" si="21"/>
        <v>77.068965517241381</v>
      </c>
      <c r="Z61" s="316" t="e">
        <f t="shared" ca="1" si="22"/>
        <v>#VALUE!</v>
      </c>
      <c r="AA61" s="316" t="e">
        <f t="shared" ca="1" si="23"/>
        <v>#VALUE!</v>
      </c>
      <c r="AB61" s="317">
        <f t="shared" si="24"/>
        <v>0.4</v>
      </c>
      <c r="AC61" s="318" t="s">
        <v>315</v>
      </c>
      <c r="AD61" s="304"/>
      <c r="AE61" s="307">
        <v>6</v>
      </c>
      <c r="AF61" s="307">
        <v>144</v>
      </c>
      <c r="AG61" s="324" t="s">
        <v>358</v>
      </c>
      <c r="AH61" s="363">
        <v>46315</v>
      </c>
      <c r="AI61" s="359"/>
      <c r="AJ61" s="359"/>
      <c r="AL61" s="320">
        <v>96.85</v>
      </c>
      <c r="AM61" s="320">
        <f t="shared" si="25"/>
        <v>83.491379310344826</v>
      </c>
      <c r="AN61" s="321" t="e">
        <f t="shared" ca="1" si="26"/>
        <v>#VALUE!</v>
      </c>
      <c r="AO61" s="321" t="e">
        <f t="shared" ca="1" si="27"/>
        <v>#VALUE!</v>
      </c>
      <c r="AP61" s="317">
        <f t="shared" si="28"/>
        <v>0</v>
      </c>
      <c r="BA61" s="322">
        <v>1</v>
      </c>
      <c r="BB61" s="322">
        <v>1</v>
      </c>
      <c r="BC61" s="322">
        <v>1</v>
      </c>
      <c r="BD61" s="322">
        <v>1</v>
      </c>
      <c r="BE61" s="322"/>
      <c r="BF61" s="322"/>
      <c r="BG61" s="322"/>
      <c r="BH61" s="322"/>
      <c r="BI61" s="360"/>
      <c r="BJ61" s="322">
        <v>9</v>
      </c>
      <c r="BK61" s="385">
        <f t="shared" si="29"/>
        <v>4</v>
      </c>
      <c r="BL61" s="384">
        <f t="shared" si="30"/>
        <v>0.44444444444444442</v>
      </c>
      <c r="BM61" s="361"/>
      <c r="BN61" s="361"/>
      <c r="BO61" s="361"/>
      <c r="BP61" s="361"/>
      <c r="BQ61" s="361"/>
      <c r="BR61" s="362" t="str">
        <f t="shared" si="34"/>
        <v>Falta arte final de la caja. En espera suaje por parte de Daniel</v>
      </c>
      <c r="BS61" s="382">
        <f t="shared" si="15"/>
        <v>46315</v>
      </c>
      <c r="BT61" s="325" t="s">
        <v>70</v>
      </c>
      <c r="CJ61" s="325"/>
      <c r="CK61" s="325"/>
      <c r="CL61" s="325"/>
      <c r="CM61" s="325"/>
      <c r="CN61" s="325"/>
      <c r="CO61" s="325"/>
      <c r="CP61" s="327"/>
      <c r="CQ61" s="327"/>
      <c r="CR61" s="328"/>
      <c r="CS61" s="328"/>
      <c r="CT61" s="328"/>
      <c r="CU61" s="328"/>
      <c r="CV61" s="328"/>
      <c r="CW61" s="328"/>
      <c r="CX61" s="328"/>
      <c r="CY61" s="328"/>
      <c r="CZ61" s="328"/>
      <c r="DA61" s="328"/>
    </row>
    <row r="62" spans="1:105" ht="186">
      <c r="A62" s="304">
        <v>53</v>
      </c>
      <c r="B62" s="305">
        <v>46248</v>
      </c>
      <c r="C62" s="305" t="s">
        <v>305</v>
      </c>
      <c r="D62" s="305" t="s">
        <v>163</v>
      </c>
      <c r="E62" s="306">
        <v>7502327991373</v>
      </c>
      <c r="F62" s="304" t="s">
        <v>466</v>
      </c>
      <c r="G62" s="307" t="s">
        <v>467</v>
      </c>
      <c r="H62" s="308" t="s">
        <v>60</v>
      </c>
      <c r="I62" s="304" t="s">
        <v>229</v>
      </c>
      <c r="J62" s="307" t="s">
        <v>277</v>
      </c>
      <c r="K62" s="307" t="s">
        <v>309</v>
      </c>
      <c r="L62" s="304">
        <v>1</v>
      </c>
      <c r="M62" s="330" t="s">
        <v>310</v>
      </c>
      <c r="N62" s="365" t="s">
        <v>468</v>
      </c>
      <c r="O62" s="304" t="s">
        <v>312</v>
      </c>
      <c r="P62" s="357" t="s">
        <v>449</v>
      </c>
      <c r="Q62" s="312" t="s">
        <v>314</v>
      </c>
      <c r="R62" s="312">
        <v>10000</v>
      </c>
      <c r="S62" s="313" t="e">
        <f t="shared" ca="1" si="35"/>
        <v>#VALUE!</v>
      </c>
      <c r="T62" s="313" t="e">
        <f t="shared" ca="1" si="32"/>
        <v>#VALUE!</v>
      </c>
      <c r="U62" s="313" t="e">
        <f ca="1">(S62+T62)*0.0323</f>
        <v>#VALUE!</v>
      </c>
      <c r="V62" s="314" t="e">
        <f t="shared" ca="1" si="19"/>
        <v>#VALUE!</v>
      </c>
      <c r="W62" s="331">
        <v>149</v>
      </c>
      <c r="X62" s="313">
        <f t="shared" si="20"/>
        <v>128.44827586206898</v>
      </c>
      <c r="Y62" s="313">
        <f t="shared" si="21"/>
        <v>77.068965517241381</v>
      </c>
      <c r="Z62" s="316" t="e">
        <f t="shared" ca="1" si="22"/>
        <v>#VALUE!</v>
      </c>
      <c r="AA62" s="316" t="e">
        <f t="shared" ca="1" si="23"/>
        <v>#VALUE!</v>
      </c>
      <c r="AB62" s="317">
        <f t="shared" si="24"/>
        <v>0.4</v>
      </c>
      <c r="AC62" s="318" t="s">
        <v>315</v>
      </c>
      <c r="AD62" s="304"/>
      <c r="AE62" s="307">
        <v>6</v>
      </c>
      <c r="AF62" s="307">
        <v>144</v>
      </c>
      <c r="AG62" s="324" t="s">
        <v>358</v>
      </c>
      <c r="AH62" s="363">
        <v>46315</v>
      </c>
      <c r="AI62" s="359"/>
      <c r="AJ62" s="359"/>
      <c r="AL62" s="320">
        <v>96.85</v>
      </c>
      <c r="AM62" s="320">
        <f t="shared" si="25"/>
        <v>83.491379310344826</v>
      </c>
      <c r="AN62" s="321" t="e">
        <f t="shared" ca="1" si="26"/>
        <v>#VALUE!</v>
      </c>
      <c r="AO62" s="321" t="e">
        <f t="shared" ca="1" si="27"/>
        <v>#VALUE!</v>
      </c>
      <c r="AP62" s="317">
        <f t="shared" si="28"/>
        <v>0</v>
      </c>
      <c r="BA62" s="322">
        <v>1</v>
      </c>
      <c r="BB62" s="322">
        <v>1</v>
      </c>
      <c r="BC62" s="322">
        <v>1</v>
      </c>
      <c r="BD62" s="322">
        <v>1</v>
      </c>
      <c r="BE62" s="322"/>
      <c r="BF62" s="322"/>
      <c r="BG62" s="322"/>
      <c r="BH62" s="322"/>
      <c r="BI62" s="360"/>
      <c r="BJ62" s="322">
        <v>9</v>
      </c>
      <c r="BK62" s="385">
        <f t="shared" si="29"/>
        <v>4</v>
      </c>
      <c r="BL62" s="384">
        <f t="shared" si="30"/>
        <v>0.44444444444444442</v>
      </c>
      <c r="BM62" s="361"/>
      <c r="BN62" s="361"/>
      <c r="BO62" s="361"/>
      <c r="BP62" s="361"/>
      <c r="BQ62" s="361"/>
      <c r="BR62" s="362" t="str">
        <f t="shared" si="34"/>
        <v>Falta arte final de la caja. En espera suaje por parte de Daniel</v>
      </c>
      <c r="BS62" s="382">
        <f t="shared" si="15"/>
        <v>46315</v>
      </c>
      <c r="BT62" s="325" t="s">
        <v>70</v>
      </c>
      <c r="CJ62" s="325"/>
      <c r="CK62" s="325"/>
      <c r="CL62" s="325"/>
      <c r="CM62" s="325"/>
      <c r="CN62" s="325"/>
      <c r="CO62" s="325"/>
      <c r="CP62" s="327"/>
      <c r="CQ62" s="327"/>
      <c r="CR62" s="328"/>
      <c r="CS62" s="328"/>
      <c r="CT62" s="328"/>
      <c r="CU62" s="328"/>
      <c r="CV62" s="328"/>
      <c r="CW62" s="328"/>
      <c r="CX62" s="328"/>
      <c r="CY62" s="328"/>
      <c r="CZ62" s="328"/>
      <c r="DA62" s="328"/>
    </row>
    <row r="63" spans="1:105" ht="186">
      <c r="A63" s="304">
        <v>54</v>
      </c>
      <c r="B63" s="305">
        <v>46248</v>
      </c>
      <c r="C63" s="305" t="s">
        <v>305</v>
      </c>
      <c r="D63" s="305" t="s">
        <v>163</v>
      </c>
      <c r="E63" s="306">
        <v>7502327991380</v>
      </c>
      <c r="F63" s="304" t="s">
        <v>469</v>
      </c>
      <c r="G63" s="307" t="s">
        <v>470</v>
      </c>
      <c r="H63" s="308" t="s">
        <v>60</v>
      </c>
      <c r="I63" s="304" t="s">
        <v>229</v>
      </c>
      <c r="J63" s="307" t="s">
        <v>277</v>
      </c>
      <c r="K63" s="307" t="s">
        <v>309</v>
      </c>
      <c r="L63" s="304">
        <v>1</v>
      </c>
      <c r="M63" s="330" t="s">
        <v>310</v>
      </c>
      <c r="N63" s="365" t="s">
        <v>471</v>
      </c>
      <c r="O63" s="304" t="s">
        <v>312</v>
      </c>
      <c r="P63" s="357" t="s">
        <v>449</v>
      </c>
      <c r="Q63" s="312" t="s">
        <v>314</v>
      </c>
      <c r="R63" s="312">
        <v>10000</v>
      </c>
      <c r="S63" s="313" t="e">
        <f t="shared" ca="1" si="35"/>
        <v>#VALUE!</v>
      </c>
      <c r="T63" s="313" t="e">
        <f t="shared" ca="1" si="32"/>
        <v>#VALUE!</v>
      </c>
      <c r="U63" s="313" t="e">
        <f ca="1">(S63+T63)*0.0323</f>
        <v>#VALUE!</v>
      </c>
      <c r="V63" s="314" t="e">
        <f t="shared" ca="1" si="19"/>
        <v>#VALUE!</v>
      </c>
      <c r="W63" s="331">
        <v>149</v>
      </c>
      <c r="X63" s="313">
        <f t="shared" si="20"/>
        <v>128.44827586206898</v>
      </c>
      <c r="Y63" s="313">
        <f t="shared" si="21"/>
        <v>77.068965517241381</v>
      </c>
      <c r="Z63" s="316" t="e">
        <f t="shared" ca="1" si="22"/>
        <v>#VALUE!</v>
      </c>
      <c r="AA63" s="316" t="e">
        <f t="shared" ca="1" si="23"/>
        <v>#VALUE!</v>
      </c>
      <c r="AB63" s="317">
        <f t="shared" si="24"/>
        <v>0.4</v>
      </c>
      <c r="AC63" s="318" t="s">
        <v>315</v>
      </c>
      <c r="AD63" s="304"/>
      <c r="AE63" s="307">
        <v>6</v>
      </c>
      <c r="AF63" s="307">
        <v>144</v>
      </c>
      <c r="AG63" s="324" t="s">
        <v>358</v>
      </c>
      <c r="AH63" s="363">
        <v>46315</v>
      </c>
      <c r="AI63" s="359"/>
      <c r="AJ63" s="359"/>
      <c r="AL63" s="320">
        <v>96.85</v>
      </c>
      <c r="AM63" s="320">
        <f t="shared" si="25"/>
        <v>83.491379310344826</v>
      </c>
      <c r="AN63" s="321" t="e">
        <f t="shared" ca="1" si="26"/>
        <v>#VALUE!</v>
      </c>
      <c r="AO63" s="321" t="e">
        <f t="shared" ca="1" si="27"/>
        <v>#VALUE!</v>
      </c>
      <c r="AP63" s="317">
        <f t="shared" si="28"/>
        <v>0</v>
      </c>
      <c r="BA63" s="322">
        <v>1</v>
      </c>
      <c r="BB63" s="322">
        <v>1</v>
      </c>
      <c r="BC63" s="322">
        <v>1</v>
      </c>
      <c r="BD63" s="322">
        <v>1</v>
      </c>
      <c r="BE63" s="322"/>
      <c r="BF63" s="322"/>
      <c r="BG63" s="322"/>
      <c r="BH63" s="322"/>
      <c r="BI63" s="360"/>
      <c r="BJ63" s="322">
        <v>9</v>
      </c>
      <c r="BK63" s="385">
        <f t="shared" si="29"/>
        <v>4</v>
      </c>
      <c r="BL63" s="384">
        <f t="shared" si="30"/>
        <v>0.44444444444444442</v>
      </c>
      <c r="BM63" s="361"/>
      <c r="BN63" s="361"/>
      <c r="BO63" s="361"/>
      <c r="BP63" s="361"/>
      <c r="BQ63" s="361"/>
      <c r="BR63" s="362" t="str">
        <f t="shared" si="34"/>
        <v>Falta arte final de la caja. En espera suaje por parte de Daniel</v>
      </c>
      <c r="BS63" s="382">
        <f t="shared" si="15"/>
        <v>46315</v>
      </c>
      <c r="BT63" s="325" t="s">
        <v>70</v>
      </c>
      <c r="CJ63" s="325"/>
      <c r="CK63" s="325"/>
      <c r="CL63" s="325"/>
      <c r="CM63" s="325"/>
      <c r="CN63" s="325"/>
      <c r="CO63" s="325"/>
      <c r="CP63" s="327"/>
      <c r="CQ63" s="327"/>
      <c r="CR63" s="328"/>
      <c r="CS63" s="328"/>
      <c r="CT63" s="328"/>
      <c r="CU63" s="328"/>
      <c r="CV63" s="328"/>
      <c r="CW63" s="328"/>
      <c r="CX63" s="328"/>
      <c r="CY63" s="328"/>
      <c r="CZ63" s="328"/>
      <c r="DA63" s="328"/>
    </row>
    <row r="64" spans="1:105" ht="186">
      <c r="A64" s="304">
        <v>55</v>
      </c>
      <c r="B64" s="305">
        <v>46248</v>
      </c>
      <c r="C64" s="305" t="s">
        <v>305</v>
      </c>
      <c r="D64" s="305" t="s">
        <v>163</v>
      </c>
      <c r="E64" s="306">
        <v>7502327991397</v>
      </c>
      <c r="F64" s="304" t="s">
        <v>472</v>
      </c>
      <c r="G64" s="307" t="s">
        <v>473</v>
      </c>
      <c r="H64" s="308" t="s">
        <v>60</v>
      </c>
      <c r="I64" s="304" t="s">
        <v>229</v>
      </c>
      <c r="J64" s="307" t="s">
        <v>277</v>
      </c>
      <c r="K64" s="307" t="s">
        <v>309</v>
      </c>
      <c r="L64" s="304">
        <v>1</v>
      </c>
      <c r="M64" s="330" t="s">
        <v>310</v>
      </c>
      <c r="N64" s="365" t="s">
        <v>474</v>
      </c>
      <c r="O64" s="304" t="s">
        <v>312</v>
      </c>
      <c r="P64" s="357" t="s">
        <v>449</v>
      </c>
      <c r="Q64" s="312" t="s">
        <v>314</v>
      </c>
      <c r="R64" s="312">
        <v>10000</v>
      </c>
      <c r="S64" s="313" t="e">
        <f t="shared" ca="1" si="35"/>
        <v>#VALUE!</v>
      </c>
      <c r="T64" s="313" t="e">
        <f t="shared" ca="1" si="32"/>
        <v>#VALUE!</v>
      </c>
      <c r="U64" s="313" t="e">
        <f ca="1">(S64+T64)*0.0323</f>
        <v>#VALUE!</v>
      </c>
      <c r="V64" s="314" t="e">
        <f t="shared" ca="1" si="19"/>
        <v>#VALUE!</v>
      </c>
      <c r="W64" s="331">
        <v>149</v>
      </c>
      <c r="X64" s="313">
        <f t="shared" si="20"/>
        <v>128.44827586206898</v>
      </c>
      <c r="Y64" s="313">
        <f t="shared" si="21"/>
        <v>77.068965517241381</v>
      </c>
      <c r="Z64" s="316" t="e">
        <f t="shared" ca="1" si="22"/>
        <v>#VALUE!</v>
      </c>
      <c r="AA64" s="316" t="e">
        <f t="shared" ca="1" si="23"/>
        <v>#VALUE!</v>
      </c>
      <c r="AB64" s="317">
        <f t="shared" si="24"/>
        <v>0.4</v>
      </c>
      <c r="AC64" s="318" t="s">
        <v>315</v>
      </c>
      <c r="AD64" s="304"/>
      <c r="AE64" s="307">
        <v>6</v>
      </c>
      <c r="AF64" s="307">
        <v>144</v>
      </c>
      <c r="AG64" s="324" t="s">
        <v>358</v>
      </c>
      <c r="AH64" s="363">
        <v>46315</v>
      </c>
      <c r="AI64" s="359"/>
      <c r="AJ64" s="359"/>
      <c r="AL64" s="320">
        <v>96.85</v>
      </c>
      <c r="AM64" s="320">
        <f t="shared" si="25"/>
        <v>83.491379310344826</v>
      </c>
      <c r="AN64" s="321" t="e">
        <f t="shared" ca="1" si="26"/>
        <v>#VALUE!</v>
      </c>
      <c r="AO64" s="321" t="e">
        <f t="shared" ca="1" si="27"/>
        <v>#VALUE!</v>
      </c>
      <c r="AP64" s="317">
        <f t="shared" si="28"/>
        <v>0</v>
      </c>
      <c r="BA64" s="322">
        <v>1</v>
      </c>
      <c r="BB64" s="322">
        <v>1</v>
      </c>
      <c r="BC64" s="322">
        <v>1</v>
      </c>
      <c r="BD64" s="322">
        <v>1</v>
      </c>
      <c r="BE64" s="322"/>
      <c r="BF64" s="322"/>
      <c r="BG64" s="322"/>
      <c r="BH64" s="322"/>
      <c r="BI64" s="360"/>
      <c r="BJ64" s="322">
        <v>9</v>
      </c>
      <c r="BK64" s="385">
        <f t="shared" si="29"/>
        <v>4</v>
      </c>
      <c r="BL64" s="384">
        <f t="shared" si="30"/>
        <v>0.44444444444444442</v>
      </c>
      <c r="BM64" s="361"/>
      <c r="BN64" s="361"/>
      <c r="BO64" s="361"/>
      <c r="BP64" s="361"/>
      <c r="BQ64" s="361"/>
      <c r="BR64" s="362" t="str">
        <f t="shared" si="34"/>
        <v>Falta arte final de la caja. En espera suaje por parte de Daniel</v>
      </c>
      <c r="BS64" s="382">
        <f t="shared" si="15"/>
        <v>46315</v>
      </c>
      <c r="BT64" s="325" t="s">
        <v>70</v>
      </c>
      <c r="CJ64" s="325"/>
      <c r="CK64" s="325"/>
      <c r="CL64" s="325"/>
      <c r="CM64" s="325"/>
      <c r="CN64" s="325"/>
      <c r="CO64" s="325"/>
      <c r="CP64" s="327"/>
      <c r="CQ64" s="327"/>
      <c r="CR64" s="328"/>
      <c r="CS64" s="328"/>
      <c r="CT64" s="328"/>
      <c r="CU64" s="328"/>
      <c r="CV64" s="328"/>
      <c r="CW64" s="328"/>
      <c r="CX64" s="328"/>
      <c r="CY64" s="328"/>
      <c r="CZ64" s="328"/>
      <c r="DA64" s="328"/>
    </row>
    <row r="65" spans="1:105" ht="139.5">
      <c r="A65" s="304">
        <v>56</v>
      </c>
      <c r="B65" s="305">
        <v>46248</v>
      </c>
      <c r="C65" s="305" t="s">
        <v>305</v>
      </c>
      <c r="D65" s="305" t="s">
        <v>163</v>
      </c>
      <c r="E65" s="306">
        <v>7502327991403</v>
      </c>
      <c r="F65" s="304" t="s">
        <v>475</v>
      </c>
      <c r="G65" s="307" t="s">
        <v>476</v>
      </c>
      <c r="H65" s="308" t="s">
        <v>60</v>
      </c>
      <c r="I65" s="369" t="s">
        <v>477</v>
      </c>
      <c r="J65" s="307" t="s">
        <v>277</v>
      </c>
      <c r="K65" s="307" t="s">
        <v>309</v>
      </c>
      <c r="L65" s="304">
        <v>1</v>
      </c>
      <c r="M65" s="310" t="s">
        <v>404</v>
      </c>
      <c r="N65" s="311" t="s">
        <v>478</v>
      </c>
      <c r="O65" s="304" t="s">
        <v>312</v>
      </c>
      <c r="P65" s="357">
        <v>3</v>
      </c>
      <c r="Q65" s="312" t="s">
        <v>314</v>
      </c>
      <c r="R65" s="312">
        <v>10000</v>
      </c>
      <c r="S65" s="313" t="e">
        <f t="shared" ca="1" si="35"/>
        <v>#VALUE!</v>
      </c>
      <c r="T65" s="313" t="e">
        <f t="shared" ca="1" si="32"/>
        <v>#VALUE!</v>
      </c>
      <c r="U65" s="313" t="e">
        <f ca="1">(S65+T65)*0.0382</f>
        <v>#VALUE!</v>
      </c>
      <c r="V65" s="314" t="e">
        <f t="shared" ca="1" si="19"/>
        <v>#VALUE!</v>
      </c>
      <c r="W65" s="331">
        <v>219</v>
      </c>
      <c r="X65" s="313">
        <f t="shared" si="20"/>
        <v>188.79310344827587</v>
      </c>
      <c r="Y65" s="313">
        <f t="shared" si="21"/>
        <v>113.27586206896552</v>
      </c>
      <c r="Z65" s="316" t="e">
        <f t="shared" ca="1" si="22"/>
        <v>#VALUE!</v>
      </c>
      <c r="AA65" s="316" t="e">
        <f t="shared" ca="1" si="23"/>
        <v>#VALUE!</v>
      </c>
      <c r="AB65" s="317">
        <f t="shared" si="24"/>
        <v>0.4</v>
      </c>
      <c r="AC65" s="318" t="s">
        <v>315</v>
      </c>
      <c r="AD65" s="304"/>
      <c r="AE65" s="307">
        <v>6</v>
      </c>
      <c r="AF65" s="307">
        <v>144</v>
      </c>
      <c r="AG65" s="324" t="s">
        <v>316</v>
      </c>
      <c r="AH65" s="363">
        <v>46315</v>
      </c>
      <c r="AI65" s="359"/>
      <c r="AJ65" s="359"/>
      <c r="AL65" s="320">
        <v>142.35</v>
      </c>
      <c r="AM65" s="320">
        <f t="shared" si="25"/>
        <v>122.71551724137932</v>
      </c>
      <c r="AN65" s="321" t="e">
        <f t="shared" ca="1" si="26"/>
        <v>#VALUE!</v>
      </c>
      <c r="AO65" s="321" t="e">
        <f t="shared" ca="1" si="27"/>
        <v>#VALUE!</v>
      </c>
      <c r="AP65" s="317">
        <f t="shared" si="28"/>
        <v>0</v>
      </c>
      <c r="BA65" s="322">
        <v>1</v>
      </c>
      <c r="BB65" s="322">
        <v>1</v>
      </c>
      <c r="BC65" s="322">
        <v>1</v>
      </c>
      <c r="BD65" s="322">
        <v>1</v>
      </c>
      <c r="BE65" s="322"/>
      <c r="BF65" s="322"/>
      <c r="BG65" s="322"/>
      <c r="BH65" s="322"/>
      <c r="BI65" s="360"/>
      <c r="BJ65" s="322">
        <v>9</v>
      </c>
      <c r="BK65" s="385">
        <f t="shared" si="29"/>
        <v>4</v>
      </c>
      <c r="BL65" s="384">
        <f t="shared" si="30"/>
        <v>0.44444444444444442</v>
      </c>
      <c r="BM65" s="361"/>
      <c r="BN65" s="361"/>
      <c r="BO65" s="361"/>
      <c r="BP65" s="361"/>
      <c r="BQ65" s="361"/>
      <c r="BR65" s="362" t="str">
        <f t="shared" si="34"/>
        <v>En revisión de dummy para autorización final</v>
      </c>
      <c r="BS65" s="382">
        <f t="shared" si="15"/>
        <v>46315</v>
      </c>
      <c r="BT65" s="325" t="s">
        <v>211</v>
      </c>
      <c r="CJ65" s="325"/>
      <c r="CK65" s="325"/>
      <c r="CL65" s="325"/>
      <c r="CM65" s="325"/>
      <c r="CN65" s="325"/>
      <c r="CO65" s="325"/>
      <c r="CP65" s="327"/>
      <c r="CQ65" s="327"/>
      <c r="CR65" s="328"/>
      <c r="CS65" s="328"/>
      <c r="CT65" s="328"/>
      <c r="CU65" s="328"/>
      <c r="CV65" s="328"/>
      <c r="CW65" s="328"/>
      <c r="CX65" s="328"/>
      <c r="CY65" s="328"/>
      <c r="CZ65" s="328"/>
      <c r="DA65" s="328"/>
    </row>
    <row r="66" spans="1:105" ht="139.5">
      <c r="A66" s="304">
        <v>57</v>
      </c>
      <c r="B66" s="305">
        <v>46248</v>
      </c>
      <c r="C66" s="305" t="s">
        <v>305</v>
      </c>
      <c r="D66" s="305" t="s">
        <v>163</v>
      </c>
      <c r="E66" s="306">
        <v>7502327991410</v>
      </c>
      <c r="F66" s="304" t="s">
        <v>479</v>
      </c>
      <c r="G66" s="307" t="s">
        <v>480</v>
      </c>
      <c r="H66" s="308" t="s">
        <v>60</v>
      </c>
      <c r="I66" s="369" t="s">
        <v>477</v>
      </c>
      <c r="J66" s="307" t="s">
        <v>277</v>
      </c>
      <c r="K66" s="307" t="s">
        <v>309</v>
      </c>
      <c r="L66" s="304">
        <v>1</v>
      </c>
      <c r="M66" s="310" t="s">
        <v>404</v>
      </c>
      <c r="N66" s="311" t="s">
        <v>478</v>
      </c>
      <c r="O66" s="304" t="s">
        <v>312</v>
      </c>
      <c r="P66" s="357">
        <v>3</v>
      </c>
      <c r="Q66" s="312" t="s">
        <v>314</v>
      </c>
      <c r="R66" s="312">
        <v>10000</v>
      </c>
      <c r="S66" s="313" t="e">
        <f t="shared" ca="1" si="35"/>
        <v>#VALUE!</v>
      </c>
      <c r="T66" s="313" t="e">
        <f t="shared" ca="1" si="32"/>
        <v>#VALUE!</v>
      </c>
      <c r="U66" s="313" t="e">
        <f ca="1">(S66+T66)*0.0382</f>
        <v>#VALUE!</v>
      </c>
      <c r="V66" s="314" t="e">
        <f t="shared" ca="1" si="19"/>
        <v>#VALUE!</v>
      </c>
      <c r="W66" s="331">
        <v>219</v>
      </c>
      <c r="X66" s="313">
        <f t="shared" si="20"/>
        <v>188.79310344827587</v>
      </c>
      <c r="Y66" s="313">
        <f t="shared" si="21"/>
        <v>113.27586206896552</v>
      </c>
      <c r="Z66" s="316" t="e">
        <f t="shared" ca="1" si="22"/>
        <v>#VALUE!</v>
      </c>
      <c r="AA66" s="316" t="e">
        <f t="shared" ca="1" si="23"/>
        <v>#VALUE!</v>
      </c>
      <c r="AB66" s="317">
        <f t="shared" si="24"/>
        <v>0.4</v>
      </c>
      <c r="AC66" s="318" t="s">
        <v>315</v>
      </c>
      <c r="AD66" s="304"/>
      <c r="AE66" s="307">
        <v>6</v>
      </c>
      <c r="AF66" s="307">
        <v>144</v>
      </c>
      <c r="AG66" s="324" t="s">
        <v>316</v>
      </c>
      <c r="AH66" s="363">
        <v>46315</v>
      </c>
      <c r="AI66" s="359"/>
      <c r="AJ66" s="359"/>
      <c r="AL66" s="320">
        <v>142.35</v>
      </c>
      <c r="AM66" s="320">
        <f t="shared" si="25"/>
        <v>122.71551724137932</v>
      </c>
      <c r="AN66" s="321" t="e">
        <f t="shared" ca="1" si="26"/>
        <v>#VALUE!</v>
      </c>
      <c r="AO66" s="321" t="e">
        <f t="shared" ca="1" si="27"/>
        <v>#VALUE!</v>
      </c>
      <c r="AP66" s="317">
        <f t="shared" si="28"/>
        <v>0</v>
      </c>
      <c r="BA66" s="322">
        <v>1</v>
      </c>
      <c r="BB66" s="322">
        <v>1</v>
      </c>
      <c r="BC66" s="322">
        <v>1</v>
      </c>
      <c r="BD66" s="322">
        <v>1</v>
      </c>
      <c r="BE66" s="322"/>
      <c r="BF66" s="322"/>
      <c r="BG66" s="322"/>
      <c r="BH66" s="322"/>
      <c r="BI66" s="360"/>
      <c r="BJ66" s="322">
        <v>9</v>
      </c>
      <c r="BK66" s="385">
        <f t="shared" si="29"/>
        <v>4</v>
      </c>
      <c r="BL66" s="384">
        <f t="shared" si="30"/>
        <v>0.44444444444444442</v>
      </c>
      <c r="BM66" s="361"/>
      <c r="BN66" s="361"/>
      <c r="BO66" s="361"/>
      <c r="BP66" s="361"/>
      <c r="BQ66" s="361"/>
      <c r="BR66" s="362" t="str">
        <f t="shared" si="34"/>
        <v>En revisión de dummy para autorización final</v>
      </c>
      <c r="BS66" s="382">
        <f t="shared" si="15"/>
        <v>46315</v>
      </c>
      <c r="BT66" s="325" t="s">
        <v>211</v>
      </c>
    </row>
    <row r="67" spans="1:105" ht="139.5">
      <c r="A67" s="304">
        <v>58</v>
      </c>
      <c r="B67" s="305">
        <v>46248</v>
      </c>
      <c r="C67" s="305" t="s">
        <v>305</v>
      </c>
      <c r="D67" s="305" t="s">
        <v>163</v>
      </c>
      <c r="E67" s="306">
        <v>7502327991427</v>
      </c>
      <c r="F67" s="304" t="s">
        <v>481</v>
      </c>
      <c r="G67" s="307" t="s">
        <v>482</v>
      </c>
      <c r="H67" s="308" t="s">
        <v>60</v>
      </c>
      <c r="I67" s="369" t="s">
        <v>477</v>
      </c>
      <c r="J67" s="307" t="s">
        <v>277</v>
      </c>
      <c r="K67" s="307" t="s">
        <v>309</v>
      </c>
      <c r="L67" s="304">
        <v>1</v>
      </c>
      <c r="M67" s="310" t="s">
        <v>404</v>
      </c>
      <c r="N67" s="311" t="s">
        <v>478</v>
      </c>
      <c r="O67" s="304" t="s">
        <v>312</v>
      </c>
      <c r="P67" s="357">
        <v>3</v>
      </c>
      <c r="Q67" s="312" t="s">
        <v>314</v>
      </c>
      <c r="R67" s="312">
        <v>10000</v>
      </c>
      <c r="S67" s="313" t="e">
        <f t="shared" ca="1" si="35"/>
        <v>#VALUE!</v>
      </c>
      <c r="T67" s="313" t="e">
        <f t="shared" ca="1" si="32"/>
        <v>#VALUE!</v>
      </c>
      <c r="U67" s="313" t="e">
        <f ca="1">(S67+T67)*0.0382</f>
        <v>#VALUE!</v>
      </c>
      <c r="V67" s="314" t="e">
        <f t="shared" ca="1" si="19"/>
        <v>#VALUE!</v>
      </c>
      <c r="W67" s="331">
        <v>219</v>
      </c>
      <c r="X67" s="313">
        <f t="shared" si="20"/>
        <v>188.79310344827587</v>
      </c>
      <c r="Y67" s="313">
        <f t="shared" si="21"/>
        <v>113.27586206896552</v>
      </c>
      <c r="Z67" s="316" t="e">
        <f t="shared" ca="1" si="22"/>
        <v>#VALUE!</v>
      </c>
      <c r="AA67" s="316" t="e">
        <f t="shared" ca="1" si="23"/>
        <v>#VALUE!</v>
      </c>
      <c r="AB67" s="317">
        <f t="shared" si="24"/>
        <v>0.4</v>
      </c>
      <c r="AC67" s="318" t="s">
        <v>315</v>
      </c>
      <c r="AD67" s="304"/>
      <c r="AE67" s="307">
        <v>6</v>
      </c>
      <c r="AF67" s="307">
        <v>144</v>
      </c>
      <c r="AG67" s="324" t="s">
        <v>316</v>
      </c>
      <c r="AH67" s="363">
        <v>46315</v>
      </c>
      <c r="AI67" s="359"/>
      <c r="AJ67" s="359"/>
      <c r="AL67" s="320">
        <v>142.35</v>
      </c>
      <c r="AM67" s="320">
        <f t="shared" si="25"/>
        <v>122.71551724137932</v>
      </c>
      <c r="AN67" s="321" t="e">
        <f t="shared" ca="1" si="26"/>
        <v>#VALUE!</v>
      </c>
      <c r="AO67" s="321" t="e">
        <f t="shared" ca="1" si="27"/>
        <v>#VALUE!</v>
      </c>
      <c r="AP67" s="317">
        <f t="shared" si="28"/>
        <v>0</v>
      </c>
      <c r="BA67" s="322">
        <v>1</v>
      </c>
      <c r="BB67" s="322">
        <v>1</v>
      </c>
      <c r="BC67" s="322">
        <v>1</v>
      </c>
      <c r="BD67" s="322">
        <v>1</v>
      </c>
      <c r="BE67" s="322"/>
      <c r="BF67" s="322"/>
      <c r="BG67" s="322"/>
      <c r="BH67" s="322"/>
      <c r="BI67" s="360"/>
      <c r="BJ67" s="322">
        <v>9</v>
      </c>
      <c r="BK67" s="385">
        <f t="shared" si="29"/>
        <v>4</v>
      </c>
      <c r="BL67" s="384">
        <f t="shared" si="30"/>
        <v>0.44444444444444442</v>
      </c>
      <c r="BM67" s="361"/>
      <c r="BN67" s="361"/>
      <c r="BO67" s="361"/>
      <c r="BP67" s="361"/>
      <c r="BQ67" s="361"/>
      <c r="BR67" s="362" t="str">
        <f t="shared" si="34"/>
        <v>En revisión de dummy para autorización final</v>
      </c>
      <c r="BS67" s="382">
        <f t="shared" si="15"/>
        <v>46315</v>
      </c>
      <c r="BT67" s="325" t="s">
        <v>211</v>
      </c>
    </row>
    <row r="68" spans="1:105" ht="139.5">
      <c r="A68" s="304">
        <v>59</v>
      </c>
      <c r="B68" s="305">
        <v>46248</v>
      </c>
      <c r="C68" s="305" t="s">
        <v>305</v>
      </c>
      <c r="D68" s="305" t="s">
        <v>163</v>
      </c>
      <c r="E68" s="306">
        <v>7502327991434</v>
      </c>
      <c r="F68" s="304" t="s">
        <v>483</v>
      </c>
      <c r="G68" s="307" t="s">
        <v>484</v>
      </c>
      <c r="H68" s="308" t="s">
        <v>60</v>
      </c>
      <c r="I68" s="369" t="s">
        <v>477</v>
      </c>
      <c r="J68" s="307" t="s">
        <v>277</v>
      </c>
      <c r="K68" s="307" t="s">
        <v>309</v>
      </c>
      <c r="L68" s="304">
        <v>1</v>
      </c>
      <c r="M68" s="310" t="s">
        <v>404</v>
      </c>
      <c r="N68" s="311" t="s">
        <v>478</v>
      </c>
      <c r="O68" s="304" t="s">
        <v>312</v>
      </c>
      <c r="P68" s="357">
        <v>3</v>
      </c>
      <c r="Q68" s="312" t="s">
        <v>314</v>
      </c>
      <c r="R68" s="312">
        <v>10000</v>
      </c>
      <c r="S68" s="313" t="e">
        <f t="shared" ca="1" si="35"/>
        <v>#VALUE!</v>
      </c>
      <c r="T68" s="313" t="e">
        <f t="shared" ca="1" si="32"/>
        <v>#VALUE!</v>
      </c>
      <c r="U68" s="313" t="e">
        <f ca="1">(S68+T68)*0.0382</f>
        <v>#VALUE!</v>
      </c>
      <c r="V68" s="314" t="e">
        <f t="shared" ca="1" si="19"/>
        <v>#VALUE!</v>
      </c>
      <c r="W68" s="331">
        <v>219</v>
      </c>
      <c r="X68" s="313">
        <f t="shared" si="20"/>
        <v>188.79310344827587</v>
      </c>
      <c r="Y68" s="313">
        <f t="shared" si="21"/>
        <v>113.27586206896552</v>
      </c>
      <c r="Z68" s="316" t="e">
        <f t="shared" ca="1" si="22"/>
        <v>#VALUE!</v>
      </c>
      <c r="AA68" s="316" t="e">
        <f t="shared" ca="1" si="23"/>
        <v>#VALUE!</v>
      </c>
      <c r="AB68" s="317">
        <f t="shared" si="24"/>
        <v>0.4</v>
      </c>
      <c r="AC68" s="318" t="s">
        <v>315</v>
      </c>
      <c r="AD68" s="304"/>
      <c r="AE68" s="307">
        <v>6</v>
      </c>
      <c r="AF68" s="307">
        <v>144</v>
      </c>
      <c r="AG68" s="324" t="s">
        <v>316</v>
      </c>
      <c r="AH68" s="363">
        <v>46315</v>
      </c>
      <c r="AI68" s="359"/>
      <c r="AJ68" s="359"/>
      <c r="AL68" s="320">
        <v>142.35</v>
      </c>
      <c r="AM68" s="320">
        <f t="shared" si="25"/>
        <v>122.71551724137932</v>
      </c>
      <c r="AN68" s="321" t="e">
        <f t="shared" ca="1" si="26"/>
        <v>#VALUE!</v>
      </c>
      <c r="AO68" s="321" t="e">
        <f t="shared" ca="1" si="27"/>
        <v>#VALUE!</v>
      </c>
      <c r="AP68" s="317">
        <f t="shared" si="28"/>
        <v>0</v>
      </c>
      <c r="BA68" s="322">
        <v>1</v>
      </c>
      <c r="BB68" s="322">
        <v>1</v>
      </c>
      <c r="BC68" s="322">
        <v>1</v>
      </c>
      <c r="BD68" s="322">
        <v>1</v>
      </c>
      <c r="BE68" s="322"/>
      <c r="BF68" s="322"/>
      <c r="BG68" s="322"/>
      <c r="BH68" s="322"/>
      <c r="BI68" s="360"/>
      <c r="BJ68" s="322">
        <v>9</v>
      </c>
      <c r="BK68" s="385">
        <f t="shared" si="29"/>
        <v>4</v>
      </c>
      <c r="BL68" s="384">
        <f t="shared" si="30"/>
        <v>0.44444444444444442</v>
      </c>
      <c r="BM68" s="361"/>
      <c r="BN68" s="361"/>
      <c r="BO68" s="361"/>
      <c r="BP68" s="361"/>
      <c r="BQ68" s="361"/>
      <c r="BR68" s="362" t="str">
        <f t="shared" si="34"/>
        <v>En revisión de dummy para autorización final</v>
      </c>
      <c r="BS68" s="382">
        <f t="shared" si="15"/>
        <v>46315</v>
      </c>
      <c r="BT68" s="325" t="s">
        <v>211</v>
      </c>
    </row>
    <row r="69" spans="1:105" ht="186">
      <c r="A69" s="304">
        <v>60</v>
      </c>
      <c r="B69" s="305">
        <v>46248</v>
      </c>
      <c r="C69" s="305" t="s">
        <v>305</v>
      </c>
      <c r="D69" s="305" t="s">
        <v>163</v>
      </c>
      <c r="E69" s="306">
        <v>7502327991441</v>
      </c>
      <c r="F69" s="304" t="s">
        <v>485</v>
      </c>
      <c r="G69" s="307" t="s">
        <v>486</v>
      </c>
      <c r="H69" s="308" t="s">
        <v>60</v>
      </c>
      <c r="I69" s="304" t="s">
        <v>487</v>
      </c>
      <c r="J69" s="307" t="s">
        <v>277</v>
      </c>
      <c r="K69" s="307" t="s">
        <v>309</v>
      </c>
      <c r="L69" s="304">
        <v>1</v>
      </c>
      <c r="M69" s="310" t="s">
        <v>310</v>
      </c>
      <c r="N69" s="311" t="s">
        <v>488</v>
      </c>
      <c r="O69" s="304" t="s">
        <v>312</v>
      </c>
      <c r="P69" s="357" t="s">
        <v>489</v>
      </c>
      <c r="Q69" s="312" t="s">
        <v>314</v>
      </c>
      <c r="R69" s="312">
        <v>10000</v>
      </c>
      <c r="S69" s="313" t="e">
        <f t="shared" ca="1" si="35"/>
        <v>#VALUE!</v>
      </c>
      <c r="T69" s="313" t="e">
        <f t="shared" ca="1" si="32"/>
        <v>#VALUE!</v>
      </c>
      <c r="U69" s="313" t="e">
        <f ca="1">(S69+T69)*0.0462</f>
        <v>#VALUE!</v>
      </c>
      <c r="V69" s="314" t="e">
        <f t="shared" ca="1" si="19"/>
        <v>#VALUE!</v>
      </c>
      <c r="W69" s="331">
        <v>149</v>
      </c>
      <c r="X69" s="313">
        <f t="shared" si="20"/>
        <v>128.44827586206898</v>
      </c>
      <c r="Y69" s="313">
        <f t="shared" si="21"/>
        <v>77.068965517241381</v>
      </c>
      <c r="Z69" s="316" t="e">
        <f t="shared" ca="1" si="22"/>
        <v>#VALUE!</v>
      </c>
      <c r="AA69" s="316" t="e">
        <f t="shared" ca="1" si="23"/>
        <v>#VALUE!</v>
      </c>
      <c r="AB69" s="317">
        <f t="shared" si="24"/>
        <v>0.4</v>
      </c>
      <c r="AC69" s="318" t="s">
        <v>315</v>
      </c>
      <c r="AD69" s="304"/>
      <c r="AE69" s="307">
        <v>6</v>
      </c>
      <c r="AF69" s="307">
        <v>144</v>
      </c>
      <c r="AG69" s="324" t="s">
        <v>358</v>
      </c>
      <c r="AH69" s="363">
        <v>46315</v>
      </c>
      <c r="AI69" s="359"/>
      <c r="AJ69" s="359"/>
      <c r="AL69" s="320">
        <v>96.85</v>
      </c>
      <c r="AM69" s="320">
        <f t="shared" si="25"/>
        <v>83.491379310344826</v>
      </c>
      <c r="AN69" s="321" t="e">
        <f t="shared" ca="1" si="26"/>
        <v>#VALUE!</v>
      </c>
      <c r="AO69" s="321" t="e">
        <f t="shared" ca="1" si="27"/>
        <v>#VALUE!</v>
      </c>
      <c r="AP69" s="317">
        <f t="shared" si="28"/>
        <v>0</v>
      </c>
      <c r="BA69" s="322">
        <v>1</v>
      </c>
      <c r="BB69" s="322">
        <v>1</v>
      </c>
      <c r="BC69" s="322">
        <v>1</v>
      </c>
      <c r="BD69" s="322">
        <v>1</v>
      </c>
      <c r="BE69" s="322"/>
      <c r="BF69" s="322"/>
      <c r="BG69" s="322"/>
      <c r="BH69" s="322"/>
      <c r="BI69" s="360"/>
      <c r="BJ69" s="322">
        <v>9</v>
      </c>
      <c r="BK69" s="385">
        <f t="shared" si="29"/>
        <v>4</v>
      </c>
      <c r="BL69" s="384">
        <f t="shared" si="30"/>
        <v>0.44444444444444442</v>
      </c>
      <c r="BM69" s="361"/>
      <c r="BN69" s="361"/>
      <c r="BO69" s="361"/>
      <c r="BP69" s="361"/>
      <c r="BQ69" s="361"/>
      <c r="BR69" s="362" t="str">
        <f t="shared" si="34"/>
        <v>Falta arte final de la caja. En espera suaje por parte de Daniel</v>
      </c>
      <c r="BS69" s="382">
        <f t="shared" si="15"/>
        <v>46315</v>
      </c>
      <c r="BT69" s="325" t="s">
        <v>70</v>
      </c>
    </row>
    <row r="70" spans="1:105" ht="186">
      <c r="A70" s="304">
        <v>61</v>
      </c>
      <c r="B70" s="305">
        <v>46248</v>
      </c>
      <c r="C70" s="305" t="s">
        <v>305</v>
      </c>
      <c r="D70" s="305" t="s">
        <v>163</v>
      </c>
      <c r="E70" s="306">
        <v>7502327991458</v>
      </c>
      <c r="F70" s="304" t="s">
        <v>490</v>
      </c>
      <c r="G70" s="307" t="s">
        <v>491</v>
      </c>
      <c r="H70" s="308" t="s">
        <v>60</v>
      </c>
      <c r="I70" s="304" t="s">
        <v>487</v>
      </c>
      <c r="J70" s="307" t="s">
        <v>277</v>
      </c>
      <c r="K70" s="307" t="s">
        <v>309</v>
      </c>
      <c r="L70" s="304">
        <v>1</v>
      </c>
      <c r="M70" s="310" t="s">
        <v>310</v>
      </c>
      <c r="N70" s="311" t="s">
        <v>488</v>
      </c>
      <c r="O70" s="304" t="s">
        <v>312</v>
      </c>
      <c r="P70" s="357" t="s">
        <v>489</v>
      </c>
      <c r="Q70" s="312" t="s">
        <v>314</v>
      </c>
      <c r="R70" s="312">
        <v>10000</v>
      </c>
      <c r="S70" s="313" t="e">
        <f t="shared" ca="1" si="35"/>
        <v>#VALUE!</v>
      </c>
      <c r="T70" s="313" t="e">
        <f t="shared" ca="1" si="32"/>
        <v>#VALUE!</v>
      </c>
      <c r="U70" s="313" t="e">
        <f ca="1">(S70+T70)*0.0462</f>
        <v>#VALUE!</v>
      </c>
      <c r="V70" s="314" t="e">
        <f t="shared" ca="1" si="19"/>
        <v>#VALUE!</v>
      </c>
      <c r="W70" s="331">
        <v>149</v>
      </c>
      <c r="X70" s="313">
        <f t="shared" si="20"/>
        <v>128.44827586206898</v>
      </c>
      <c r="Y70" s="313">
        <f t="shared" si="21"/>
        <v>77.068965517241381</v>
      </c>
      <c r="Z70" s="316" t="e">
        <f t="shared" ca="1" si="22"/>
        <v>#VALUE!</v>
      </c>
      <c r="AA70" s="316" t="e">
        <f t="shared" ca="1" si="23"/>
        <v>#VALUE!</v>
      </c>
      <c r="AB70" s="317">
        <f t="shared" si="24"/>
        <v>0.4</v>
      </c>
      <c r="AC70" s="318" t="s">
        <v>315</v>
      </c>
      <c r="AD70" s="304"/>
      <c r="AE70" s="307">
        <v>6</v>
      </c>
      <c r="AF70" s="307">
        <v>144</v>
      </c>
      <c r="AG70" s="324" t="s">
        <v>358</v>
      </c>
      <c r="AH70" s="363">
        <v>46315</v>
      </c>
      <c r="AI70" s="359"/>
      <c r="AJ70" s="359"/>
      <c r="AL70" s="320">
        <v>96.85</v>
      </c>
      <c r="AM70" s="320">
        <f t="shared" si="25"/>
        <v>83.491379310344826</v>
      </c>
      <c r="AN70" s="321" t="e">
        <f t="shared" ca="1" si="26"/>
        <v>#VALUE!</v>
      </c>
      <c r="AO70" s="321" t="e">
        <f t="shared" ca="1" si="27"/>
        <v>#VALUE!</v>
      </c>
      <c r="AP70" s="317">
        <f t="shared" si="28"/>
        <v>0</v>
      </c>
      <c r="BA70" s="322">
        <v>1</v>
      </c>
      <c r="BB70" s="322">
        <v>1</v>
      </c>
      <c r="BC70" s="322">
        <v>1</v>
      </c>
      <c r="BD70" s="322">
        <v>1</v>
      </c>
      <c r="BE70" s="322"/>
      <c r="BF70" s="322"/>
      <c r="BG70" s="322"/>
      <c r="BH70" s="322"/>
      <c r="BI70" s="360"/>
      <c r="BJ70" s="322">
        <v>9</v>
      </c>
      <c r="BK70" s="385">
        <f t="shared" si="29"/>
        <v>4</v>
      </c>
      <c r="BL70" s="384">
        <f t="shared" si="30"/>
        <v>0.44444444444444442</v>
      </c>
      <c r="BM70" s="361"/>
      <c r="BN70" s="361"/>
      <c r="BO70" s="361"/>
      <c r="BP70" s="361"/>
      <c r="BQ70" s="361"/>
      <c r="BR70" s="362" t="str">
        <f t="shared" si="34"/>
        <v>Falta arte final de la caja. En espera suaje por parte de Daniel</v>
      </c>
      <c r="BS70" s="382">
        <f t="shared" si="15"/>
        <v>46315</v>
      </c>
      <c r="BT70" s="325" t="s">
        <v>70</v>
      </c>
    </row>
    <row r="71" spans="1:105" ht="186">
      <c r="A71" s="304">
        <v>62</v>
      </c>
      <c r="B71" s="305">
        <v>46248</v>
      </c>
      <c r="C71" s="305" t="s">
        <v>305</v>
      </c>
      <c r="D71" s="305" t="s">
        <v>163</v>
      </c>
      <c r="E71" s="306">
        <v>7502327991465</v>
      </c>
      <c r="F71" s="304" t="s">
        <v>492</v>
      </c>
      <c r="G71" s="307" t="s">
        <v>493</v>
      </c>
      <c r="H71" s="308" t="s">
        <v>60</v>
      </c>
      <c r="I71" s="304" t="s">
        <v>487</v>
      </c>
      <c r="J71" s="307" t="s">
        <v>277</v>
      </c>
      <c r="K71" s="307" t="s">
        <v>309</v>
      </c>
      <c r="L71" s="304">
        <v>1</v>
      </c>
      <c r="M71" s="310" t="s">
        <v>310</v>
      </c>
      <c r="N71" s="311" t="s">
        <v>488</v>
      </c>
      <c r="O71" s="304" t="s">
        <v>312</v>
      </c>
      <c r="P71" s="357" t="s">
        <v>489</v>
      </c>
      <c r="Q71" s="312" t="s">
        <v>314</v>
      </c>
      <c r="R71" s="312">
        <v>10000</v>
      </c>
      <c r="S71" s="313" t="e">
        <f t="shared" ca="1" si="35"/>
        <v>#VALUE!</v>
      </c>
      <c r="T71" s="313" t="e">
        <f t="shared" ca="1" si="32"/>
        <v>#VALUE!</v>
      </c>
      <c r="U71" s="313" t="e">
        <f ca="1">(S71+T71)*0.0462</f>
        <v>#VALUE!</v>
      </c>
      <c r="V71" s="314" t="e">
        <f t="shared" ca="1" si="19"/>
        <v>#VALUE!</v>
      </c>
      <c r="W71" s="331">
        <v>149</v>
      </c>
      <c r="X71" s="313">
        <f t="shared" si="20"/>
        <v>128.44827586206898</v>
      </c>
      <c r="Y71" s="313">
        <f t="shared" si="21"/>
        <v>77.068965517241381</v>
      </c>
      <c r="Z71" s="316" t="e">
        <f t="shared" ca="1" si="22"/>
        <v>#VALUE!</v>
      </c>
      <c r="AA71" s="316" t="e">
        <f t="shared" ca="1" si="23"/>
        <v>#VALUE!</v>
      </c>
      <c r="AB71" s="317">
        <f t="shared" si="24"/>
        <v>0.4</v>
      </c>
      <c r="AC71" s="318" t="s">
        <v>315</v>
      </c>
      <c r="AD71" s="304"/>
      <c r="AE71" s="307">
        <v>6</v>
      </c>
      <c r="AF71" s="307">
        <v>144</v>
      </c>
      <c r="AG71" s="324" t="s">
        <v>358</v>
      </c>
      <c r="AH71" s="363">
        <v>46315</v>
      </c>
      <c r="AI71" s="359"/>
      <c r="AJ71" s="359"/>
      <c r="AL71" s="320">
        <v>96.85</v>
      </c>
      <c r="AM71" s="320">
        <f t="shared" si="25"/>
        <v>83.491379310344826</v>
      </c>
      <c r="AN71" s="321" t="e">
        <f t="shared" ca="1" si="26"/>
        <v>#VALUE!</v>
      </c>
      <c r="AO71" s="321" t="e">
        <f t="shared" ca="1" si="27"/>
        <v>#VALUE!</v>
      </c>
      <c r="AP71" s="317">
        <f t="shared" si="28"/>
        <v>0</v>
      </c>
      <c r="BA71" s="322">
        <v>1</v>
      </c>
      <c r="BB71" s="322">
        <v>1</v>
      </c>
      <c r="BC71" s="322">
        <v>1</v>
      </c>
      <c r="BD71" s="322">
        <v>1</v>
      </c>
      <c r="BE71" s="322"/>
      <c r="BF71" s="322"/>
      <c r="BG71" s="322"/>
      <c r="BH71" s="322"/>
      <c r="BI71" s="360"/>
      <c r="BJ71" s="322">
        <v>9</v>
      </c>
      <c r="BK71" s="385">
        <f t="shared" si="29"/>
        <v>4</v>
      </c>
      <c r="BL71" s="384">
        <f t="shared" si="30"/>
        <v>0.44444444444444442</v>
      </c>
      <c r="BM71" s="361"/>
      <c r="BN71" s="361"/>
      <c r="BO71" s="361"/>
      <c r="BP71" s="361"/>
      <c r="BQ71" s="361"/>
      <c r="BR71" s="362" t="str">
        <f t="shared" si="34"/>
        <v>Falta arte final de la caja. En espera suaje por parte de Daniel</v>
      </c>
      <c r="BS71" s="382">
        <f t="shared" si="15"/>
        <v>46315</v>
      </c>
      <c r="BT71" s="325" t="s">
        <v>70</v>
      </c>
    </row>
    <row r="72" spans="1:105" ht="186">
      <c r="A72" s="304">
        <v>63</v>
      </c>
      <c r="B72" s="305">
        <v>46248</v>
      </c>
      <c r="C72" s="305" t="s">
        <v>305</v>
      </c>
      <c r="D72" s="305" t="s">
        <v>163</v>
      </c>
      <c r="E72" s="306">
        <v>7502327991472</v>
      </c>
      <c r="F72" s="304" t="s">
        <v>494</v>
      </c>
      <c r="G72" s="307" t="s">
        <v>495</v>
      </c>
      <c r="H72" s="308" t="s">
        <v>60</v>
      </c>
      <c r="I72" s="304" t="s">
        <v>487</v>
      </c>
      <c r="J72" s="307" t="s">
        <v>277</v>
      </c>
      <c r="K72" s="307" t="s">
        <v>309</v>
      </c>
      <c r="L72" s="304">
        <v>1</v>
      </c>
      <c r="M72" s="310" t="s">
        <v>310</v>
      </c>
      <c r="N72" s="311" t="s">
        <v>488</v>
      </c>
      <c r="O72" s="304" t="s">
        <v>312</v>
      </c>
      <c r="P72" s="357" t="s">
        <v>489</v>
      </c>
      <c r="Q72" s="312" t="s">
        <v>314</v>
      </c>
      <c r="R72" s="312">
        <v>10000</v>
      </c>
      <c r="S72" s="313" t="e">
        <f t="shared" ca="1" si="35"/>
        <v>#VALUE!</v>
      </c>
      <c r="T72" s="313" t="e">
        <f t="shared" ca="1" si="32"/>
        <v>#VALUE!</v>
      </c>
      <c r="U72" s="313" t="e">
        <f ca="1">(S72+T72)*0.0462</f>
        <v>#VALUE!</v>
      </c>
      <c r="V72" s="314" t="e">
        <f t="shared" ca="1" si="19"/>
        <v>#VALUE!</v>
      </c>
      <c r="W72" s="331">
        <v>149</v>
      </c>
      <c r="X72" s="313">
        <f t="shared" si="20"/>
        <v>128.44827586206898</v>
      </c>
      <c r="Y72" s="313">
        <f t="shared" si="21"/>
        <v>77.068965517241381</v>
      </c>
      <c r="Z72" s="316" t="e">
        <f t="shared" ca="1" si="22"/>
        <v>#VALUE!</v>
      </c>
      <c r="AA72" s="316" t="e">
        <f t="shared" ca="1" si="23"/>
        <v>#VALUE!</v>
      </c>
      <c r="AB72" s="317">
        <f t="shared" si="24"/>
        <v>0.4</v>
      </c>
      <c r="AC72" s="318" t="s">
        <v>315</v>
      </c>
      <c r="AD72" s="304"/>
      <c r="AE72" s="307">
        <v>6</v>
      </c>
      <c r="AF72" s="307">
        <v>144</v>
      </c>
      <c r="AG72" s="324" t="s">
        <v>358</v>
      </c>
      <c r="AH72" s="363">
        <v>46315</v>
      </c>
      <c r="AI72" s="359"/>
      <c r="AJ72" s="359"/>
      <c r="AL72" s="320">
        <v>96.85</v>
      </c>
      <c r="AM72" s="320">
        <f t="shared" si="25"/>
        <v>83.491379310344826</v>
      </c>
      <c r="AN72" s="321" t="e">
        <f t="shared" ca="1" si="26"/>
        <v>#VALUE!</v>
      </c>
      <c r="AO72" s="321" t="e">
        <f t="shared" ca="1" si="27"/>
        <v>#VALUE!</v>
      </c>
      <c r="AP72" s="317">
        <f t="shared" si="28"/>
        <v>0</v>
      </c>
      <c r="BA72" s="322">
        <v>1</v>
      </c>
      <c r="BB72" s="322">
        <v>1</v>
      </c>
      <c r="BC72" s="322">
        <v>1</v>
      </c>
      <c r="BD72" s="322">
        <v>1</v>
      </c>
      <c r="BE72" s="322"/>
      <c r="BF72" s="322"/>
      <c r="BG72" s="322"/>
      <c r="BH72" s="322"/>
      <c r="BI72" s="360"/>
      <c r="BJ72" s="322">
        <v>9</v>
      </c>
      <c r="BK72" s="385">
        <f t="shared" si="29"/>
        <v>4</v>
      </c>
      <c r="BL72" s="384">
        <f t="shared" si="30"/>
        <v>0.44444444444444442</v>
      </c>
      <c r="BM72" s="361"/>
      <c r="BN72" s="361"/>
      <c r="BO72" s="361"/>
      <c r="BP72" s="361"/>
      <c r="BQ72" s="361"/>
      <c r="BR72" s="362" t="str">
        <f t="shared" si="34"/>
        <v>Falta arte final de la caja. En espera suaje por parte de Daniel</v>
      </c>
      <c r="BS72" s="382">
        <f t="shared" si="15"/>
        <v>46315</v>
      </c>
      <c r="BT72" s="325" t="s">
        <v>70</v>
      </c>
    </row>
    <row r="73" spans="1:105" ht="186">
      <c r="A73" s="304">
        <v>64</v>
      </c>
      <c r="B73" s="305">
        <v>46248</v>
      </c>
      <c r="C73" s="305" t="s">
        <v>305</v>
      </c>
      <c r="D73" s="305" t="s">
        <v>163</v>
      </c>
      <c r="E73" s="306">
        <v>7502327991489</v>
      </c>
      <c r="F73" s="304" t="s">
        <v>496</v>
      </c>
      <c r="G73" s="307" t="s">
        <v>497</v>
      </c>
      <c r="H73" s="308" t="s">
        <v>60</v>
      </c>
      <c r="I73" s="304" t="s">
        <v>487</v>
      </c>
      <c r="J73" s="307" t="s">
        <v>277</v>
      </c>
      <c r="K73" s="307" t="s">
        <v>309</v>
      </c>
      <c r="L73" s="304">
        <v>1</v>
      </c>
      <c r="M73" s="310" t="s">
        <v>310</v>
      </c>
      <c r="N73" s="311" t="s">
        <v>488</v>
      </c>
      <c r="O73" s="304" t="s">
        <v>312</v>
      </c>
      <c r="P73" s="357" t="s">
        <v>489</v>
      </c>
      <c r="Q73" s="312" t="s">
        <v>314</v>
      </c>
      <c r="R73" s="312">
        <v>10000</v>
      </c>
      <c r="S73" s="313" t="e">
        <f t="shared" ca="1" si="35"/>
        <v>#VALUE!</v>
      </c>
      <c r="T73" s="313" t="e">
        <f t="shared" ca="1" si="32"/>
        <v>#VALUE!</v>
      </c>
      <c r="U73" s="313" t="e">
        <f ca="1">(S73+T73)*0.0462</f>
        <v>#VALUE!</v>
      </c>
      <c r="V73" s="314" t="e">
        <f t="shared" ca="1" si="19"/>
        <v>#VALUE!</v>
      </c>
      <c r="W73" s="331">
        <v>149</v>
      </c>
      <c r="X73" s="313">
        <f t="shared" si="20"/>
        <v>128.44827586206898</v>
      </c>
      <c r="Y73" s="313">
        <f t="shared" si="21"/>
        <v>77.068965517241381</v>
      </c>
      <c r="Z73" s="316" t="e">
        <f t="shared" ca="1" si="22"/>
        <v>#VALUE!</v>
      </c>
      <c r="AA73" s="316" t="e">
        <f t="shared" ca="1" si="23"/>
        <v>#VALUE!</v>
      </c>
      <c r="AB73" s="317">
        <f t="shared" si="24"/>
        <v>0.4</v>
      </c>
      <c r="AC73" s="318" t="s">
        <v>315</v>
      </c>
      <c r="AD73" s="304"/>
      <c r="AE73" s="307">
        <v>6</v>
      </c>
      <c r="AF73" s="307">
        <v>144</v>
      </c>
      <c r="AG73" s="324" t="s">
        <v>358</v>
      </c>
      <c r="AH73" s="363">
        <v>46315</v>
      </c>
      <c r="AI73" s="359"/>
      <c r="AJ73" s="359"/>
      <c r="AL73" s="320">
        <v>96.85</v>
      </c>
      <c r="AM73" s="320">
        <f t="shared" si="25"/>
        <v>83.491379310344826</v>
      </c>
      <c r="AN73" s="321" t="e">
        <f t="shared" ca="1" si="26"/>
        <v>#VALUE!</v>
      </c>
      <c r="AO73" s="321" t="e">
        <f t="shared" ca="1" si="27"/>
        <v>#VALUE!</v>
      </c>
      <c r="AP73" s="317">
        <f t="shared" si="28"/>
        <v>0</v>
      </c>
      <c r="BA73" s="322">
        <v>1</v>
      </c>
      <c r="BB73" s="322">
        <v>1</v>
      </c>
      <c r="BC73" s="322">
        <v>1</v>
      </c>
      <c r="BD73" s="322">
        <v>1</v>
      </c>
      <c r="BE73" s="322"/>
      <c r="BF73" s="322"/>
      <c r="BG73" s="322"/>
      <c r="BH73" s="322"/>
      <c r="BI73" s="360"/>
      <c r="BJ73" s="322">
        <v>9</v>
      </c>
      <c r="BK73" s="385">
        <f t="shared" si="29"/>
        <v>4</v>
      </c>
      <c r="BL73" s="384">
        <f t="shared" si="30"/>
        <v>0.44444444444444442</v>
      </c>
      <c r="BM73" s="361"/>
      <c r="BN73" s="361"/>
      <c r="BO73" s="361"/>
      <c r="BP73" s="361"/>
      <c r="BQ73" s="361"/>
      <c r="BR73" s="362" t="str">
        <f t="shared" si="34"/>
        <v>Falta arte final de la caja. En espera suaje por parte de Daniel</v>
      </c>
      <c r="BS73" s="382">
        <f t="shared" si="15"/>
        <v>46315</v>
      </c>
      <c r="BT73" s="325" t="s">
        <v>70</v>
      </c>
    </row>
    <row r="74" spans="1:105" ht="46.5">
      <c r="A74" s="304">
        <v>65</v>
      </c>
      <c r="B74" s="305">
        <v>46248</v>
      </c>
      <c r="C74" s="305" t="s">
        <v>305</v>
      </c>
      <c r="D74" s="305" t="s">
        <v>163</v>
      </c>
      <c r="E74" s="306">
        <v>7502327991496</v>
      </c>
      <c r="F74" s="304" t="s">
        <v>498</v>
      </c>
      <c r="G74" s="307" t="s">
        <v>499</v>
      </c>
      <c r="H74" s="371" t="s">
        <v>60</v>
      </c>
      <c r="I74" s="304" t="s">
        <v>308</v>
      </c>
      <c r="J74" s="307" t="s">
        <v>277</v>
      </c>
      <c r="K74" s="307" t="s">
        <v>309</v>
      </c>
      <c r="L74" s="304">
        <v>1</v>
      </c>
      <c r="M74" s="310" t="s">
        <v>310</v>
      </c>
      <c r="N74" s="367" t="s">
        <v>500</v>
      </c>
      <c r="O74" s="304" t="s">
        <v>312</v>
      </c>
      <c r="P74" s="357">
        <v>7</v>
      </c>
      <c r="Q74" s="312" t="s">
        <v>314</v>
      </c>
      <c r="R74" s="312">
        <v>10000</v>
      </c>
      <c r="S74" s="313" t="e">
        <f t="shared" ca="1" si="35"/>
        <v>#VALUE!</v>
      </c>
      <c r="T74" s="313" t="e">
        <f ca="1">+S74*0.25</f>
        <v>#VALUE!</v>
      </c>
      <c r="U74" s="313" t="e">
        <f ca="1">(S74+T74)*0.0696</f>
        <v>#VALUE!</v>
      </c>
      <c r="V74" s="314" t="e">
        <f t="shared" ca="1" si="19"/>
        <v>#VALUE!</v>
      </c>
      <c r="W74" s="331">
        <v>199</v>
      </c>
      <c r="X74" s="313">
        <f t="shared" si="20"/>
        <v>171.55172413793105</v>
      </c>
      <c r="Y74" s="313">
        <f t="shared" si="21"/>
        <v>102.93103448275862</v>
      </c>
      <c r="Z74" s="316" t="e">
        <f t="shared" ca="1" si="22"/>
        <v>#VALUE!</v>
      </c>
      <c r="AA74" s="316" t="e">
        <f t="shared" ca="1" si="23"/>
        <v>#VALUE!</v>
      </c>
      <c r="AB74" s="317">
        <f t="shared" si="24"/>
        <v>0.4</v>
      </c>
      <c r="AC74" s="318" t="s">
        <v>315</v>
      </c>
      <c r="AD74" s="304"/>
      <c r="AE74" s="307">
        <v>4</v>
      </c>
      <c r="AF74" s="307">
        <v>48</v>
      </c>
      <c r="AG74" s="324" t="s">
        <v>316</v>
      </c>
      <c r="AH74" s="363">
        <v>46308</v>
      </c>
      <c r="AI74" s="359"/>
      <c r="AJ74" s="359"/>
      <c r="AL74" s="320">
        <v>129.35</v>
      </c>
      <c r="AM74" s="320">
        <f t="shared" si="25"/>
        <v>111.50862068965517</v>
      </c>
      <c r="AN74" s="321" t="e">
        <f t="shared" ca="1" si="26"/>
        <v>#VALUE!</v>
      </c>
      <c r="AO74" s="321" t="e">
        <f t="shared" ca="1" si="27"/>
        <v>#VALUE!</v>
      </c>
      <c r="AP74" s="317">
        <f t="shared" si="28"/>
        <v>0</v>
      </c>
      <c r="BA74" s="322">
        <v>1</v>
      </c>
      <c r="BB74" s="322">
        <v>1</v>
      </c>
      <c r="BC74" s="322">
        <v>1</v>
      </c>
      <c r="BD74" s="322">
        <v>1</v>
      </c>
      <c r="BE74" s="322">
        <v>1</v>
      </c>
      <c r="BF74" s="322"/>
      <c r="BG74" s="322"/>
      <c r="BH74" s="322"/>
      <c r="BI74" s="360"/>
      <c r="BJ74" s="322">
        <v>9</v>
      </c>
      <c r="BK74" s="385">
        <f t="shared" si="29"/>
        <v>5</v>
      </c>
      <c r="BL74" s="384">
        <f t="shared" si="30"/>
        <v>0.55555555555555558</v>
      </c>
      <c r="BM74" s="361"/>
      <c r="BN74" s="361"/>
      <c r="BO74" s="361"/>
      <c r="BP74" s="361"/>
      <c r="BQ74" s="361"/>
      <c r="BR74" s="362" t="s">
        <v>501</v>
      </c>
      <c r="BS74" s="382">
        <f t="shared" si="15"/>
        <v>46308</v>
      </c>
      <c r="BT74" s="325" t="s">
        <v>70</v>
      </c>
    </row>
    <row r="75" spans="1:105" ht="46.5">
      <c r="A75" s="304">
        <v>66</v>
      </c>
      <c r="B75" s="305">
        <v>46248</v>
      </c>
      <c r="C75" s="305" t="s">
        <v>305</v>
      </c>
      <c r="D75" s="305" t="s">
        <v>163</v>
      </c>
      <c r="E75" s="306">
        <v>7502327991502</v>
      </c>
      <c r="F75" s="304" t="s">
        <v>502</v>
      </c>
      <c r="G75" s="307" t="s">
        <v>503</v>
      </c>
      <c r="H75" s="371" t="s">
        <v>60</v>
      </c>
      <c r="I75" s="304" t="s">
        <v>504</v>
      </c>
      <c r="J75" s="307" t="s">
        <v>277</v>
      </c>
      <c r="K75" s="307" t="s">
        <v>309</v>
      </c>
      <c r="L75" s="304">
        <v>1</v>
      </c>
      <c r="M75" s="372" t="s">
        <v>310</v>
      </c>
      <c r="N75" s="367" t="s">
        <v>505</v>
      </c>
      <c r="O75" s="304" t="s">
        <v>506</v>
      </c>
      <c r="P75" s="357" t="s">
        <v>507</v>
      </c>
      <c r="Q75" s="312" t="s">
        <v>314</v>
      </c>
      <c r="R75" s="312">
        <v>10000</v>
      </c>
      <c r="S75" s="313" t="e">
        <f t="shared" ca="1" si="35"/>
        <v>#VALUE!</v>
      </c>
      <c r="T75" s="313" t="e">
        <f ca="1">+S75*0.25</f>
        <v>#VALUE!</v>
      </c>
      <c r="U75" s="313" t="e">
        <f ca="1">(S75+T75)*0.0179</f>
        <v>#VALUE!</v>
      </c>
      <c r="V75" s="314" t="e">
        <f t="shared" ca="1" si="19"/>
        <v>#VALUE!</v>
      </c>
      <c r="W75" s="331">
        <v>299</v>
      </c>
      <c r="X75" s="313">
        <f t="shared" si="20"/>
        <v>257.75862068965517</v>
      </c>
      <c r="Y75" s="313">
        <f t="shared" si="21"/>
        <v>154.65517241379311</v>
      </c>
      <c r="Z75" s="316" t="e">
        <f t="shared" ca="1" si="22"/>
        <v>#VALUE!</v>
      </c>
      <c r="AA75" s="316" t="e">
        <f t="shared" ca="1" si="23"/>
        <v>#VALUE!</v>
      </c>
      <c r="AB75" s="317">
        <f t="shared" si="24"/>
        <v>0.4</v>
      </c>
      <c r="AC75" s="318" t="s">
        <v>315</v>
      </c>
      <c r="AD75" s="304"/>
      <c r="AE75" s="307">
        <v>6</v>
      </c>
      <c r="AF75" s="307">
        <v>72</v>
      </c>
      <c r="AG75" s="324" t="s">
        <v>316</v>
      </c>
      <c r="AH75" s="363">
        <v>46308</v>
      </c>
      <c r="AI75" s="359"/>
      <c r="AJ75" s="359"/>
      <c r="AL75" s="320">
        <v>194.35</v>
      </c>
      <c r="AM75" s="320">
        <f t="shared" si="25"/>
        <v>167.54310344827587</v>
      </c>
      <c r="AN75" s="321">
        <f t="shared" si="26"/>
        <v>0.12157170054026241</v>
      </c>
      <c r="AO75" s="321">
        <f t="shared" si="27"/>
        <v>0.87842829945973755</v>
      </c>
      <c r="AP75" s="317">
        <f t="shared" si="28"/>
        <v>0</v>
      </c>
      <c r="BA75" s="322">
        <v>1</v>
      </c>
      <c r="BB75" s="322">
        <v>1</v>
      </c>
      <c r="BC75" s="322">
        <v>1</v>
      </c>
      <c r="BD75" s="322">
        <v>1</v>
      </c>
      <c r="BE75" s="322">
        <v>1</v>
      </c>
      <c r="BF75" s="322"/>
      <c r="BG75" s="322"/>
      <c r="BH75" s="322"/>
      <c r="BI75" s="360"/>
      <c r="BJ75" s="322">
        <v>9</v>
      </c>
      <c r="BK75" s="385">
        <f t="shared" si="29"/>
        <v>5</v>
      </c>
      <c r="BL75" s="384">
        <f t="shared" si="30"/>
        <v>0.55555555555555558</v>
      </c>
      <c r="BM75" s="361"/>
      <c r="BN75" s="361"/>
      <c r="BO75" s="361"/>
      <c r="BP75" s="361"/>
      <c r="BQ75" s="361"/>
      <c r="BR75" s="362" t="str">
        <f t="shared" si="34"/>
        <v>En revisión de dummy para autorización final</v>
      </c>
      <c r="BS75" s="382">
        <f t="shared" si="15"/>
        <v>46308</v>
      </c>
      <c r="BT75" s="325" t="s">
        <v>211</v>
      </c>
    </row>
    <row r="76" spans="1:105" ht="62">
      <c r="A76" s="304">
        <v>67</v>
      </c>
      <c r="B76" s="305">
        <v>46248</v>
      </c>
      <c r="C76" s="305" t="s">
        <v>305</v>
      </c>
      <c r="D76" s="305" t="s">
        <v>163</v>
      </c>
      <c r="E76" s="306">
        <v>7502327991519</v>
      </c>
      <c r="F76" s="304" t="s">
        <v>508</v>
      </c>
      <c r="G76" s="307" t="s">
        <v>509</v>
      </c>
      <c r="H76" s="308" t="s">
        <v>60</v>
      </c>
      <c r="I76" s="304" t="s">
        <v>510</v>
      </c>
      <c r="J76" s="307" t="s">
        <v>277</v>
      </c>
      <c r="K76" s="307" t="s">
        <v>309</v>
      </c>
      <c r="L76" s="304">
        <v>1</v>
      </c>
      <c r="M76" s="330" t="s">
        <v>511</v>
      </c>
      <c r="N76" s="367" t="s">
        <v>512</v>
      </c>
      <c r="O76" s="304" t="s">
        <v>506</v>
      </c>
      <c r="P76" s="357" t="s">
        <v>513</v>
      </c>
      <c r="Q76" s="312" t="s">
        <v>74</v>
      </c>
      <c r="R76" s="312">
        <v>10000</v>
      </c>
      <c r="S76" s="313">
        <f>+P76*18.5</f>
        <v>14.8</v>
      </c>
      <c r="T76" s="313">
        <f>+S76*0.25</f>
        <v>3.7</v>
      </c>
      <c r="U76" s="313">
        <f>(S76+T76)*0.101</f>
        <v>1.8685</v>
      </c>
      <c r="V76" s="314">
        <f t="shared" si="19"/>
        <v>20.368500000000001</v>
      </c>
      <c r="W76" s="331">
        <v>179</v>
      </c>
      <c r="X76" s="313">
        <f t="shared" si="20"/>
        <v>154.31034482758622</v>
      </c>
      <c r="Y76" s="313">
        <f t="shared" si="21"/>
        <v>92.58620689655173</v>
      </c>
      <c r="Z76" s="316">
        <f t="shared" si="22"/>
        <v>0.21999497206703911</v>
      </c>
      <c r="AA76" s="316">
        <f t="shared" si="23"/>
        <v>0.78000502793296089</v>
      </c>
      <c r="AB76" s="317">
        <f t="shared" si="24"/>
        <v>0.4</v>
      </c>
      <c r="AC76" s="318" t="s">
        <v>315</v>
      </c>
      <c r="AD76" s="304"/>
      <c r="AE76" s="307">
        <v>4</v>
      </c>
      <c r="AF76" s="307">
        <v>48</v>
      </c>
      <c r="AG76" s="324" t="s">
        <v>514</v>
      </c>
      <c r="AH76" s="363">
        <v>46308</v>
      </c>
      <c r="AI76" s="359"/>
      <c r="AJ76" s="359"/>
      <c r="AL76" s="320">
        <v>116.35</v>
      </c>
      <c r="AM76" s="320">
        <f t="shared" si="25"/>
        <v>100.30172413793103</v>
      </c>
      <c r="AN76" s="321" t="e">
        <f t="shared" ca="1" si="26"/>
        <v>#VALUE!</v>
      </c>
      <c r="AO76" s="321" t="e">
        <f t="shared" ca="1" si="27"/>
        <v>#VALUE!</v>
      </c>
      <c r="AP76" s="317">
        <f t="shared" si="28"/>
        <v>0</v>
      </c>
      <c r="BA76" s="322">
        <v>1</v>
      </c>
      <c r="BB76" s="322">
        <v>1</v>
      </c>
      <c r="BC76" s="322">
        <v>1</v>
      </c>
      <c r="BD76" s="322">
        <v>1</v>
      </c>
      <c r="BE76" s="322"/>
      <c r="BF76" s="322"/>
      <c r="BG76" s="322"/>
      <c r="BH76" s="322"/>
      <c r="BI76" s="360"/>
      <c r="BJ76" s="322">
        <v>9</v>
      </c>
      <c r="BK76" s="385">
        <f t="shared" si="29"/>
        <v>4</v>
      </c>
      <c r="BL76" s="384">
        <f t="shared" si="30"/>
        <v>0.44444444444444442</v>
      </c>
      <c r="BM76" s="361"/>
      <c r="BN76" s="361"/>
      <c r="BO76" s="361"/>
      <c r="BP76" s="361"/>
      <c r="BQ76" s="361"/>
      <c r="BR76" s="362" t="str">
        <f t="shared" si="34"/>
        <v>En proceso de realizacion de dummy para autorizacion final</v>
      </c>
      <c r="BS76" s="382">
        <f t="shared" si="15"/>
        <v>46308</v>
      </c>
      <c r="BT76" s="325" t="s">
        <v>211</v>
      </c>
    </row>
    <row r="77" spans="1:105" ht="46.5">
      <c r="A77" s="304">
        <v>69</v>
      </c>
      <c r="B77" s="305">
        <v>46248</v>
      </c>
      <c r="C77" s="305" t="s">
        <v>305</v>
      </c>
      <c r="D77" s="305" t="s">
        <v>163</v>
      </c>
      <c r="E77" s="306">
        <v>7502327991533</v>
      </c>
      <c r="F77" s="304" t="s">
        <v>515</v>
      </c>
      <c r="G77" s="307" t="s">
        <v>516</v>
      </c>
      <c r="H77" s="371" t="s">
        <v>60</v>
      </c>
      <c r="I77" s="304" t="s">
        <v>517</v>
      </c>
      <c r="J77" s="307" t="s">
        <v>277</v>
      </c>
      <c r="K77" s="307" t="s">
        <v>309</v>
      </c>
      <c r="L77" s="304">
        <v>1</v>
      </c>
      <c r="M77" s="330" t="s">
        <v>310</v>
      </c>
      <c r="N77" s="304"/>
      <c r="O77" s="304" t="s">
        <v>506</v>
      </c>
      <c r="P77" s="357" t="s">
        <v>373</v>
      </c>
      <c r="Q77" s="312" t="s">
        <v>314</v>
      </c>
      <c r="R77" s="312">
        <v>10000</v>
      </c>
      <c r="S77" s="313" t="e">
        <f ca="1">+P77*$T$25</f>
        <v>#VALUE!</v>
      </c>
      <c r="T77" s="313" t="e">
        <f ca="1">+S77*0.12</f>
        <v>#VALUE!</v>
      </c>
      <c r="U77" s="313" t="e">
        <f ca="1">(S77+T77)*0.0696</f>
        <v>#VALUE!</v>
      </c>
      <c r="V77" s="314" t="e">
        <f t="shared" ca="1" si="19"/>
        <v>#VALUE!</v>
      </c>
      <c r="W77" s="331">
        <v>219</v>
      </c>
      <c r="X77" s="313">
        <f t="shared" si="20"/>
        <v>188.79310344827587</v>
      </c>
      <c r="Y77" s="313">
        <f t="shared" si="21"/>
        <v>113.27586206896552</v>
      </c>
      <c r="Z77" s="316" t="e">
        <f t="shared" ca="1" si="22"/>
        <v>#VALUE!</v>
      </c>
      <c r="AA77" s="316" t="e">
        <f t="shared" ca="1" si="23"/>
        <v>#VALUE!</v>
      </c>
      <c r="AB77" s="317">
        <f t="shared" si="24"/>
        <v>0.4</v>
      </c>
      <c r="AC77" s="318" t="s">
        <v>315</v>
      </c>
      <c r="AD77" s="304"/>
      <c r="AE77" s="307">
        <v>6</v>
      </c>
      <c r="AF77" s="307">
        <v>36</v>
      </c>
      <c r="AG77" s="324" t="s">
        <v>316</v>
      </c>
      <c r="AH77" s="363">
        <v>46308</v>
      </c>
      <c r="AI77" s="359"/>
      <c r="AJ77" s="359"/>
      <c r="AL77" s="320">
        <v>142.35</v>
      </c>
      <c r="AM77" s="320">
        <f t="shared" si="25"/>
        <v>122.71551724137932</v>
      </c>
      <c r="AN77" s="321" t="e">
        <f t="shared" ca="1" si="26"/>
        <v>#VALUE!</v>
      </c>
      <c r="AO77" s="321" t="e">
        <f t="shared" ca="1" si="27"/>
        <v>#VALUE!</v>
      </c>
      <c r="AP77" s="317">
        <f t="shared" si="28"/>
        <v>0</v>
      </c>
      <c r="BA77" s="322">
        <v>1</v>
      </c>
      <c r="BB77" s="322">
        <v>1</v>
      </c>
      <c r="BC77" s="322">
        <v>1</v>
      </c>
      <c r="BD77" s="322">
        <v>1</v>
      </c>
      <c r="BE77" s="322"/>
      <c r="BF77" s="322"/>
      <c r="BG77" s="322"/>
      <c r="BH77" s="322"/>
      <c r="BI77" s="360"/>
      <c r="BJ77" s="322">
        <v>9</v>
      </c>
      <c r="BK77" s="385">
        <f t="shared" si="29"/>
        <v>4</v>
      </c>
      <c r="BL77" s="384">
        <f t="shared" si="30"/>
        <v>0.44444444444444442</v>
      </c>
      <c r="BM77" s="361"/>
      <c r="BN77" s="361"/>
      <c r="BO77" s="361"/>
      <c r="BP77" s="361"/>
      <c r="BQ77" s="361"/>
      <c r="BR77" s="362" t="s">
        <v>501</v>
      </c>
      <c r="BS77" s="382">
        <f t="shared" si="15"/>
        <v>46308</v>
      </c>
      <c r="BT77" s="325" t="s">
        <v>70</v>
      </c>
    </row>
    <row r="78" spans="1:105" ht="46.5">
      <c r="A78" s="304">
        <v>70</v>
      </c>
      <c r="B78" s="305">
        <v>46248</v>
      </c>
      <c r="C78" s="305" t="s">
        <v>305</v>
      </c>
      <c r="D78" s="305" t="s">
        <v>163</v>
      </c>
      <c r="E78" s="306">
        <v>7502327991540</v>
      </c>
      <c r="F78" s="304" t="s">
        <v>518</v>
      </c>
      <c r="G78" s="307" t="s">
        <v>519</v>
      </c>
      <c r="H78" s="371" t="s">
        <v>60</v>
      </c>
      <c r="I78" s="304" t="s">
        <v>517</v>
      </c>
      <c r="J78" s="307" t="s">
        <v>277</v>
      </c>
      <c r="K78" s="307" t="s">
        <v>309</v>
      </c>
      <c r="L78" s="304">
        <v>1</v>
      </c>
      <c r="M78" s="330" t="s">
        <v>310</v>
      </c>
      <c r="N78" s="304"/>
      <c r="O78" s="304" t="s">
        <v>506</v>
      </c>
      <c r="P78" s="357" t="s">
        <v>373</v>
      </c>
      <c r="Q78" s="312" t="s">
        <v>314</v>
      </c>
      <c r="R78" s="312">
        <v>10000</v>
      </c>
      <c r="S78" s="313" t="e">
        <f ca="1">+P78*$T$25</f>
        <v>#VALUE!</v>
      </c>
      <c r="T78" s="313" t="e">
        <f ca="1">+S78*0.12</f>
        <v>#VALUE!</v>
      </c>
      <c r="U78" s="313" t="e">
        <f ca="1">(S78+T78)*0.0696</f>
        <v>#VALUE!</v>
      </c>
      <c r="V78" s="314" t="e">
        <f t="shared" ref="V78:V101" ca="1" si="36">S78+T78+U78</f>
        <v>#VALUE!</v>
      </c>
      <c r="W78" s="331">
        <v>219</v>
      </c>
      <c r="X78" s="313">
        <f t="shared" ref="X78:X102" si="37">W78/1.16</f>
        <v>188.79310344827587</v>
      </c>
      <c r="Y78" s="313">
        <f t="shared" ref="Y78:Y102" si="38">X78*0.6</f>
        <v>113.27586206896552</v>
      </c>
      <c r="Z78" s="316" t="e">
        <f t="shared" ref="Z78:Z102" ca="1" si="39">V78/Y78</f>
        <v>#VALUE!</v>
      </c>
      <c r="AA78" s="316" t="e">
        <f t="shared" ref="AA78:AA102" ca="1" si="40">1-(V78/Y78)</f>
        <v>#VALUE!</v>
      </c>
      <c r="AB78" s="317">
        <f t="shared" ref="AB78:AB102" si="41">1-(Y78/(W78/1.16))</f>
        <v>0.4</v>
      </c>
      <c r="AC78" s="318" t="s">
        <v>315</v>
      </c>
      <c r="AD78" s="304"/>
      <c r="AE78" s="307">
        <v>6</v>
      </c>
      <c r="AF78" s="307">
        <v>36</v>
      </c>
      <c r="AG78" s="324" t="s">
        <v>316</v>
      </c>
      <c r="AH78" s="363">
        <v>46308</v>
      </c>
      <c r="AI78" s="359"/>
      <c r="AJ78" s="359"/>
      <c r="AL78" s="320">
        <v>142.35</v>
      </c>
      <c r="AM78" s="320">
        <f t="shared" ref="AM78:AM102" si="42">+AL78/1.16</f>
        <v>122.71551724137932</v>
      </c>
      <c r="AN78" s="321" t="e">
        <f t="shared" ref="AN78:AN102" ca="1" si="43">+V79/AM78</f>
        <v>#VALUE!</v>
      </c>
      <c r="AO78" s="321" t="e">
        <f t="shared" ref="AO78:AO102" ca="1" si="44">1-V79/AM78</f>
        <v>#VALUE!</v>
      </c>
      <c r="AP78" s="317">
        <f t="shared" ref="AP78:AP102" si="45">1-(AM78/(AL78/1.16))</f>
        <v>0</v>
      </c>
      <c r="BA78" s="322">
        <v>1</v>
      </c>
      <c r="BB78" s="322">
        <v>1</v>
      </c>
      <c r="BC78" s="322">
        <v>1</v>
      </c>
      <c r="BD78" s="322">
        <v>1</v>
      </c>
      <c r="BE78" s="322"/>
      <c r="BF78" s="322"/>
      <c r="BG78" s="322"/>
      <c r="BH78" s="322"/>
      <c r="BI78" s="360"/>
      <c r="BJ78" s="322">
        <v>9</v>
      </c>
      <c r="BK78" s="385">
        <f t="shared" ref="BK78:BK103" si="46">SUM(BA78:BI78)</f>
        <v>4</v>
      </c>
      <c r="BL78" s="384">
        <f t="shared" ref="BL78:BL103" si="47">+BK78/BJ78</f>
        <v>0.44444444444444442</v>
      </c>
      <c r="BM78" s="361"/>
      <c r="BN78" s="361"/>
      <c r="BO78" s="361"/>
      <c r="BP78" s="361"/>
      <c r="BQ78" s="361"/>
      <c r="BR78" s="362" t="s">
        <v>501</v>
      </c>
      <c r="BS78" s="382">
        <f t="shared" si="15"/>
        <v>46308</v>
      </c>
      <c r="BT78" s="325" t="s">
        <v>70</v>
      </c>
    </row>
    <row r="79" spans="1:105" ht="62">
      <c r="A79" s="304">
        <v>71</v>
      </c>
      <c r="B79" s="305">
        <v>46248</v>
      </c>
      <c r="C79" s="305" t="s">
        <v>305</v>
      </c>
      <c r="D79" s="305" t="s">
        <v>163</v>
      </c>
      <c r="E79" s="306">
        <v>7502327991557</v>
      </c>
      <c r="F79" s="304" t="s">
        <v>520</v>
      </c>
      <c r="G79" s="307" t="s">
        <v>521</v>
      </c>
      <c r="H79" s="308" t="s">
        <v>60</v>
      </c>
      <c r="I79" s="304" t="s">
        <v>522</v>
      </c>
      <c r="J79" s="307" t="s">
        <v>277</v>
      </c>
      <c r="K79" s="307" t="s">
        <v>309</v>
      </c>
      <c r="L79" s="304">
        <v>1</v>
      </c>
      <c r="M79" s="330" t="s">
        <v>404</v>
      </c>
      <c r="N79" s="304"/>
      <c r="O79" s="304" t="s">
        <v>506</v>
      </c>
      <c r="P79" s="357" t="s">
        <v>373</v>
      </c>
      <c r="Q79" s="312" t="s">
        <v>314</v>
      </c>
      <c r="R79" s="312">
        <v>10000</v>
      </c>
      <c r="S79" s="313" t="e">
        <f ca="1">+P79*$T$25</f>
        <v>#VALUE!</v>
      </c>
      <c r="T79" s="313" t="e">
        <f t="shared" ref="T79:T87" ca="1" si="48">+S79*0.25</f>
        <v>#VALUE!</v>
      </c>
      <c r="U79" s="313" t="e">
        <f ca="1">(S79+T79)*0.1546</f>
        <v>#VALUE!</v>
      </c>
      <c r="V79" s="314" t="e">
        <f t="shared" ca="1" si="36"/>
        <v>#VALUE!</v>
      </c>
      <c r="W79" s="331">
        <v>299</v>
      </c>
      <c r="X79" s="313">
        <f t="shared" si="37"/>
        <v>257.75862068965517</v>
      </c>
      <c r="Y79" s="313">
        <f t="shared" si="38"/>
        <v>154.65517241379311</v>
      </c>
      <c r="Z79" s="316" t="e">
        <f t="shared" ca="1" si="39"/>
        <v>#VALUE!</v>
      </c>
      <c r="AA79" s="316" t="e">
        <f t="shared" ca="1" si="40"/>
        <v>#VALUE!</v>
      </c>
      <c r="AB79" s="317">
        <f t="shared" si="41"/>
        <v>0.4</v>
      </c>
      <c r="AC79" s="318" t="s">
        <v>315</v>
      </c>
      <c r="AD79" s="304"/>
      <c r="AE79" s="307">
        <v>4</v>
      </c>
      <c r="AF79" s="307">
        <v>24</v>
      </c>
      <c r="AG79" s="324" t="s">
        <v>523</v>
      </c>
      <c r="AH79" s="363">
        <v>46315</v>
      </c>
      <c r="AI79" s="359"/>
      <c r="AJ79" s="359"/>
      <c r="AL79" s="320">
        <v>194.35</v>
      </c>
      <c r="AM79" s="320">
        <f t="shared" si="42"/>
        <v>167.54310344827587</v>
      </c>
      <c r="AN79" s="321">
        <f t="shared" si="43"/>
        <v>2.1686635708772832</v>
      </c>
      <c r="AO79" s="321">
        <f t="shared" si="44"/>
        <v>-1.1686635708772832</v>
      </c>
      <c r="AP79" s="317">
        <f t="shared" si="45"/>
        <v>0</v>
      </c>
      <c r="BA79" s="322">
        <v>1</v>
      </c>
      <c r="BB79" s="322">
        <v>1</v>
      </c>
      <c r="BC79" s="322">
        <v>1</v>
      </c>
      <c r="BD79" s="322">
        <v>1</v>
      </c>
      <c r="BE79" s="322">
        <v>1</v>
      </c>
      <c r="BF79" s="322"/>
      <c r="BG79" s="322"/>
      <c r="BH79" s="322"/>
      <c r="BI79" s="360"/>
      <c r="BJ79" s="322">
        <v>9</v>
      </c>
      <c r="BK79" s="385">
        <f t="shared" si="46"/>
        <v>5</v>
      </c>
      <c r="BL79" s="384">
        <f t="shared" si="47"/>
        <v>0.55555555555555558</v>
      </c>
      <c r="BM79" s="361"/>
      <c r="BN79" s="361"/>
      <c r="BO79" s="361"/>
      <c r="BP79" s="361"/>
      <c r="BQ79" s="361"/>
      <c r="BR79" s="362" t="str">
        <f t="shared" ref="BR79:BR103" si="49">+AG79</f>
        <v>En proceso de render para solicitar autorizacion final</v>
      </c>
      <c r="BS79" s="382">
        <f t="shared" ref="BS79:BS103" si="50">AH79</f>
        <v>46315</v>
      </c>
      <c r="BT79" s="325" t="s">
        <v>211</v>
      </c>
    </row>
    <row r="80" spans="1:105" ht="62">
      <c r="A80" s="304">
        <v>72</v>
      </c>
      <c r="B80" s="305">
        <v>46248</v>
      </c>
      <c r="C80" s="305" t="s">
        <v>305</v>
      </c>
      <c r="D80" s="305" t="s">
        <v>163</v>
      </c>
      <c r="E80" s="306">
        <v>7502327991564</v>
      </c>
      <c r="F80" s="304" t="s">
        <v>524</v>
      </c>
      <c r="G80" s="307" t="s">
        <v>525</v>
      </c>
      <c r="H80" s="308" t="s">
        <v>60</v>
      </c>
      <c r="I80" s="304" t="s">
        <v>526</v>
      </c>
      <c r="J80" s="307" t="s">
        <v>277</v>
      </c>
      <c r="K80" s="307" t="s">
        <v>309</v>
      </c>
      <c r="L80" s="304">
        <v>1</v>
      </c>
      <c r="M80" s="330" t="s">
        <v>511</v>
      </c>
      <c r="N80" s="304"/>
      <c r="O80" s="304" t="s">
        <v>506</v>
      </c>
      <c r="P80" s="357">
        <v>14</v>
      </c>
      <c r="Q80" s="312" t="s">
        <v>74</v>
      </c>
      <c r="R80" s="312">
        <v>30000</v>
      </c>
      <c r="S80" s="313">
        <f t="shared" ref="S80:S85" si="51">+P80*18.5</f>
        <v>259</v>
      </c>
      <c r="T80" s="313">
        <f t="shared" si="48"/>
        <v>64.75</v>
      </c>
      <c r="U80" s="313">
        <f>(S80+T80)*0.1223</f>
        <v>39.594625000000001</v>
      </c>
      <c r="V80" s="314">
        <f t="shared" si="36"/>
        <v>363.34462500000001</v>
      </c>
      <c r="W80" s="331">
        <v>29</v>
      </c>
      <c r="X80" s="313">
        <f t="shared" si="37"/>
        <v>25</v>
      </c>
      <c r="Y80" s="313">
        <f t="shared" si="38"/>
        <v>15</v>
      </c>
      <c r="Z80" s="316">
        <f t="shared" si="39"/>
        <v>24.222975000000002</v>
      </c>
      <c r="AA80" s="316">
        <f t="shared" si="40"/>
        <v>-23.222975000000002</v>
      </c>
      <c r="AB80" s="317">
        <f t="shared" si="41"/>
        <v>0.4</v>
      </c>
      <c r="AC80" s="318" t="s">
        <v>315</v>
      </c>
      <c r="AD80" s="304"/>
      <c r="AE80" s="307">
        <v>12</v>
      </c>
      <c r="AF80" s="307">
        <v>480</v>
      </c>
      <c r="AG80" s="324" t="s">
        <v>523</v>
      </c>
      <c r="AH80" s="363">
        <v>46308</v>
      </c>
      <c r="AI80" s="359"/>
      <c r="AJ80" s="359"/>
      <c r="AL80" s="320">
        <v>18.850000000000001</v>
      </c>
      <c r="AM80" s="320">
        <f t="shared" si="42"/>
        <v>16.250000000000004</v>
      </c>
      <c r="AN80" s="321">
        <f t="shared" si="43"/>
        <v>1.5971192307692303</v>
      </c>
      <c r="AO80" s="321">
        <f t="shared" si="44"/>
        <v>-0.59711923076923035</v>
      </c>
      <c r="AP80" s="317">
        <f t="shared" si="45"/>
        <v>0</v>
      </c>
      <c r="BA80" s="322">
        <v>1</v>
      </c>
      <c r="BB80" s="322">
        <v>1</v>
      </c>
      <c r="BC80" s="322">
        <v>1</v>
      </c>
      <c r="BD80" s="322">
        <v>1</v>
      </c>
      <c r="BE80" s="322">
        <v>1</v>
      </c>
      <c r="BF80" s="322"/>
      <c r="BG80" s="322"/>
      <c r="BH80" s="322"/>
      <c r="BI80" s="360"/>
      <c r="BJ80" s="322">
        <v>9</v>
      </c>
      <c r="BK80" s="385">
        <f t="shared" si="46"/>
        <v>5</v>
      </c>
      <c r="BL80" s="384">
        <f t="shared" si="47"/>
        <v>0.55555555555555558</v>
      </c>
      <c r="BM80" s="361"/>
      <c r="BN80" s="361"/>
      <c r="BO80" s="361"/>
      <c r="BP80" s="361"/>
      <c r="BQ80" s="361"/>
      <c r="BR80" s="362" t="str">
        <f t="shared" si="49"/>
        <v>En proceso de render para solicitar autorizacion final</v>
      </c>
      <c r="BS80" s="382">
        <f t="shared" si="50"/>
        <v>46308</v>
      </c>
      <c r="BT80" s="325" t="s">
        <v>211</v>
      </c>
    </row>
    <row r="81" spans="1:72" ht="62">
      <c r="A81" s="304">
        <v>73</v>
      </c>
      <c r="B81" s="305">
        <v>46248</v>
      </c>
      <c r="C81" s="305" t="s">
        <v>305</v>
      </c>
      <c r="D81" s="305" t="s">
        <v>163</v>
      </c>
      <c r="E81" s="306">
        <v>7502327991571</v>
      </c>
      <c r="F81" s="304" t="s">
        <v>527</v>
      </c>
      <c r="G81" s="307" t="s">
        <v>528</v>
      </c>
      <c r="H81" s="308" t="s">
        <v>60</v>
      </c>
      <c r="I81" s="304" t="s">
        <v>526</v>
      </c>
      <c r="J81" s="307" t="s">
        <v>277</v>
      </c>
      <c r="K81" s="307" t="s">
        <v>309</v>
      </c>
      <c r="L81" s="304">
        <v>1</v>
      </c>
      <c r="M81" s="330" t="s">
        <v>511</v>
      </c>
      <c r="N81" s="304"/>
      <c r="O81" s="304" t="s">
        <v>506</v>
      </c>
      <c r="P81" s="357">
        <v>1</v>
      </c>
      <c r="Q81" s="312" t="s">
        <v>74</v>
      </c>
      <c r="R81" s="312">
        <v>30000</v>
      </c>
      <c r="S81" s="313">
        <f t="shared" si="51"/>
        <v>18.5</v>
      </c>
      <c r="T81" s="313">
        <f t="shared" si="48"/>
        <v>4.625</v>
      </c>
      <c r="U81" s="313">
        <f>(S81+T81)*0.1223</f>
        <v>2.8281875000000003</v>
      </c>
      <c r="V81" s="314">
        <f t="shared" si="36"/>
        <v>25.953187499999999</v>
      </c>
      <c r="W81" s="331">
        <v>29</v>
      </c>
      <c r="X81" s="313">
        <f t="shared" si="37"/>
        <v>25</v>
      </c>
      <c r="Y81" s="313">
        <f t="shared" si="38"/>
        <v>15</v>
      </c>
      <c r="Z81" s="316">
        <f t="shared" si="39"/>
        <v>1.7302124999999999</v>
      </c>
      <c r="AA81" s="316">
        <f t="shared" si="40"/>
        <v>-0.73021249999999993</v>
      </c>
      <c r="AB81" s="317">
        <f t="shared" si="41"/>
        <v>0.4</v>
      </c>
      <c r="AC81" s="318" t="s">
        <v>315</v>
      </c>
      <c r="AD81" s="304"/>
      <c r="AE81" s="307">
        <v>12</v>
      </c>
      <c r="AF81" s="307">
        <v>480</v>
      </c>
      <c r="AG81" s="324" t="s">
        <v>523</v>
      </c>
      <c r="AH81" s="363">
        <v>46308</v>
      </c>
      <c r="AI81" s="359"/>
      <c r="AJ81" s="359"/>
      <c r="AL81" s="320">
        <v>18.850000000000001</v>
      </c>
      <c r="AM81" s="320">
        <f t="shared" si="42"/>
        <v>16.250000000000004</v>
      </c>
      <c r="AN81" s="321">
        <f t="shared" si="43"/>
        <v>1.5971192307692303</v>
      </c>
      <c r="AO81" s="321">
        <f t="shared" si="44"/>
        <v>-0.59711923076923035</v>
      </c>
      <c r="AP81" s="317">
        <f t="shared" si="45"/>
        <v>0</v>
      </c>
      <c r="BA81" s="322">
        <v>1</v>
      </c>
      <c r="BB81" s="322">
        <v>1</v>
      </c>
      <c r="BC81" s="322">
        <v>1</v>
      </c>
      <c r="BD81" s="322">
        <v>1</v>
      </c>
      <c r="BE81" s="322">
        <v>1</v>
      </c>
      <c r="BF81" s="322"/>
      <c r="BG81" s="322"/>
      <c r="BH81" s="322"/>
      <c r="BI81" s="360"/>
      <c r="BJ81" s="322">
        <v>9</v>
      </c>
      <c r="BK81" s="385">
        <f t="shared" si="46"/>
        <v>5</v>
      </c>
      <c r="BL81" s="384">
        <f t="shared" si="47"/>
        <v>0.55555555555555558</v>
      </c>
      <c r="BM81" s="361"/>
      <c r="BN81" s="361"/>
      <c r="BO81" s="361"/>
      <c r="BP81" s="361"/>
      <c r="BQ81" s="361"/>
      <c r="BR81" s="362" t="str">
        <f t="shared" si="49"/>
        <v>En proceso de render para solicitar autorizacion final</v>
      </c>
      <c r="BS81" s="382">
        <f t="shared" si="50"/>
        <v>46308</v>
      </c>
      <c r="BT81" s="325" t="s">
        <v>211</v>
      </c>
    </row>
    <row r="82" spans="1:72" ht="62">
      <c r="A82" s="304">
        <v>74</v>
      </c>
      <c r="B82" s="305">
        <v>46248</v>
      </c>
      <c r="C82" s="305" t="s">
        <v>305</v>
      </c>
      <c r="D82" s="305" t="s">
        <v>163</v>
      </c>
      <c r="E82" s="306">
        <v>7502327991588</v>
      </c>
      <c r="F82" s="304" t="s">
        <v>529</v>
      </c>
      <c r="G82" s="307" t="s">
        <v>530</v>
      </c>
      <c r="H82" s="308" t="s">
        <v>60</v>
      </c>
      <c r="I82" s="304" t="s">
        <v>526</v>
      </c>
      <c r="J82" s="307" t="s">
        <v>277</v>
      </c>
      <c r="K82" s="307" t="s">
        <v>309</v>
      </c>
      <c r="L82" s="304">
        <v>1</v>
      </c>
      <c r="M82" s="330" t="s">
        <v>511</v>
      </c>
      <c r="N82" s="304"/>
      <c r="O82" s="304" t="s">
        <v>506</v>
      </c>
      <c r="P82" s="357">
        <v>1</v>
      </c>
      <c r="Q82" s="312" t="s">
        <v>74</v>
      </c>
      <c r="R82" s="312">
        <v>30000</v>
      </c>
      <c r="S82" s="313">
        <f t="shared" si="51"/>
        <v>18.5</v>
      </c>
      <c r="T82" s="313">
        <f t="shared" si="48"/>
        <v>4.625</v>
      </c>
      <c r="U82" s="313">
        <f>(S82+T82)*0.1223</f>
        <v>2.8281875000000003</v>
      </c>
      <c r="V82" s="314">
        <f t="shared" si="36"/>
        <v>25.953187499999999</v>
      </c>
      <c r="W82" s="331">
        <v>29</v>
      </c>
      <c r="X82" s="313">
        <f t="shared" si="37"/>
        <v>25</v>
      </c>
      <c r="Y82" s="313">
        <f t="shared" si="38"/>
        <v>15</v>
      </c>
      <c r="Z82" s="316">
        <f t="shared" si="39"/>
        <v>1.7302124999999999</v>
      </c>
      <c r="AA82" s="316">
        <f t="shared" si="40"/>
        <v>-0.73021249999999993</v>
      </c>
      <c r="AB82" s="317">
        <f t="shared" si="41"/>
        <v>0.4</v>
      </c>
      <c r="AC82" s="318" t="s">
        <v>315</v>
      </c>
      <c r="AD82" s="304"/>
      <c r="AE82" s="307">
        <v>12</v>
      </c>
      <c r="AF82" s="307">
        <v>480</v>
      </c>
      <c r="AG82" s="324" t="s">
        <v>523</v>
      </c>
      <c r="AH82" s="363">
        <v>46308</v>
      </c>
      <c r="AI82" s="359"/>
      <c r="AJ82" s="359"/>
      <c r="AL82" s="320">
        <v>18.850000000000001</v>
      </c>
      <c r="AM82" s="320">
        <f t="shared" si="42"/>
        <v>16.250000000000004</v>
      </c>
      <c r="AN82" s="321">
        <f t="shared" si="43"/>
        <v>1.5971192307692303</v>
      </c>
      <c r="AO82" s="321">
        <f t="shared" si="44"/>
        <v>-0.59711923076923035</v>
      </c>
      <c r="AP82" s="317">
        <f t="shared" si="45"/>
        <v>0</v>
      </c>
      <c r="BA82" s="322">
        <v>1</v>
      </c>
      <c r="BB82" s="322">
        <v>1</v>
      </c>
      <c r="BC82" s="322">
        <v>1</v>
      </c>
      <c r="BD82" s="322">
        <v>1</v>
      </c>
      <c r="BE82" s="322">
        <v>1</v>
      </c>
      <c r="BF82" s="322"/>
      <c r="BG82" s="322"/>
      <c r="BH82" s="322"/>
      <c r="BI82" s="360"/>
      <c r="BJ82" s="322">
        <v>9</v>
      </c>
      <c r="BK82" s="385">
        <f t="shared" si="46"/>
        <v>5</v>
      </c>
      <c r="BL82" s="384">
        <f t="shared" si="47"/>
        <v>0.55555555555555558</v>
      </c>
      <c r="BM82" s="361"/>
      <c r="BN82" s="361"/>
      <c r="BO82" s="361"/>
      <c r="BP82" s="361"/>
      <c r="BQ82" s="361"/>
      <c r="BR82" s="362" t="str">
        <f t="shared" si="49"/>
        <v>En proceso de render para solicitar autorizacion final</v>
      </c>
      <c r="BS82" s="382">
        <f t="shared" si="50"/>
        <v>46308</v>
      </c>
      <c r="BT82" s="325" t="s">
        <v>211</v>
      </c>
    </row>
    <row r="83" spans="1:72" ht="62">
      <c r="A83" s="304">
        <v>75</v>
      </c>
      <c r="B83" s="305">
        <v>46248</v>
      </c>
      <c r="C83" s="305" t="s">
        <v>305</v>
      </c>
      <c r="D83" s="305" t="s">
        <v>163</v>
      </c>
      <c r="E83" s="306">
        <v>7502327991595</v>
      </c>
      <c r="F83" s="304" t="s">
        <v>531</v>
      </c>
      <c r="G83" s="307" t="s">
        <v>532</v>
      </c>
      <c r="H83" s="308" t="s">
        <v>60</v>
      </c>
      <c r="I83" s="304" t="s">
        <v>526</v>
      </c>
      <c r="J83" s="307" t="s">
        <v>277</v>
      </c>
      <c r="K83" s="307" t="s">
        <v>309</v>
      </c>
      <c r="L83" s="304">
        <v>1</v>
      </c>
      <c r="M83" s="330" t="s">
        <v>511</v>
      </c>
      <c r="N83" s="304"/>
      <c r="O83" s="304" t="s">
        <v>506</v>
      </c>
      <c r="P83" s="357">
        <v>1</v>
      </c>
      <c r="Q83" s="312" t="s">
        <v>74</v>
      </c>
      <c r="R83" s="312">
        <v>30000</v>
      </c>
      <c r="S83" s="313">
        <f t="shared" si="51"/>
        <v>18.5</v>
      </c>
      <c r="T83" s="313">
        <f t="shared" si="48"/>
        <v>4.625</v>
      </c>
      <c r="U83" s="313">
        <f>(S83+T83)*0.1223</f>
        <v>2.8281875000000003</v>
      </c>
      <c r="V83" s="314">
        <f t="shared" si="36"/>
        <v>25.953187499999999</v>
      </c>
      <c r="W83" s="331">
        <v>29</v>
      </c>
      <c r="X83" s="313">
        <f t="shared" si="37"/>
        <v>25</v>
      </c>
      <c r="Y83" s="313">
        <f t="shared" si="38"/>
        <v>15</v>
      </c>
      <c r="Z83" s="316">
        <f t="shared" si="39"/>
        <v>1.7302124999999999</v>
      </c>
      <c r="AA83" s="316">
        <f t="shared" si="40"/>
        <v>-0.73021249999999993</v>
      </c>
      <c r="AB83" s="317">
        <f t="shared" si="41"/>
        <v>0.4</v>
      </c>
      <c r="AC83" s="318" t="s">
        <v>315</v>
      </c>
      <c r="AD83" s="304"/>
      <c r="AE83" s="307">
        <v>12</v>
      </c>
      <c r="AF83" s="307">
        <v>480</v>
      </c>
      <c r="AG83" s="324" t="s">
        <v>523</v>
      </c>
      <c r="AH83" s="363">
        <v>46308</v>
      </c>
      <c r="AI83" s="359"/>
      <c r="AJ83" s="359"/>
      <c r="AL83" s="320">
        <v>18.850000000000001</v>
      </c>
      <c r="AM83" s="320">
        <f t="shared" si="42"/>
        <v>16.250000000000004</v>
      </c>
      <c r="AN83" s="321">
        <f t="shared" si="43"/>
        <v>1.5971192307692303</v>
      </c>
      <c r="AO83" s="321">
        <f t="shared" si="44"/>
        <v>-0.59711923076923035</v>
      </c>
      <c r="AP83" s="317">
        <f t="shared" si="45"/>
        <v>0</v>
      </c>
      <c r="BA83" s="322">
        <v>1</v>
      </c>
      <c r="BB83" s="322">
        <v>1</v>
      </c>
      <c r="BC83" s="322">
        <v>1</v>
      </c>
      <c r="BD83" s="322">
        <v>1</v>
      </c>
      <c r="BE83" s="322">
        <v>1</v>
      </c>
      <c r="BF83" s="322"/>
      <c r="BG83" s="322"/>
      <c r="BH83" s="322"/>
      <c r="BI83" s="360"/>
      <c r="BJ83" s="322">
        <v>9</v>
      </c>
      <c r="BK83" s="385">
        <f t="shared" si="46"/>
        <v>5</v>
      </c>
      <c r="BL83" s="384">
        <f t="shared" si="47"/>
        <v>0.55555555555555558</v>
      </c>
      <c r="BM83" s="361"/>
      <c r="BN83" s="361"/>
      <c r="BO83" s="361"/>
      <c r="BP83" s="361"/>
      <c r="BQ83" s="361"/>
      <c r="BR83" s="362" t="str">
        <f t="shared" si="49"/>
        <v>En proceso de render para solicitar autorizacion final</v>
      </c>
      <c r="BS83" s="382">
        <f t="shared" si="50"/>
        <v>46308</v>
      </c>
      <c r="BT83" s="325" t="s">
        <v>211</v>
      </c>
    </row>
    <row r="84" spans="1:72" ht="62">
      <c r="A84" s="304">
        <v>76</v>
      </c>
      <c r="B84" s="305">
        <v>46248</v>
      </c>
      <c r="C84" s="305" t="s">
        <v>305</v>
      </c>
      <c r="D84" s="305" t="s">
        <v>163</v>
      </c>
      <c r="E84" s="306">
        <v>7502327991601</v>
      </c>
      <c r="F84" s="304" t="s">
        <v>533</v>
      </c>
      <c r="G84" s="307" t="s">
        <v>534</v>
      </c>
      <c r="H84" s="308" t="s">
        <v>60</v>
      </c>
      <c r="I84" s="304" t="s">
        <v>526</v>
      </c>
      <c r="J84" s="307" t="s">
        <v>277</v>
      </c>
      <c r="K84" s="307" t="s">
        <v>309</v>
      </c>
      <c r="L84" s="304">
        <v>1</v>
      </c>
      <c r="M84" s="330" t="s">
        <v>511</v>
      </c>
      <c r="N84" s="304"/>
      <c r="O84" s="304" t="s">
        <v>506</v>
      </c>
      <c r="P84" s="357">
        <v>1</v>
      </c>
      <c r="Q84" s="312" t="s">
        <v>74</v>
      </c>
      <c r="R84" s="312">
        <v>30000</v>
      </c>
      <c r="S84" s="313">
        <f t="shared" si="51"/>
        <v>18.5</v>
      </c>
      <c r="T84" s="313">
        <f t="shared" si="48"/>
        <v>4.625</v>
      </c>
      <c r="U84" s="313">
        <f>(S84+T84)*0.1223</f>
        <v>2.8281875000000003</v>
      </c>
      <c r="V84" s="314">
        <f t="shared" si="36"/>
        <v>25.953187499999999</v>
      </c>
      <c r="W84" s="331">
        <v>29</v>
      </c>
      <c r="X84" s="313">
        <f t="shared" si="37"/>
        <v>25</v>
      </c>
      <c r="Y84" s="313">
        <f t="shared" si="38"/>
        <v>15</v>
      </c>
      <c r="Z84" s="316">
        <f t="shared" si="39"/>
        <v>1.7302124999999999</v>
      </c>
      <c r="AA84" s="316">
        <f t="shared" si="40"/>
        <v>-0.73021249999999993</v>
      </c>
      <c r="AB84" s="317">
        <f t="shared" si="41"/>
        <v>0.4</v>
      </c>
      <c r="AC84" s="318" t="s">
        <v>315</v>
      </c>
      <c r="AD84" s="304"/>
      <c r="AE84" s="307">
        <v>12</v>
      </c>
      <c r="AF84" s="307">
        <v>480</v>
      </c>
      <c r="AG84" s="324" t="s">
        <v>523</v>
      </c>
      <c r="AH84" s="363">
        <v>46308</v>
      </c>
      <c r="AI84" s="359"/>
      <c r="AJ84" s="359"/>
      <c r="AL84" s="320">
        <v>18.850000000000001</v>
      </c>
      <c r="AM84" s="320">
        <f t="shared" si="42"/>
        <v>16.250000000000004</v>
      </c>
      <c r="AN84" s="321">
        <f t="shared" si="43"/>
        <v>0.63787999999999989</v>
      </c>
      <c r="AO84" s="321">
        <f t="shared" si="44"/>
        <v>0.36212000000000011</v>
      </c>
      <c r="AP84" s="317">
        <f t="shared" si="45"/>
        <v>0</v>
      </c>
      <c r="BA84" s="322">
        <v>1</v>
      </c>
      <c r="BB84" s="322">
        <v>1</v>
      </c>
      <c r="BC84" s="322">
        <v>1</v>
      </c>
      <c r="BD84" s="322">
        <v>1</v>
      </c>
      <c r="BE84" s="322">
        <v>1</v>
      </c>
      <c r="BF84" s="322"/>
      <c r="BG84" s="322"/>
      <c r="BH84" s="322"/>
      <c r="BI84" s="360"/>
      <c r="BJ84" s="322">
        <v>9</v>
      </c>
      <c r="BK84" s="385">
        <f t="shared" si="46"/>
        <v>5</v>
      </c>
      <c r="BL84" s="384">
        <f t="shared" si="47"/>
        <v>0.55555555555555558</v>
      </c>
      <c r="BM84" s="361"/>
      <c r="BN84" s="361"/>
      <c r="BO84" s="361"/>
      <c r="BP84" s="361"/>
      <c r="BQ84" s="361"/>
      <c r="BR84" s="362" t="str">
        <f t="shared" si="49"/>
        <v>En proceso de render para solicitar autorizacion final</v>
      </c>
      <c r="BS84" s="382">
        <f t="shared" si="50"/>
        <v>46308</v>
      </c>
      <c r="BT84" s="325" t="s">
        <v>211</v>
      </c>
    </row>
    <row r="85" spans="1:72" ht="62">
      <c r="A85" s="304">
        <v>77</v>
      </c>
      <c r="B85" s="305">
        <v>46248</v>
      </c>
      <c r="C85" s="305" t="s">
        <v>305</v>
      </c>
      <c r="D85" s="305" t="s">
        <v>163</v>
      </c>
      <c r="E85" s="306">
        <v>7502327991618</v>
      </c>
      <c r="F85" s="304" t="s">
        <v>535</v>
      </c>
      <c r="G85" s="307" t="s">
        <v>536</v>
      </c>
      <c r="H85" s="308" t="s">
        <v>60</v>
      </c>
      <c r="I85" s="304" t="s">
        <v>526</v>
      </c>
      <c r="J85" s="307" t="s">
        <v>277</v>
      </c>
      <c r="K85" s="307" t="s">
        <v>309</v>
      </c>
      <c r="L85" s="304">
        <v>1</v>
      </c>
      <c r="M85" s="330" t="s">
        <v>511</v>
      </c>
      <c r="N85" s="304"/>
      <c r="O85" s="304" t="s">
        <v>506</v>
      </c>
      <c r="P85" s="357" t="s">
        <v>537</v>
      </c>
      <c r="Q85" s="312" t="s">
        <v>74</v>
      </c>
      <c r="R85" s="312">
        <v>30000</v>
      </c>
      <c r="S85" s="313">
        <f t="shared" si="51"/>
        <v>7.4</v>
      </c>
      <c r="T85" s="313">
        <f t="shared" si="48"/>
        <v>1.85</v>
      </c>
      <c r="U85" s="313">
        <f>(S85+T85)*0.1206</f>
        <v>1.11555</v>
      </c>
      <c r="V85" s="314">
        <f t="shared" si="36"/>
        <v>10.365550000000001</v>
      </c>
      <c r="W85" s="331">
        <v>129</v>
      </c>
      <c r="X85" s="313">
        <f t="shared" si="37"/>
        <v>111.20689655172414</v>
      </c>
      <c r="Y85" s="313">
        <f t="shared" si="38"/>
        <v>66.724137931034477</v>
      </c>
      <c r="Z85" s="316">
        <f t="shared" si="39"/>
        <v>0.15534932816537469</v>
      </c>
      <c r="AA85" s="316">
        <f t="shared" si="40"/>
        <v>0.84465067183462528</v>
      </c>
      <c r="AB85" s="317">
        <f t="shared" si="41"/>
        <v>0.4</v>
      </c>
      <c r="AC85" s="318" t="s">
        <v>315</v>
      </c>
      <c r="AD85" s="304"/>
      <c r="AE85" s="307">
        <v>6</v>
      </c>
      <c r="AF85" s="307">
        <v>72</v>
      </c>
      <c r="AG85" s="324" t="s">
        <v>523</v>
      </c>
      <c r="AH85" s="363">
        <v>46308</v>
      </c>
      <c r="AI85" s="359"/>
      <c r="AJ85" s="359"/>
      <c r="AL85" s="320">
        <v>83.85</v>
      </c>
      <c r="AM85" s="320">
        <f t="shared" si="42"/>
        <v>72.284482758620683</v>
      </c>
      <c r="AN85" s="321" t="e">
        <f t="shared" ca="1" si="43"/>
        <v>#VALUE!</v>
      </c>
      <c r="AO85" s="321" t="e">
        <f t="shared" ca="1" si="44"/>
        <v>#VALUE!</v>
      </c>
      <c r="AP85" s="317">
        <f t="shared" si="45"/>
        <v>0</v>
      </c>
      <c r="BA85" s="322">
        <v>1</v>
      </c>
      <c r="BB85" s="322">
        <v>1</v>
      </c>
      <c r="BC85" s="322">
        <v>1</v>
      </c>
      <c r="BD85" s="322">
        <v>1</v>
      </c>
      <c r="BE85" s="322">
        <v>1</v>
      </c>
      <c r="BF85" s="322"/>
      <c r="BG85" s="322"/>
      <c r="BH85" s="322"/>
      <c r="BI85" s="360"/>
      <c r="BJ85" s="322">
        <v>9</v>
      </c>
      <c r="BK85" s="385">
        <f t="shared" si="46"/>
        <v>5</v>
      </c>
      <c r="BL85" s="384">
        <f t="shared" si="47"/>
        <v>0.55555555555555558</v>
      </c>
      <c r="BM85" s="361"/>
      <c r="BN85" s="361"/>
      <c r="BO85" s="361"/>
      <c r="BP85" s="361"/>
      <c r="BQ85" s="361"/>
      <c r="BR85" s="362" t="str">
        <f t="shared" si="49"/>
        <v>En proceso de render para solicitar autorizacion final</v>
      </c>
      <c r="BS85" s="382">
        <f t="shared" si="50"/>
        <v>46308</v>
      </c>
      <c r="BT85" s="325" t="s">
        <v>211</v>
      </c>
    </row>
    <row r="86" spans="1:72" ht="62">
      <c r="A86" s="304">
        <v>78</v>
      </c>
      <c r="B86" s="305">
        <v>46248</v>
      </c>
      <c r="C86" s="305" t="s">
        <v>305</v>
      </c>
      <c r="D86" s="305" t="s">
        <v>163</v>
      </c>
      <c r="E86" s="306">
        <v>7502327991625</v>
      </c>
      <c r="F86" s="304" t="s">
        <v>538</v>
      </c>
      <c r="G86" s="307" t="s">
        <v>539</v>
      </c>
      <c r="H86" s="308" t="s">
        <v>60</v>
      </c>
      <c r="I86" s="304" t="s">
        <v>540</v>
      </c>
      <c r="J86" s="307" t="s">
        <v>277</v>
      </c>
      <c r="K86" s="307" t="s">
        <v>309</v>
      </c>
      <c r="L86" s="304">
        <v>1</v>
      </c>
      <c r="M86" s="330" t="s">
        <v>310</v>
      </c>
      <c r="N86" s="367" t="s">
        <v>541</v>
      </c>
      <c r="O86" s="304" t="s">
        <v>542</v>
      </c>
      <c r="P86" s="357" t="s">
        <v>543</v>
      </c>
      <c r="Q86" s="312" t="s">
        <v>314</v>
      </c>
      <c r="R86" s="312">
        <v>10000</v>
      </c>
      <c r="S86" s="313" t="e">
        <f ca="1">+P86*$T$25</f>
        <v>#VALUE!</v>
      </c>
      <c r="T86" s="313" t="e">
        <f t="shared" ca="1" si="48"/>
        <v>#VALUE!</v>
      </c>
      <c r="U86" s="313" t="e">
        <f ca="1">(S86+T86)*0.1726</f>
        <v>#VALUE!</v>
      </c>
      <c r="V86" s="314" t="e">
        <f t="shared" ca="1" si="36"/>
        <v>#VALUE!</v>
      </c>
      <c r="W86" s="331">
        <v>195</v>
      </c>
      <c r="X86" s="313">
        <f t="shared" si="37"/>
        <v>168.10344827586209</v>
      </c>
      <c r="Y86" s="313">
        <f t="shared" si="38"/>
        <v>100.86206896551725</v>
      </c>
      <c r="Z86" s="316" t="e">
        <f t="shared" ca="1" si="39"/>
        <v>#VALUE!</v>
      </c>
      <c r="AA86" s="316" t="e">
        <f t="shared" ca="1" si="40"/>
        <v>#VALUE!</v>
      </c>
      <c r="AB86" s="317">
        <f t="shared" si="41"/>
        <v>0.4</v>
      </c>
      <c r="AC86" s="318" t="s">
        <v>315</v>
      </c>
      <c r="AD86" s="304"/>
      <c r="AE86" s="307">
        <v>4</v>
      </c>
      <c r="AF86" s="307">
        <v>48</v>
      </c>
      <c r="AG86" s="324" t="s">
        <v>523</v>
      </c>
      <c r="AH86" s="363">
        <v>46308</v>
      </c>
      <c r="AI86" s="359"/>
      <c r="AJ86" s="359"/>
      <c r="AL86" s="320">
        <v>126.75</v>
      </c>
      <c r="AM86" s="320">
        <f t="shared" si="42"/>
        <v>109.26724137931035</v>
      </c>
      <c r="AN86" s="321" t="e">
        <f t="shared" ca="1" si="43"/>
        <v>#VALUE!</v>
      </c>
      <c r="AO86" s="321" t="e">
        <f t="shared" ca="1" si="44"/>
        <v>#VALUE!</v>
      </c>
      <c r="AP86" s="317">
        <f t="shared" si="45"/>
        <v>0</v>
      </c>
      <c r="BA86" s="322">
        <v>1</v>
      </c>
      <c r="BB86" s="322">
        <v>1</v>
      </c>
      <c r="BC86" s="322">
        <v>1</v>
      </c>
      <c r="BD86" s="322">
        <v>1</v>
      </c>
      <c r="BE86" s="322">
        <v>1</v>
      </c>
      <c r="BF86" s="322"/>
      <c r="BG86" s="322"/>
      <c r="BH86" s="322"/>
      <c r="BI86" s="360"/>
      <c r="BJ86" s="322">
        <v>9</v>
      </c>
      <c r="BK86" s="385">
        <f t="shared" si="46"/>
        <v>5</v>
      </c>
      <c r="BL86" s="384">
        <f t="shared" si="47"/>
        <v>0.55555555555555558</v>
      </c>
      <c r="BM86" s="361"/>
      <c r="BN86" s="361"/>
      <c r="BO86" s="361"/>
      <c r="BP86" s="361"/>
      <c r="BQ86" s="361"/>
      <c r="BR86" s="362" t="str">
        <f t="shared" si="49"/>
        <v>En proceso de render para solicitar autorizacion final</v>
      </c>
      <c r="BS86" s="382">
        <f t="shared" si="50"/>
        <v>46308</v>
      </c>
      <c r="BT86" s="325" t="s">
        <v>211</v>
      </c>
    </row>
    <row r="87" spans="1:72" ht="62">
      <c r="A87" s="304">
        <v>79</v>
      </c>
      <c r="B87" s="305">
        <v>46248</v>
      </c>
      <c r="C87" s="305" t="s">
        <v>305</v>
      </c>
      <c r="D87" s="305" t="s">
        <v>163</v>
      </c>
      <c r="E87" s="306">
        <v>7502327991632</v>
      </c>
      <c r="F87" s="304" t="s">
        <v>544</v>
      </c>
      <c r="G87" s="307" t="s">
        <v>545</v>
      </c>
      <c r="H87" s="308" t="s">
        <v>60</v>
      </c>
      <c r="I87" s="304" t="s">
        <v>540</v>
      </c>
      <c r="J87" s="307" t="s">
        <v>277</v>
      </c>
      <c r="K87" s="307" t="s">
        <v>309</v>
      </c>
      <c r="L87" s="304">
        <v>1</v>
      </c>
      <c r="M87" s="330" t="s">
        <v>310</v>
      </c>
      <c r="N87" s="367" t="s">
        <v>546</v>
      </c>
      <c r="O87" s="304" t="s">
        <v>542</v>
      </c>
      <c r="P87" s="357" t="s">
        <v>543</v>
      </c>
      <c r="Q87" s="312" t="s">
        <v>314</v>
      </c>
      <c r="R87" s="312">
        <v>10000</v>
      </c>
      <c r="S87" s="313" t="e">
        <f ca="1">+P87*$T$25</f>
        <v>#VALUE!</v>
      </c>
      <c r="T87" s="313" t="e">
        <f t="shared" ca="1" si="48"/>
        <v>#VALUE!</v>
      </c>
      <c r="U87" s="313" t="e">
        <f ca="1">(S87+T87)*0.1726</f>
        <v>#VALUE!</v>
      </c>
      <c r="V87" s="314" t="e">
        <f t="shared" ca="1" si="36"/>
        <v>#VALUE!</v>
      </c>
      <c r="W87" s="331">
        <v>195</v>
      </c>
      <c r="X87" s="313">
        <f t="shared" si="37"/>
        <v>168.10344827586209</v>
      </c>
      <c r="Y87" s="313">
        <f t="shared" si="38"/>
        <v>100.86206896551725</v>
      </c>
      <c r="Z87" s="316" t="e">
        <f t="shared" ca="1" si="39"/>
        <v>#VALUE!</v>
      </c>
      <c r="AA87" s="316" t="e">
        <f t="shared" ca="1" si="40"/>
        <v>#VALUE!</v>
      </c>
      <c r="AB87" s="317">
        <f t="shared" si="41"/>
        <v>0.4</v>
      </c>
      <c r="AC87" s="318" t="s">
        <v>315</v>
      </c>
      <c r="AD87" s="304"/>
      <c r="AE87" s="307">
        <v>4</v>
      </c>
      <c r="AF87" s="307">
        <v>48</v>
      </c>
      <c r="AG87" s="324" t="s">
        <v>523</v>
      </c>
      <c r="AH87" s="363">
        <v>46308</v>
      </c>
      <c r="AI87" s="359"/>
      <c r="AJ87" s="359"/>
      <c r="AL87" s="320">
        <v>126.75</v>
      </c>
      <c r="AM87" s="320">
        <f t="shared" si="42"/>
        <v>109.26724137931035</v>
      </c>
      <c r="AN87" s="321">
        <f t="shared" si="43"/>
        <v>1.0208986755029585</v>
      </c>
      <c r="AO87" s="321">
        <f t="shared" si="44"/>
        <v>-2.0898675502958541E-2</v>
      </c>
      <c r="AP87" s="317">
        <f t="shared" si="45"/>
        <v>0</v>
      </c>
      <c r="BA87" s="322">
        <v>1</v>
      </c>
      <c r="BB87" s="322">
        <v>1</v>
      </c>
      <c r="BC87" s="322">
        <v>1</v>
      </c>
      <c r="BD87" s="322">
        <v>1</v>
      </c>
      <c r="BE87" s="322">
        <v>1</v>
      </c>
      <c r="BF87" s="322"/>
      <c r="BG87" s="322"/>
      <c r="BH87" s="322"/>
      <c r="BI87" s="360"/>
      <c r="BJ87" s="322">
        <v>9</v>
      </c>
      <c r="BK87" s="385">
        <f t="shared" si="46"/>
        <v>5</v>
      </c>
      <c r="BL87" s="384">
        <f t="shared" si="47"/>
        <v>0.55555555555555558</v>
      </c>
      <c r="BM87" s="361"/>
      <c r="BN87" s="361"/>
      <c r="BO87" s="361"/>
      <c r="BP87" s="361"/>
      <c r="BQ87" s="361"/>
      <c r="BR87" s="362" t="str">
        <f t="shared" si="49"/>
        <v>En proceso de render para solicitar autorizacion final</v>
      </c>
      <c r="BS87" s="382">
        <f t="shared" si="50"/>
        <v>46308</v>
      </c>
      <c r="BT87" s="325" t="s">
        <v>211</v>
      </c>
    </row>
    <row r="88" spans="1:72" ht="62">
      <c r="A88" s="304">
        <v>83</v>
      </c>
      <c r="B88" s="305">
        <v>46248</v>
      </c>
      <c r="C88" s="305" t="s">
        <v>305</v>
      </c>
      <c r="D88" s="305" t="s">
        <v>163</v>
      </c>
      <c r="E88" s="306">
        <v>7502327991670</v>
      </c>
      <c r="F88" s="304" t="s">
        <v>547</v>
      </c>
      <c r="G88" s="307" t="s">
        <v>548</v>
      </c>
      <c r="H88" s="308" t="s">
        <v>60</v>
      </c>
      <c r="I88" s="304">
        <v>1</v>
      </c>
      <c r="J88" s="307" t="s">
        <v>277</v>
      </c>
      <c r="K88" s="307" t="s">
        <v>309</v>
      </c>
      <c r="L88" s="304">
        <v>1</v>
      </c>
      <c r="M88" s="330" t="s">
        <v>310</v>
      </c>
      <c r="N88" s="304"/>
      <c r="O88" s="304" t="s">
        <v>549</v>
      </c>
      <c r="P88" s="357" t="s">
        <v>550</v>
      </c>
      <c r="Q88" s="312" t="s">
        <v>74</v>
      </c>
      <c r="R88" s="312">
        <v>10000</v>
      </c>
      <c r="S88" s="313">
        <f>+P88*18.5</f>
        <v>77.7</v>
      </c>
      <c r="T88" s="313">
        <f>+S88*0.15</f>
        <v>11.654999999999999</v>
      </c>
      <c r="U88" s="313">
        <f>(S88+T88)*0.2484</f>
        <v>22.195782000000001</v>
      </c>
      <c r="V88" s="314">
        <f t="shared" si="36"/>
        <v>111.550782</v>
      </c>
      <c r="W88" s="331">
        <v>149</v>
      </c>
      <c r="X88" s="313">
        <f t="shared" si="37"/>
        <v>128.44827586206898</v>
      </c>
      <c r="Y88" s="313">
        <f t="shared" si="38"/>
        <v>77.068965517241381</v>
      </c>
      <c r="Z88" s="316">
        <f t="shared" si="39"/>
        <v>1.4474150684563758</v>
      </c>
      <c r="AA88" s="316">
        <f t="shared" si="40"/>
        <v>-0.4474150684563758</v>
      </c>
      <c r="AB88" s="317">
        <f t="shared" si="41"/>
        <v>0.4</v>
      </c>
      <c r="AC88" s="318" t="s">
        <v>315</v>
      </c>
      <c r="AD88" s="304"/>
      <c r="AE88" s="307">
        <v>6</v>
      </c>
      <c r="AF88" s="307">
        <v>144</v>
      </c>
      <c r="AG88" s="324" t="s">
        <v>514</v>
      </c>
      <c r="AH88" s="363">
        <v>46308</v>
      </c>
      <c r="AI88" s="359"/>
      <c r="AJ88" s="359"/>
      <c r="AL88" s="320">
        <v>96.85</v>
      </c>
      <c r="AM88" s="320">
        <f t="shared" si="42"/>
        <v>83.491379310344826</v>
      </c>
      <c r="AN88" s="321" t="e">
        <f>+#REF!/AM88</f>
        <v>#REF!</v>
      </c>
      <c r="AO88" s="321" t="e">
        <f>1-#REF!/AM88</f>
        <v>#REF!</v>
      </c>
      <c r="AP88" s="317">
        <f t="shared" si="45"/>
        <v>0</v>
      </c>
      <c r="BA88" s="322">
        <v>1</v>
      </c>
      <c r="BB88" s="322">
        <v>1</v>
      </c>
      <c r="BC88" s="322">
        <v>1</v>
      </c>
      <c r="BD88" s="322">
        <v>1</v>
      </c>
      <c r="BE88" s="322"/>
      <c r="BF88" s="322"/>
      <c r="BG88" s="322"/>
      <c r="BH88" s="322"/>
      <c r="BI88" s="360"/>
      <c r="BJ88" s="322">
        <v>9</v>
      </c>
      <c r="BK88" s="385">
        <f t="shared" si="46"/>
        <v>4</v>
      </c>
      <c r="BL88" s="384">
        <f t="shared" si="47"/>
        <v>0.44444444444444442</v>
      </c>
      <c r="BM88" s="361"/>
      <c r="BN88" s="361"/>
      <c r="BO88" s="361"/>
      <c r="BP88" s="361"/>
      <c r="BQ88" s="361"/>
      <c r="BR88" s="362" t="str">
        <f t="shared" si="49"/>
        <v>En proceso de realizacion de dummy para autorizacion final</v>
      </c>
      <c r="BS88" s="382">
        <f t="shared" si="50"/>
        <v>46308</v>
      </c>
      <c r="BT88" s="325" t="s">
        <v>211</v>
      </c>
    </row>
    <row r="89" spans="1:72" ht="46.5">
      <c r="A89" s="304">
        <v>86</v>
      </c>
      <c r="B89" s="305">
        <v>46248</v>
      </c>
      <c r="C89" s="305" t="s">
        <v>305</v>
      </c>
      <c r="D89" s="305" t="s">
        <v>163</v>
      </c>
      <c r="E89" s="306">
        <v>7502327991700</v>
      </c>
      <c r="F89" s="304" t="s">
        <v>551</v>
      </c>
      <c r="G89" s="307" t="s">
        <v>552</v>
      </c>
      <c r="H89" s="308" t="s">
        <v>60</v>
      </c>
      <c r="I89" s="304" t="s">
        <v>553</v>
      </c>
      <c r="J89" s="307" t="s">
        <v>277</v>
      </c>
      <c r="K89" s="307" t="s">
        <v>309</v>
      </c>
      <c r="L89" s="304">
        <v>1</v>
      </c>
      <c r="M89" s="330" t="s">
        <v>554</v>
      </c>
      <c r="N89" s="367" t="s">
        <v>555</v>
      </c>
      <c r="O89" s="304" t="s">
        <v>556</v>
      </c>
      <c r="P89" s="357" t="s">
        <v>489</v>
      </c>
      <c r="Q89" s="312" t="s">
        <v>314</v>
      </c>
      <c r="R89" s="312">
        <v>10000</v>
      </c>
      <c r="S89" s="313" t="e">
        <f ca="1">+P89*$T$25</f>
        <v>#VALUE!</v>
      </c>
      <c r="T89" s="313" t="e">
        <f ca="1">+S89*0.15</f>
        <v>#VALUE!</v>
      </c>
      <c r="U89" s="313" t="e">
        <f ca="1">(S89+T89)*0.5213</f>
        <v>#VALUE!</v>
      </c>
      <c r="V89" s="314" t="e">
        <f t="shared" ca="1" si="36"/>
        <v>#VALUE!</v>
      </c>
      <c r="W89" s="331">
        <v>99</v>
      </c>
      <c r="X89" s="313">
        <f t="shared" si="37"/>
        <v>85.344827586206904</v>
      </c>
      <c r="Y89" s="313">
        <f t="shared" si="38"/>
        <v>51.206896551724142</v>
      </c>
      <c r="Z89" s="316" t="e">
        <f t="shared" ca="1" si="39"/>
        <v>#VALUE!</v>
      </c>
      <c r="AA89" s="316" t="e">
        <f t="shared" ca="1" si="40"/>
        <v>#VALUE!</v>
      </c>
      <c r="AB89" s="317">
        <f t="shared" si="41"/>
        <v>0.4</v>
      </c>
      <c r="AC89" s="318" t="s">
        <v>315</v>
      </c>
      <c r="AD89" s="304"/>
      <c r="AE89" s="307">
        <v>6</v>
      </c>
      <c r="AF89" s="307">
        <v>144</v>
      </c>
      <c r="AG89" s="324" t="s">
        <v>316</v>
      </c>
      <c r="AH89" s="363">
        <v>46308</v>
      </c>
      <c r="AI89" s="359"/>
      <c r="AJ89" s="359"/>
      <c r="AL89" s="320">
        <v>64.349999999999994</v>
      </c>
      <c r="AM89" s="320">
        <f t="shared" si="42"/>
        <v>55.474137931034484</v>
      </c>
      <c r="AN89" s="321">
        <f t="shared" si="43"/>
        <v>1.0635914491064491</v>
      </c>
      <c r="AO89" s="321">
        <f t="shared" si="44"/>
        <v>-6.3591449106449094E-2</v>
      </c>
      <c r="AP89" s="317">
        <f t="shared" si="45"/>
        <v>0</v>
      </c>
      <c r="BA89" s="322">
        <v>1</v>
      </c>
      <c r="BB89" s="322">
        <v>1</v>
      </c>
      <c r="BC89" s="322">
        <v>1</v>
      </c>
      <c r="BD89" s="322">
        <v>1</v>
      </c>
      <c r="BE89" s="322">
        <v>1</v>
      </c>
      <c r="BF89" s="322">
        <v>1</v>
      </c>
      <c r="BG89" s="322"/>
      <c r="BH89" s="322"/>
      <c r="BI89" s="360"/>
      <c r="BJ89" s="322">
        <v>9</v>
      </c>
      <c r="BK89" s="385">
        <f t="shared" si="46"/>
        <v>6</v>
      </c>
      <c r="BL89" s="384">
        <f t="shared" si="47"/>
        <v>0.66666666666666663</v>
      </c>
      <c r="BM89" s="361"/>
      <c r="BN89" s="361"/>
      <c r="BO89" s="361"/>
      <c r="BP89" s="361"/>
      <c r="BQ89" s="361"/>
      <c r="BR89" s="362" t="str">
        <f t="shared" si="49"/>
        <v>En revisión de dummy para autorización final</v>
      </c>
      <c r="BS89" s="382">
        <f t="shared" si="50"/>
        <v>46308</v>
      </c>
      <c r="BT89" s="325" t="s">
        <v>70</v>
      </c>
    </row>
    <row r="90" spans="1:72" ht="201.5">
      <c r="A90" s="304">
        <v>87</v>
      </c>
      <c r="B90" s="305">
        <v>46248</v>
      </c>
      <c r="C90" s="305" t="s">
        <v>305</v>
      </c>
      <c r="D90" s="305" t="s">
        <v>163</v>
      </c>
      <c r="E90" s="306">
        <v>7502327991717</v>
      </c>
      <c r="F90" s="304" t="s">
        <v>557</v>
      </c>
      <c r="G90" s="307" t="s">
        <v>558</v>
      </c>
      <c r="H90" s="308" t="s">
        <v>60</v>
      </c>
      <c r="I90" s="324" t="s">
        <v>559</v>
      </c>
      <c r="J90" s="307" t="s">
        <v>277</v>
      </c>
      <c r="K90" s="307" t="s">
        <v>309</v>
      </c>
      <c r="L90" s="304">
        <v>1</v>
      </c>
      <c r="M90" s="373" t="s">
        <v>560</v>
      </c>
      <c r="N90" s="311" t="s">
        <v>561</v>
      </c>
      <c r="O90" s="324" t="s">
        <v>312</v>
      </c>
      <c r="P90" s="374">
        <v>2.4500000000000002</v>
      </c>
      <c r="Q90" s="312" t="s">
        <v>74</v>
      </c>
      <c r="R90" s="375">
        <v>15000</v>
      </c>
      <c r="S90" s="313">
        <f>+P90*18.5</f>
        <v>45.325000000000003</v>
      </c>
      <c r="T90" s="313">
        <f>+S90*0.25</f>
        <v>11.331250000000001</v>
      </c>
      <c r="U90" s="313">
        <f>(S90+T90)*0.0414</f>
        <v>2.34556875</v>
      </c>
      <c r="V90" s="314">
        <f t="shared" si="36"/>
        <v>59.001818749999998</v>
      </c>
      <c r="W90" s="331">
        <v>389</v>
      </c>
      <c r="X90" s="313">
        <f t="shared" si="37"/>
        <v>335.34482758620692</v>
      </c>
      <c r="Y90" s="313">
        <f t="shared" si="38"/>
        <v>201.20689655172416</v>
      </c>
      <c r="Z90" s="316">
        <f t="shared" si="39"/>
        <v>0.29323954477292197</v>
      </c>
      <c r="AA90" s="316">
        <f t="shared" si="40"/>
        <v>0.70676045522707809</v>
      </c>
      <c r="AB90" s="317">
        <f t="shared" si="41"/>
        <v>0.4</v>
      </c>
      <c r="AC90" s="318" t="s">
        <v>315</v>
      </c>
      <c r="AD90" s="324"/>
      <c r="AE90" s="307">
        <v>6</v>
      </c>
      <c r="AF90" s="307">
        <v>72</v>
      </c>
      <c r="AG90" s="324" t="s">
        <v>316</v>
      </c>
      <c r="AH90" s="363">
        <v>46322</v>
      </c>
      <c r="AI90" s="376"/>
      <c r="AJ90" s="376"/>
      <c r="AL90" s="377">
        <v>252.85</v>
      </c>
      <c r="AM90" s="320">
        <f t="shared" si="42"/>
        <v>217.97413793103451</v>
      </c>
      <c r="AN90" s="321">
        <f t="shared" si="43"/>
        <v>0.27068265671346642</v>
      </c>
      <c r="AO90" s="321">
        <f t="shared" si="44"/>
        <v>0.72931734328653364</v>
      </c>
      <c r="AP90" s="317">
        <f t="shared" si="45"/>
        <v>0</v>
      </c>
      <c r="BA90" s="322">
        <v>1</v>
      </c>
      <c r="BB90" s="322">
        <v>1</v>
      </c>
      <c r="BC90" s="322">
        <v>1</v>
      </c>
      <c r="BD90" s="322">
        <v>1</v>
      </c>
      <c r="BE90" s="322"/>
      <c r="BF90" s="322"/>
      <c r="BG90" s="322"/>
      <c r="BH90" s="322"/>
      <c r="BI90" s="360"/>
      <c r="BJ90" s="322">
        <v>9</v>
      </c>
      <c r="BK90" s="385">
        <f t="shared" si="46"/>
        <v>4</v>
      </c>
      <c r="BL90" s="384">
        <f t="shared" si="47"/>
        <v>0.44444444444444442</v>
      </c>
      <c r="BM90" s="361"/>
      <c r="BN90" s="361"/>
      <c r="BO90" s="361"/>
      <c r="BP90" s="361"/>
      <c r="BQ90" s="361"/>
      <c r="BR90" s="362" t="str">
        <f t="shared" si="49"/>
        <v>En revisión de dummy para autorización final</v>
      </c>
      <c r="BS90" s="382">
        <f t="shared" si="50"/>
        <v>46322</v>
      </c>
      <c r="BT90" s="325" t="s">
        <v>211</v>
      </c>
    </row>
    <row r="91" spans="1:72" ht="77.5">
      <c r="A91" s="304">
        <v>88</v>
      </c>
      <c r="B91" s="305">
        <v>46248</v>
      </c>
      <c r="C91" s="305" t="s">
        <v>305</v>
      </c>
      <c r="D91" s="305" t="s">
        <v>163</v>
      </c>
      <c r="E91" s="306">
        <v>7502327991724</v>
      </c>
      <c r="F91" s="304" t="s">
        <v>562</v>
      </c>
      <c r="G91" s="307" t="s">
        <v>563</v>
      </c>
      <c r="H91" s="308" t="s">
        <v>60</v>
      </c>
      <c r="I91" s="324" t="s">
        <v>559</v>
      </c>
      <c r="J91" s="307" t="s">
        <v>277</v>
      </c>
      <c r="K91" s="307" t="s">
        <v>309</v>
      </c>
      <c r="L91" s="304">
        <v>1</v>
      </c>
      <c r="M91" s="373" t="s">
        <v>560</v>
      </c>
      <c r="N91" s="311" t="s">
        <v>564</v>
      </c>
      <c r="O91" s="324" t="s">
        <v>312</v>
      </c>
      <c r="P91" s="374">
        <v>2.4500000000000002</v>
      </c>
      <c r="Q91" s="312" t="s">
        <v>74</v>
      </c>
      <c r="R91" s="375">
        <v>15000</v>
      </c>
      <c r="S91" s="313">
        <f>+P91*18.5</f>
        <v>45.325000000000003</v>
      </c>
      <c r="T91" s="313">
        <f>+S91*0.25</f>
        <v>11.331250000000001</v>
      </c>
      <c r="U91" s="313">
        <f>(S91+T91)*0.0414</f>
        <v>2.34556875</v>
      </c>
      <c r="V91" s="314">
        <f t="shared" si="36"/>
        <v>59.001818749999998</v>
      </c>
      <c r="W91" s="331">
        <v>389</v>
      </c>
      <c r="X91" s="313">
        <f t="shared" si="37"/>
        <v>335.34482758620692</v>
      </c>
      <c r="Y91" s="313">
        <f t="shared" si="38"/>
        <v>201.20689655172416</v>
      </c>
      <c r="Z91" s="316">
        <f t="shared" si="39"/>
        <v>0.29323954477292197</v>
      </c>
      <c r="AA91" s="316">
        <f t="shared" si="40"/>
        <v>0.70676045522707809</v>
      </c>
      <c r="AB91" s="317">
        <f t="shared" si="41"/>
        <v>0.4</v>
      </c>
      <c r="AC91" s="318" t="s">
        <v>315</v>
      </c>
      <c r="AD91" s="324"/>
      <c r="AE91" s="307">
        <v>6</v>
      </c>
      <c r="AF91" s="307">
        <v>72</v>
      </c>
      <c r="AG91" s="324" t="s">
        <v>316</v>
      </c>
      <c r="AH91" s="363">
        <v>46322</v>
      </c>
      <c r="AI91" s="376"/>
      <c r="AJ91" s="376"/>
      <c r="AL91" s="377">
        <v>252.85</v>
      </c>
      <c r="AM91" s="320">
        <f t="shared" si="42"/>
        <v>217.97413793103451</v>
      </c>
      <c r="AN91" s="321">
        <f t="shared" si="43"/>
        <v>0.27068265671346642</v>
      </c>
      <c r="AO91" s="321">
        <f t="shared" si="44"/>
        <v>0.72931734328653364</v>
      </c>
      <c r="AP91" s="317">
        <f t="shared" si="45"/>
        <v>0</v>
      </c>
      <c r="BA91" s="322">
        <v>1</v>
      </c>
      <c r="BB91" s="322">
        <v>1</v>
      </c>
      <c r="BC91" s="322">
        <v>1</v>
      </c>
      <c r="BD91" s="322">
        <v>1</v>
      </c>
      <c r="BE91" s="322"/>
      <c r="BF91" s="322"/>
      <c r="BG91" s="322"/>
      <c r="BH91" s="322"/>
      <c r="BI91" s="360"/>
      <c r="BJ91" s="322">
        <v>9</v>
      </c>
      <c r="BK91" s="385">
        <f t="shared" si="46"/>
        <v>4</v>
      </c>
      <c r="BL91" s="384">
        <f t="shared" si="47"/>
        <v>0.44444444444444442</v>
      </c>
      <c r="BM91" s="361"/>
      <c r="BN91" s="361"/>
      <c r="BO91" s="361"/>
      <c r="BP91" s="361"/>
      <c r="BQ91" s="361"/>
      <c r="BR91" s="362" t="str">
        <f t="shared" si="49"/>
        <v>En revisión de dummy para autorización final</v>
      </c>
      <c r="BS91" s="382">
        <f t="shared" si="50"/>
        <v>46322</v>
      </c>
      <c r="BT91" s="325" t="s">
        <v>211</v>
      </c>
    </row>
    <row r="92" spans="1:72" ht="279">
      <c r="A92" s="304">
        <v>89</v>
      </c>
      <c r="B92" s="305">
        <v>46248</v>
      </c>
      <c r="C92" s="305" t="s">
        <v>305</v>
      </c>
      <c r="D92" s="305" t="s">
        <v>163</v>
      </c>
      <c r="E92" s="306">
        <v>7502327991731</v>
      </c>
      <c r="F92" s="304" t="s">
        <v>565</v>
      </c>
      <c r="G92" s="307" t="s">
        <v>566</v>
      </c>
      <c r="H92" s="308" t="s">
        <v>60</v>
      </c>
      <c r="I92" s="324" t="s">
        <v>559</v>
      </c>
      <c r="J92" s="307" t="s">
        <v>277</v>
      </c>
      <c r="K92" s="307" t="s">
        <v>309</v>
      </c>
      <c r="L92" s="304">
        <v>1</v>
      </c>
      <c r="M92" s="373" t="s">
        <v>560</v>
      </c>
      <c r="N92" s="311" t="s">
        <v>567</v>
      </c>
      <c r="O92" s="324" t="s">
        <v>312</v>
      </c>
      <c r="P92" s="374">
        <v>2.4500000000000002</v>
      </c>
      <c r="Q92" s="312" t="s">
        <v>74</v>
      </c>
      <c r="R92" s="375">
        <v>15000</v>
      </c>
      <c r="S92" s="313">
        <f>+P92*18.5</f>
        <v>45.325000000000003</v>
      </c>
      <c r="T92" s="313">
        <f>+S92*0.25</f>
        <v>11.331250000000001</v>
      </c>
      <c r="U92" s="313">
        <f>(S92+T92)*0.0414</f>
        <v>2.34556875</v>
      </c>
      <c r="V92" s="314">
        <f t="shared" si="36"/>
        <v>59.001818749999998</v>
      </c>
      <c r="W92" s="331">
        <v>389</v>
      </c>
      <c r="X92" s="313">
        <f t="shared" si="37"/>
        <v>335.34482758620692</v>
      </c>
      <c r="Y92" s="313">
        <f t="shared" si="38"/>
        <v>201.20689655172416</v>
      </c>
      <c r="Z92" s="316">
        <f t="shared" si="39"/>
        <v>0.29323954477292197</v>
      </c>
      <c r="AA92" s="316">
        <f t="shared" si="40"/>
        <v>0.70676045522707809</v>
      </c>
      <c r="AB92" s="317">
        <f t="shared" si="41"/>
        <v>0.4</v>
      </c>
      <c r="AC92" s="318" t="s">
        <v>315</v>
      </c>
      <c r="AD92" s="324"/>
      <c r="AE92" s="307">
        <v>6</v>
      </c>
      <c r="AF92" s="307">
        <v>72</v>
      </c>
      <c r="AG92" s="324" t="s">
        <v>568</v>
      </c>
      <c r="AH92" s="324"/>
      <c r="AI92" s="376"/>
      <c r="AJ92" s="376"/>
      <c r="AL92" s="377">
        <v>252.85</v>
      </c>
      <c r="AM92" s="320">
        <f t="shared" si="42"/>
        <v>217.97413793103451</v>
      </c>
      <c r="AN92" s="321" t="e">
        <f>+#REF!/AM92</f>
        <v>#REF!</v>
      </c>
      <c r="AO92" s="321" t="e">
        <f>1-#REF!/AM92</f>
        <v>#REF!</v>
      </c>
      <c r="AP92" s="317">
        <f t="shared" si="45"/>
        <v>0</v>
      </c>
      <c r="BA92" s="322">
        <v>1</v>
      </c>
      <c r="BB92" s="322">
        <v>1</v>
      </c>
      <c r="BC92" s="322">
        <v>1</v>
      </c>
      <c r="BD92" s="322">
        <v>1</v>
      </c>
      <c r="BE92" s="322"/>
      <c r="BF92" s="322"/>
      <c r="BG92" s="322"/>
      <c r="BH92" s="322"/>
      <c r="BI92" s="360"/>
      <c r="BJ92" s="322">
        <v>9</v>
      </c>
      <c r="BK92" s="385">
        <f t="shared" si="46"/>
        <v>4</v>
      </c>
      <c r="BL92" s="384">
        <f t="shared" si="47"/>
        <v>0.44444444444444442</v>
      </c>
      <c r="BM92" s="361"/>
      <c r="BN92" s="361"/>
      <c r="BO92" s="361"/>
      <c r="BP92" s="361"/>
      <c r="BQ92" s="361"/>
      <c r="BR92" s="362" t="str">
        <f t="shared" si="49"/>
        <v>Cancelado</v>
      </c>
      <c r="BS92" s="382">
        <f t="shared" si="50"/>
        <v>0</v>
      </c>
      <c r="BT92" s="325"/>
    </row>
    <row r="93" spans="1:72" ht="279">
      <c r="A93" s="304">
        <v>91</v>
      </c>
      <c r="B93" s="305">
        <v>46248</v>
      </c>
      <c r="C93" s="305" t="s">
        <v>305</v>
      </c>
      <c r="D93" s="305" t="s">
        <v>163</v>
      </c>
      <c r="E93" s="306">
        <v>7502327991755</v>
      </c>
      <c r="F93" s="304" t="s">
        <v>569</v>
      </c>
      <c r="G93" s="324" t="s">
        <v>570</v>
      </c>
      <c r="H93" s="371" t="s">
        <v>60</v>
      </c>
      <c r="I93" s="324" t="s">
        <v>571</v>
      </c>
      <c r="J93" s="307" t="s">
        <v>277</v>
      </c>
      <c r="K93" s="307" t="s">
        <v>309</v>
      </c>
      <c r="L93" s="304">
        <v>1</v>
      </c>
      <c r="M93" s="373" t="s">
        <v>404</v>
      </c>
      <c r="N93" s="311" t="s">
        <v>567</v>
      </c>
      <c r="O93" s="324" t="s">
        <v>312</v>
      </c>
      <c r="P93" s="374">
        <v>3.2</v>
      </c>
      <c r="Q93" s="312" t="s">
        <v>314</v>
      </c>
      <c r="R93" s="375">
        <v>10000</v>
      </c>
      <c r="S93" s="313" t="e">
        <f t="shared" ref="S93:S101" ca="1" si="52">+P93*$T$25</f>
        <v>#VALUE!</v>
      </c>
      <c r="T93" s="313" t="e">
        <f t="shared" ref="T93:T101" ca="1" si="53">+S93*0.36</f>
        <v>#VALUE!</v>
      </c>
      <c r="U93" s="313" t="e">
        <f ca="1">(S93+T93)*0.0586</f>
        <v>#VALUE!</v>
      </c>
      <c r="V93" s="314" t="e">
        <f t="shared" ca="1" si="36"/>
        <v>#VALUE!</v>
      </c>
      <c r="W93" s="331">
        <v>229</v>
      </c>
      <c r="X93" s="313">
        <f t="shared" si="37"/>
        <v>197.41379310344828</v>
      </c>
      <c r="Y93" s="313">
        <f t="shared" si="38"/>
        <v>118.44827586206897</v>
      </c>
      <c r="Z93" s="316" t="e">
        <f t="shared" ca="1" si="39"/>
        <v>#VALUE!</v>
      </c>
      <c r="AA93" s="316" t="e">
        <f t="shared" ca="1" si="40"/>
        <v>#VALUE!</v>
      </c>
      <c r="AB93" s="317">
        <f t="shared" si="41"/>
        <v>0.4</v>
      </c>
      <c r="AC93" s="318" t="s">
        <v>315</v>
      </c>
      <c r="AD93" s="324"/>
      <c r="AE93" s="307">
        <v>6</v>
      </c>
      <c r="AF93" s="307">
        <v>144</v>
      </c>
      <c r="AG93" s="324" t="s">
        <v>316</v>
      </c>
      <c r="AH93" s="363">
        <v>46322</v>
      </c>
      <c r="AI93" s="376"/>
      <c r="AJ93" s="376"/>
      <c r="AL93" s="377">
        <v>148.85</v>
      </c>
      <c r="AM93" s="320">
        <f t="shared" si="42"/>
        <v>128.31896551724139</v>
      </c>
      <c r="AN93" s="321" t="e">
        <f t="shared" ca="1" si="43"/>
        <v>#VALUE!</v>
      </c>
      <c r="AO93" s="321" t="e">
        <f t="shared" ca="1" si="44"/>
        <v>#VALUE!</v>
      </c>
      <c r="AP93" s="317">
        <f t="shared" si="45"/>
        <v>0</v>
      </c>
      <c r="BA93" s="322">
        <v>1</v>
      </c>
      <c r="BB93" s="322">
        <v>1</v>
      </c>
      <c r="BC93" s="322">
        <v>1</v>
      </c>
      <c r="BD93" s="322">
        <v>1</v>
      </c>
      <c r="BE93" s="322">
        <v>1</v>
      </c>
      <c r="BF93" s="322"/>
      <c r="BG93" s="322"/>
      <c r="BH93" s="322"/>
      <c r="BI93" s="360"/>
      <c r="BJ93" s="322">
        <v>9</v>
      </c>
      <c r="BK93" s="385">
        <f t="shared" si="46"/>
        <v>5</v>
      </c>
      <c r="BL93" s="384">
        <f t="shared" si="47"/>
        <v>0.55555555555555558</v>
      </c>
      <c r="BM93" s="361"/>
      <c r="BN93" s="361"/>
      <c r="BO93" s="361"/>
      <c r="BP93" s="361"/>
      <c r="BQ93" s="361"/>
      <c r="BR93" s="362" t="s">
        <v>501</v>
      </c>
      <c r="BS93" s="382">
        <f t="shared" si="50"/>
        <v>46322</v>
      </c>
      <c r="BT93" s="325" t="s">
        <v>70</v>
      </c>
    </row>
    <row r="94" spans="1:72" ht="279">
      <c r="A94" s="304">
        <v>92</v>
      </c>
      <c r="B94" s="305">
        <v>46248</v>
      </c>
      <c r="C94" s="305" t="s">
        <v>305</v>
      </c>
      <c r="D94" s="305" t="s">
        <v>163</v>
      </c>
      <c r="E94" s="306">
        <v>7502327991762</v>
      </c>
      <c r="F94" s="304" t="s">
        <v>572</v>
      </c>
      <c r="G94" s="324" t="s">
        <v>573</v>
      </c>
      <c r="H94" s="371" t="s">
        <v>60</v>
      </c>
      <c r="I94" s="324" t="s">
        <v>574</v>
      </c>
      <c r="J94" s="307" t="s">
        <v>277</v>
      </c>
      <c r="K94" s="307" t="s">
        <v>309</v>
      </c>
      <c r="L94" s="304">
        <v>1</v>
      </c>
      <c r="M94" s="373" t="s">
        <v>404</v>
      </c>
      <c r="N94" s="311" t="s">
        <v>567</v>
      </c>
      <c r="O94" s="324" t="s">
        <v>312</v>
      </c>
      <c r="P94" s="374">
        <v>3.2</v>
      </c>
      <c r="Q94" s="312" t="s">
        <v>314</v>
      </c>
      <c r="R94" s="375">
        <v>10000</v>
      </c>
      <c r="S94" s="313" t="e">
        <f t="shared" ca="1" si="52"/>
        <v>#VALUE!</v>
      </c>
      <c r="T94" s="313" t="e">
        <f t="shared" ca="1" si="53"/>
        <v>#VALUE!</v>
      </c>
      <c r="U94" s="313" t="e">
        <f ca="1">(S94+T94)*0.0586</f>
        <v>#VALUE!</v>
      </c>
      <c r="V94" s="314" t="e">
        <f t="shared" ca="1" si="36"/>
        <v>#VALUE!</v>
      </c>
      <c r="W94" s="331">
        <v>229</v>
      </c>
      <c r="X94" s="313">
        <f t="shared" si="37"/>
        <v>197.41379310344828</v>
      </c>
      <c r="Y94" s="313">
        <f t="shared" si="38"/>
        <v>118.44827586206897</v>
      </c>
      <c r="Z94" s="316" t="e">
        <f t="shared" ca="1" si="39"/>
        <v>#VALUE!</v>
      </c>
      <c r="AA94" s="316" t="e">
        <f t="shared" ca="1" si="40"/>
        <v>#VALUE!</v>
      </c>
      <c r="AB94" s="317">
        <f t="shared" si="41"/>
        <v>0.4</v>
      </c>
      <c r="AC94" s="318" t="s">
        <v>315</v>
      </c>
      <c r="AD94" s="324"/>
      <c r="AE94" s="307">
        <v>6</v>
      </c>
      <c r="AF94" s="307">
        <v>144</v>
      </c>
      <c r="AG94" s="324" t="s">
        <v>316</v>
      </c>
      <c r="AH94" s="363">
        <v>46322</v>
      </c>
      <c r="AI94" s="376"/>
      <c r="AJ94" s="376"/>
      <c r="AL94" s="377">
        <v>148.85</v>
      </c>
      <c r="AM94" s="320">
        <f t="shared" si="42"/>
        <v>128.31896551724139</v>
      </c>
      <c r="AN94" s="321" t="e">
        <f t="shared" ca="1" si="43"/>
        <v>#VALUE!</v>
      </c>
      <c r="AO94" s="321" t="e">
        <f t="shared" ca="1" si="44"/>
        <v>#VALUE!</v>
      </c>
      <c r="AP94" s="317">
        <f t="shared" si="45"/>
        <v>0</v>
      </c>
      <c r="BA94" s="322">
        <v>1</v>
      </c>
      <c r="BB94" s="322">
        <v>1</v>
      </c>
      <c r="BC94" s="322">
        <v>1</v>
      </c>
      <c r="BD94" s="322">
        <v>1</v>
      </c>
      <c r="BE94" s="322">
        <v>1</v>
      </c>
      <c r="BF94" s="322"/>
      <c r="BG94" s="322"/>
      <c r="BH94" s="322"/>
      <c r="BI94" s="360"/>
      <c r="BJ94" s="322">
        <v>9</v>
      </c>
      <c r="BK94" s="385">
        <f t="shared" si="46"/>
        <v>5</v>
      </c>
      <c r="BL94" s="384">
        <f t="shared" si="47"/>
        <v>0.55555555555555558</v>
      </c>
      <c r="BM94" s="361"/>
      <c r="BN94" s="361"/>
      <c r="BO94" s="361"/>
      <c r="BP94" s="361"/>
      <c r="BQ94" s="361"/>
      <c r="BR94" s="362" t="s">
        <v>501</v>
      </c>
      <c r="BS94" s="382">
        <f t="shared" si="50"/>
        <v>46322</v>
      </c>
      <c r="BT94" s="325" t="s">
        <v>70</v>
      </c>
    </row>
    <row r="95" spans="1:72" ht="279">
      <c r="A95" s="304">
        <v>93</v>
      </c>
      <c r="B95" s="305">
        <v>46248</v>
      </c>
      <c r="C95" s="305" t="s">
        <v>305</v>
      </c>
      <c r="D95" s="305" t="s">
        <v>163</v>
      </c>
      <c r="E95" s="306">
        <v>7502327991779</v>
      </c>
      <c r="F95" s="304" t="s">
        <v>575</v>
      </c>
      <c r="G95" s="324" t="s">
        <v>576</v>
      </c>
      <c r="H95" s="371" t="s">
        <v>60</v>
      </c>
      <c r="I95" s="324" t="s">
        <v>574</v>
      </c>
      <c r="J95" s="307" t="s">
        <v>277</v>
      </c>
      <c r="K95" s="307" t="s">
        <v>309</v>
      </c>
      <c r="L95" s="304">
        <v>1</v>
      </c>
      <c r="M95" s="373" t="s">
        <v>404</v>
      </c>
      <c r="N95" s="311" t="s">
        <v>567</v>
      </c>
      <c r="O95" s="324" t="s">
        <v>312</v>
      </c>
      <c r="P95" s="374">
        <v>3.2</v>
      </c>
      <c r="Q95" s="312" t="s">
        <v>314</v>
      </c>
      <c r="R95" s="375">
        <v>10000</v>
      </c>
      <c r="S95" s="313" t="e">
        <f t="shared" ca="1" si="52"/>
        <v>#VALUE!</v>
      </c>
      <c r="T95" s="313" t="e">
        <f t="shared" ca="1" si="53"/>
        <v>#VALUE!</v>
      </c>
      <c r="U95" s="313" t="e">
        <f ca="1">(S95+T95)*0.0586</f>
        <v>#VALUE!</v>
      </c>
      <c r="V95" s="314" t="e">
        <f t="shared" ca="1" si="36"/>
        <v>#VALUE!</v>
      </c>
      <c r="W95" s="331">
        <v>229</v>
      </c>
      <c r="X95" s="313">
        <f t="shared" si="37"/>
        <v>197.41379310344828</v>
      </c>
      <c r="Y95" s="313">
        <f t="shared" si="38"/>
        <v>118.44827586206897</v>
      </c>
      <c r="Z95" s="316" t="e">
        <f t="shared" ca="1" si="39"/>
        <v>#VALUE!</v>
      </c>
      <c r="AA95" s="316" t="e">
        <f t="shared" ca="1" si="40"/>
        <v>#VALUE!</v>
      </c>
      <c r="AB95" s="317">
        <f t="shared" si="41"/>
        <v>0.4</v>
      </c>
      <c r="AC95" s="318" t="s">
        <v>315</v>
      </c>
      <c r="AD95" s="324"/>
      <c r="AE95" s="307">
        <v>6</v>
      </c>
      <c r="AF95" s="307">
        <v>144</v>
      </c>
      <c r="AG95" s="324" t="s">
        <v>316</v>
      </c>
      <c r="AH95" s="363">
        <v>46322</v>
      </c>
      <c r="AI95" s="376"/>
      <c r="AJ95" s="376"/>
      <c r="AL95" s="377">
        <v>148.85</v>
      </c>
      <c r="AM95" s="320">
        <f t="shared" si="42"/>
        <v>128.31896551724139</v>
      </c>
      <c r="AN95" s="321" t="e">
        <f t="shared" ca="1" si="43"/>
        <v>#VALUE!</v>
      </c>
      <c r="AO95" s="321" t="e">
        <f t="shared" ca="1" si="44"/>
        <v>#VALUE!</v>
      </c>
      <c r="AP95" s="317">
        <f t="shared" si="45"/>
        <v>0</v>
      </c>
      <c r="BA95" s="322">
        <v>1</v>
      </c>
      <c r="BB95" s="322">
        <v>1</v>
      </c>
      <c r="BC95" s="322">
        <v>1</v>
      </c>
      <c r="BD95" s="322">
        <v>1</v>
      </c>
      <c r="BE95" s="322">
        <v>1</v>
      </c>
      <c r="BF95" s="322"/>
      <c r="BG95" s="322"/>
      <c r="BH95" s="322"/>
      <c r="BI95" s="360"/>
      <c r="BJ95" s="322">
        <v>9</v>
      </c>
      <c r="BK95" s="385">
        <f t="shared" si="46"/>
        <v>5</v>
      </c>
      <c r="BL95" s="384">
        <f t="shared" si="47"/>
        <v>0.55555555555555558</v>
      </c>
      <c r="BM95" s="361"/>
      <c r="BN95" s="361"/>
      <c r="BO95" s="361"/>
      <c r="BP95" s="361"/>
      <c r="BQ95" s="361"/>
      <c r="BR95" s="362" t="s">
        <v>501</v>
      </c>
      <c r="BS95" s="382">
        <f t="shared" si="50"/>
        <v>46322</v>
      </c>
      <c r="BT95" s="325" t="s">
        <v>70</v>
      </c>
    </row>
    <row r="96" spans="1:72" ht="279">
      <c r="A96" s="304">
        <v>94</v>
      </c>
      <c r="B96" s="305">
        <v>46248</v>
      </c>
      <c r="C96" s="305" t="s">
        <v>305</v>
      </c>
      <c r="D96" s="305" t="s">
        <v>163</v>
      </c>
      <c r="E96" s="306">
        <v>7502327991786</v>
      </c>
      <c r="F96" s="304" t="s">
        <v>577</v>
      </c>
      <c r="G96" s="324" t="s">
        <v>578</v>
      </c>
      <c r="H96" s="371" t="s">
        <v>60</v>
      </c>
      <c r="I96" s="324" t="s">
        <v>579</v>
      </c>
      <c r="J96" s="307" t="s">
        <v>277</v>
      </c>
      <c r="K96" s="307" t="s">
        <v>309</v>
      </c>
      <c r="L96" s="304">
        <v>1</v>
      </c>
      <c r="M96" s="373" t="s">
        <v>404</v>
      </c>
      <c r="N96" s="311" t="s">
        <v>567</v>
      </c>
      <c r="O96" s="324" t="s">
        <v>312</v>
      </c>
      <c r="P96" s="374">
        <v>2.78</v>
      </c>
      <c r="Q96" s="312" t="s">
        <v>314</v>
      </c>
      <c r="R96" s="375">
        <v>10000</v>
      </c>
      <c r="S96" s="313" t="e">
        <f t="shared" ca="1" si="52"/>
        <v>#VALUE!</v>
      </c>
      <c r="T96" s="313" t="e">
        <f t="shared" ca="1" si="53"/>
        <v>#VALUE!</v>
      </c>
      <c r="U96" s="313" t="e">
        <f ca="1">(S96+T96)*0.0814</f>
        <v>#VALUE!</v>
      </c>
      <c r="V96" s="314" t="e">
        <f t="shared" ca="1" si="36"/>
        <v>#VALUE!</v>
      </c>
      <c r="W96" s="331">
        <v>169</v>
      </c>
      <c r="X96" s="313">
        <f t="shared" si="37"/>
        <v>145.68965517241381</v>
      </c>
      <c r="Y96" s="313">
        <f t="shared" si="38"/>
        <v>87.413793103448285</v>
      </c>
      <c r="Z96" s="316" t="e">
        <f t="shared" ca="1" si="39"/>
        <v>#VALUE!</v>
      </c>
      <c r="AA96" s="316" t="e">
        <f t="shared" ca="1" si="40"/>
        <v>#VALUE!</v>
      </c>
      <c r="AB96" s="317">
        <f t="shared" si="41"/>
        <v>0.4</v>
      </c>
      <c r="AC96" s="318" t="s">
        <v>315</v>
      </c>
      <c r="AD96" s="324"/>
      <c r="AE96" s="307">
        <v>6</v>
      </c>
      <c r="AF96" s="307">
        <v>144</v>
      </c>
      <c r="AG96" s="324" t="s">
        <v>316</v>
      </c>
      <c r="AH96" s="363">
        <v>46322</v>
      </c>
      <c r="AI96" s="376"/>
      <c r="AJ96" s="376"/>
      <c r="AL96" s="377">
        <v>109.85</v>
      </c>
      <c r="AM96" s="320">
        <f t="shared" si="42"/>
        <v>94.698275862068968</v>
      </c>
      <c r="AN96" s="321" t="e">
        <f t="shared" ca="1" si="43"/>
        <v>#VALUE!</v>
      </c>
      <c r="AO96" s="321" t="e">
        <f t="shared" ca="1" si="44"/>
        <v>#VALUE!</v>
      </c>
      <c r="AP96" s="317">
        <f t="shared" si="45"/>
        <v>0</v>
      </c>
      <c r="BA96" s="322">
        <v>1</v>
      </c>
      <c r="BB96" s="322">
        <v>1</v>
      </c>
      <c r="BC96" s="322">
        <v>1</v>
      </c>
      <c r="BD96" s="322">
        <v>1</v>
      </c>
      <c r="BE96" s="322"/>
      <c r="BF96" s="322"/>
      <c r="BG96" s="322"/>
      <c r="BH96" s="322"/>
      <c r="BI96" s="360"/>
      <c r="BJ96" s="322">
        <v>9</v>
      </c>
      <c r="BK96" s="385">
        <f t="shared" si="46"/>
        <v>4</v>
      </c>
      <c r="BL96" s="384">
        <f t="shared" si="47"/>
        <v>0.44444444444444442</v>
      </c>
      <c r="BM96" s="361"/>
      <c r="BN96" s="361"/>
      <c r="BO96" s="361"/>
      <c r="BP96" s="361"/>
      <c r="BQ96" s="361"/>
      <c r="BR96" s="362" t="str">
        <f t="shared" si="49"/>
        <v>En revisión de dummy para autorización final</v>
      </c>
      <c r="BS96" s="382">
        <f t="shared" si="50"/>
        <v>46322</v>
      </c>
      <c r="BT96" s="325" t="s">
        <v>211</v>
      </c>
    </row>
    <row r="97" spans="1:72" ht="279">
      <c r="A97" s="304">
        <v>95</v>
      </c>
      <c r="B97" s="305">
        <v>46248</v>
      </c>
      <c r="C97" s="305" t="s">
        <v>305</v>
      </c>
      <c r="D97" s="305" t="s">
        <v>163</v>
      </c>
      <c r="E97" s="306">
        <v>7502327991793</v>
      </c>
      <c r="F97" s="304" t="s">
        <v>580</v>
      </c>
      <c r="G97" s="324" t="s">
        <v>581</v>
      </c>
      <c r="H97" s="371" t="s">
        <v>60</v>
      </c>
      <c r="I97" s="324" t="s">
        <v>579</v>
      </c>
      <c r="J97" s="307" t="s">
        <v>277</v>
      </c>
      <c r="K97" s="307" t="s">
        <v>309</v>
      </c>
      <c r="L97" s="304">
        <v>1</v>
      </c>
      <c r="M97" s="373" t="s">
        <v>404</v>
      </c>
      <c r="N97" s="311" t="s">
        <v>567</v>
      </c>
      <c r="O97" s="324" t="s">
        <v>312</v>
      </c>
      <c r="P97" s="374">
        <v>2.78</v>
      </c>
      <c r="Q97" s="312" t="s">
        <v>314</v>
      </c>
      <c r="R97" s="375">
        <v>10000</v>
      </c>
      <c r="S97" s="313" t="e">
        <f t="shared" ca="1" si="52"/>
        <v>#VALUE!</v>
      </c>
      <c r="T97" s="313" t="e">
        <f t="shared" ca="1" si="53"/>
        <v>#VALUE!</v>
      </c>
      <c r="U97" s="313" t="e">
        <f ca="1">(S97+T97)*0.0814</f>
        <v>#VALUE!</v>
      </c>
      <c r="V97" s="314" t="e">
        <f t="shared" ca="1" si="36"/>
        <v>#VALUE!</v>
      </c>
      <c r="W97" s="331">
        <v>169</v>
      </c>
      <c r="X97" s="313">
        <f t="shared" si="37"/>
        <v>145.68965517241381</v>
      </c>
      <c r="Y97" s="313">
        <f t="shared" si="38"/>
        <v>87.413793103448285</v>
      </c>
      <c r="Z97" s="316" t="e">
        <f t="shared" ca="1" si="39"/>
        <v>#VALUE!</v>
      </c>
      <c r="AA97" s="316" t="e">
        <f t="shared" ca="1" si="40"/>
        <v>#VALUE!</v>
      </c>
      <c r="AB97" s="317">
        <f t="shared" si="41"/>
        <v>0.4</v>
      </c>
      <c r="AC97" s="318" t="s">
        <v>315</v>
      </c>
      <c r="AD97" s="324"/>
      <c r="AE97" s="307">
        <v>6</v>
      </c>
      <c r="AF97" s="307">
        <v>144</v>
      </c>
      <c r="AG97" s="324" t="s">
        <v>316</v>
      </c>
      <c r="AH97" s="363">
        <v>46322</v>
      </c>
      <c r="AI97" s="376"/>
      <c r="AJ97" s="376"/>
      <c r="AL97" s="377">
        <v>109.85</v>
      </c>
      <c r="AM97" s="320">
        <f t="shared" si="42"/>
        <v>94.698275862068968</v>
      </c>
      <c r="AN97" s="321" t="e">
        <f t="shared" ca="1" si="43"/>
        <v>#VALUE!</v>
      </c>
      <c r="AO97" s="321" t="e">
        <f t="shared" ca="1" si="44"/>
        <v>#VALUE!</v>
      </c>
      <c r="AP97" s="317">
        <f t="shared" si="45"/>
        <v>0</v>
      </c>
      <c r="BA97" s="322">
        <v>1</v>
      </c>
      <c r="BB97" s="322">
        <v>1</v>
      </c>
      <c r="BC97" s="322">
        <v>1</v>
      </c>
      <c r="BD97" s="322">
        <v>1</v>
      </c>
      <c r="BE97" s="322"/>
      <c r="BF97" s="322"/>
      <c r="BG97" s="322"/>
      <c r="BH97" s="322"/>
      <c r="BI97" s="360"/>
      <c r="BJ97" s="322">
        <v>9</v>
      </c>
      <c r="BK97" s="385">
        <f t="shared" si="46"/>
        <v>4</v>
      </c>
      <c r="BL97" s="384">
        <f t="shared" si="47"/>
        <v>0.44444444444444442</v>
      </c>
      <c r="BM97" s="361"/>
      <c r="BN97" s="361"/>
      <c r="BO97" s="361"/>
      <c r="BP97" s="361"/>
      <c r="BQ97" s="361"/>
      <c r="BR97" s="362" t="str">
        <f t="shared" si="49"/>
        <v>En revisión de dummy para autorización final</v>
      </c>
      <c r="BS97" s="382">
        <f t="shared" si="50"/>
        <v>46322</v>
      </c>
      <c r="BT97" s="325" t="s">
        <v>211</v>
      </c>
    </row>
    <row r="98" spans="1:72" ht="279">
      <c r="A98" s="304">
        <v>96</v>
      </c>
      <c r="B98" s="305">
        <v>46248</v>
      </c>
      <c r="C98" s="305" t="s">
        <v>305</v>
      </c>
      <c r="D98" s="305" t="s">
        <v>163</v>
      </c>
      <c r="E98" s="306">
        <v>7502327991809</v>
      </c>
      <c r="F98" s="304" t="s">
        <v>582</v>
      </c>
      <c r="G98" s="324" t="s">
        <v>583</v>
      </c>
      <c r="H98" s="371" t="s">
        <v>60</v>
      </c>
      <c r="I98" s="324" t="s">
        <v>579</v>
      </c>
      <c r="J98" s="307" t="s">
        <v>277</v>
      </c>
      <c r="K98" s="307" t="s">
        <v>309</v>
      </c>
      <c r="L98" s="304">
        <v>1</v>
      </c>
      <c r="M98" s="373" t="s">
        <v>404</v>
      </c>
      <c r="N98" s="311" t="s">
        <v>567</v>
      </c>
      <c r="O98" s="324" t="s">
        <v>312</v>
      </c>
      <c r="P98" s="374">
        <v>2.78</v>
      </c>
      <c r="Q98" s="312" t="s">
        <v>314</v>
      </c>
      <c r="R98" s="375">
        <v>10000</v>
      </c>
      <c r="S98" s="313" t="e">
        <f t="shared" ca="1" si="52"/>
        <v>#VALUE!</v>
      </c>
      <c r="T98" s="313" t="e">
        <f t="shared" ca="1" si="53"/>
        <v>#VALUE!</v>
      </c>
      <c r="U98" s="313" t="e">
        <f ca="1">(S98+T98)*0.0814</f>
        <v>#VALUE!</v>
      </c>
      <c r="V98" s="314" t="e">
        <f t="shared" ca="1" si="36"/>
        <v>#VALUE!</v>
      </c>
      <c r="W98" s="331">
        <v>169</v>
      </c>
      <c r="X98" s="313">
        <f t="shared" si="37"/>
        <v>145.68965517241381</v>
      </c>
      <c r="Y98" s="313">
        <f t="shared" si="38"/>
        <v>87.413793103448285</v>
      </c>
      <c r="Z98" s="316" t="e">
        <f t="shared" ca="1" si="39"/>
        <v>#VALUE!</v>
      </c>
      <c r="AA98" s="316" t="e">
        <f t="shared" ca="1" si="40"/>
        <v>#VALUE!</v>
      </c>
      <c r="AB98" s="317">
        <f t="shared" si="41"/>
        <v>0.4</v>
      </c>
      <c r="AC98" s="318" t="s">
        <v>315</v>
      </c>
      <c r="AD98" s="324"/>
      <c r="AE98" s="307">
        <v>6</v>
      </c>
      <c r="AF98" s="307">
        <v>144</v>
      </c>
      <c r="AG98" s="324" t="s">
        <v>316</v>
      </c>
      <c r="AH98" s="363">
        <v>46322</v>
      </c>
      <c r="AI98" s="376"/>
      <c r="AJ98" s="376"/>
      <c r="AL98" s="377">
        <v>109.85</v>
      </c>
      <c r="AM98" s="320">
        <f t="shared" si="42"/>
        <v>94.698275862068968</v>
      </c>
      <c r="AN98" s="321" t="e">
        <f t="shared" ca="1" si="43"/>
        <v>#VALUE!</v>
      </c>
      <c r="AO98" s="321" t="e">
        <f t="shared" ca="1" si="44"/>
        <v>#VALUE!</v>
      </c>
      <c r="AP98" s="317">
        <f t="shared" si="45"/>
        <v>0</v>
      </c>
      <c r="BA98" s="322">
        <v>1</v>
      </c>
      <c r="BB98" s="322">
        <v>1</v>
      </c>
      <c r="BC98" s="322">
        <v>1</v>
      </c>
      <c r="BD98" s="322">
        <v>1</v>
      </c>
      <c r="BE98" s="322"/>
      <c r="BF98" s="322"/>
      <c r="BG98" s="322"/>
      <c r="BH98" s="322"/>
      <c r="BI98" s="360"/>
      <c r="BJ98" s="322">
        <v>9</v>
      </c>
      <c r="BK98" s="385">
        <f t="shared" si="46"/>
        <v>4</v>
      </c>
      <c r="BL98" s="384">
        <f t="shared" si="47"/>
        <v>0.44444444444444442</v>
      </c>
      <c r="BM98" s="361"/>
      <c r="BN98" s="361"/>
      <c r="BO98" s="361"/>
      <c r="BP98" s="361"/>
      <c r="BQ98" s="361"/>
      <c r="BR98" s="362" t="str">
        <f t="shared" si="49"/>
        <v>En revisión de dummy para autorización final</v>
      </c>
      <c r="BS98" s="382">
        <f t="shared" si="50"/>
        <v>46322</v>
      </c>
      <c r="BT98" s="325" t="s">
        <v>211</v>
      </c>
    </row>
    <row r="99" spans="1:72" ht="62">
      <c r="A99" s="304">
        <v>97</v>
      </c>
      <c r="B99" s="305">
        <v>46248</v>
      </c>
      <c r="C99" s="305" t="s">
        <v>305</v>
      </c>
      <c r="D99" s="305" t="s">
        <v>163</v>
      </c>
      <c r="E99" s="378">
        <v>7502327992608</v>
      </c>
      <c r="F99" s="304" t="s">
        <v>584</v>
      </c>
      <c r="G99" s="307" t="s">
        <v>585</v>
      </c>
      <c r="H99" s="371" t="s">
        <v>60</v>
      </c>
      <c r="I99" s="369" t="s">
        <v>428</v>
      </c>
      <c r="J99" s="307" t="s">
        <v>277</v>
      </c>
      <c r="K99" s="307" t="s">
        <v>309</v>
      </c>
      <c r="L99" s="304">
        <v>1</v>
      </c>
      <c r="M99" s="330" t="s">
        <v>404</v>
      </c>
      <c r="N99" s="370" t="s">
        <v>429</v>
      </c>
      <c r="O99" s="324" t="s">
        <v>312</v>
      </c>
      <c r="P99" s="357">
        <v>6.8</v>
      </c>
      <c r="Q99" s="312" t="s">
        <v>314</v>
      </c>
      <c r="R99" s="375">
        <v>10000</v>
      </c>
      <c r="S99" s="313" t="e">
        <f t="shared" ca="1" si="52"/>
        <v>#VALUE!</v>
      </c>
      <c r="T99" s="313" t="e">
        <f t="shared" ca="1" si="53"/>
        <v>#VALUE!</v>
      </c>
      <c r="U99" s="313" t="e">
        <f t="shared" ref="U99:U107" ca="1" si="54">(S99+T99)*0.0586</f>
        <v>#VALUE!</v>
      </c>
      <c r="V99" s="314" t="e">
        <f t="shared" ca="1" si="36"/>
        <v>#VALUE!</v>
      </c>
      <c r="W99" s="331">
        <v>179</v>
      </c>
      <c r="X99" s="313">
        <f t="shared" si="37"/>
        <v>154.31034482758622</v>
      </c>
      <c r="Y99" s="313">
        <f t="shared" si="38"/>
        <v>92.58620689655173</v>
      </c>
      <c r="Z99" s="316" t="e">
        <f t="shared" ca="1" si="39"/>
        <v>#VALUE!</v>
      </c>
      <c r="AA99" s="316" t="e">
        <f t="shared" ca="1" si="40"/>
        <v>#VALUE!</v>
      </c>
      <c r="AB99" s="317">
        <f t="shared" si="41"/>
        <v>0.4</v>
      </c>
      <c r="AC99" s="318" t="s">
        <v>315</v>
      </c>
      <c r="AD99" s="304"/>
      <c r="AE99" s="307">
        <v>6</v>
      </c>
      <c r="AF99" s="307">
        <v>144</v>
      </c>
      <c r="AG99" s="324" t="s">
        <v>514</v>
      </c>
      <c r="AH99" s="363">
        <v>46315</v>
      </c>
      <c r="AI99" s="359"/>
      <c r="AJ99" s="359"/>
      <c r="AL99" s="320">
        <v>116.35</v>
      </c>
      <c r="AM99" s="320">
        <f t="shared" si="42"/>
        <v>100.30172413793103</v>
      </c>
      <c r="AN99" s="321" t="e">
        <f t="shared" ca="1" si="43"/>
        <v>#VALUE!</v>
      </c>
      <c r="AO99" s="321" t="e">
        <f t="shared" ca="1" si="44"/>
        <v>#VALUE!</v>
      </c>
      <c r="AP99" s="317">
        <f t="shared" si="45"/>
        <v>0</v>
      </c>
      <c r="BA99" s="322">
        <v>1</v>
      </c>
      <c r="BB99" s="322">
        <v>1</v>
      </c>
      <c r="BC99" s="322">
        <v>1</v>
      </c>
      <c r="BD99" s="322">
        <v>1</v>
      </c>
      <c r="BE99" s="322"/>
      <c r="BF99" s="322"/>
      <c r="BG99" s="322"/>
      <c r="BH99" s="322"/>
      <c r="BI99" s="360"/>
      <c r="BJ99" s="322">
        <v>9</v>
      </c>
      <c r="BK99" s="385">
        <f t="shared" si="46"/>
        <v>4</v>
      </c>
      <c r="BL99" s="384">
        <f t="shared" si="47"/>
        <v>0.44444444444444442</v>
      </c>
      <c r="BM99" s="361"/>
      <c r="BN99" s="361"/>
      <c r="BO99" s="361"/>
      <c r="BP99" s="361"/>
      <c r="BQ99" s="361"/>
      <c r="BR99" s="362" t="str">
        <f t="shared" si="49"/>
        <v>En proceso de realizacion de dummy para autorizacion final</v>
      </c>
      <c r="BS99" s="382">
        <f t="shared" si="50"/>
        <v>46315</v>
      </c>
      <c r="BT99" s="325" t="s">
        <v>70</v>
      </c>
    </row>
    <row r="100" spans="1:72" ht="62">
      <c r="A100" s="304">
        <v>98</v>
      </c>
      <c r="B100" s="305">
        <v>46248</v>
      </c>
      <c r="C100" s="305" t="s">
        <v>305</v>
      </c>
      <c r="D100" s="305" t="s">
        <v>163</v>
      </c>
      <c r="E100" s="378">
        <v>7502327992615</v>
      </c>
      <c r="F100" s="304" t="s">
        <v>586</v>
      </c>
      <c r="G100" s="307" t="s">
        <v>587</v>
      </c>
      <c r="H100" s="371" t="s">
        <v>60</v>
      </c>
      <c r="I100" s="369" t="s">
        <v>428</v>
      </c>
      <c r="J100" s="307" t="s">
        <v>277</v>
      </c>
      <c r="K100" s="307" t="s">
        <v>309</v>
      </c>
      <c r="L100" s="304">
        <v>1</v>
      </c>
      <c r="M100" s="330" t="s">
        <v>404</v>
      </c>
      <c r="N100" s="370" t="s">
        <v>429</v>
      </c>
      <c r="O100" s="324" t="s">
        <v>312</v>
      </c>
      <c r="P100" s="357">
        <v>6.8</v>
      </c>
      <c r="Q100" s="312" t="s">
        <v>314</v>
      </c>
      <c r="R100" s="375">
        <v>10000</v>
      </c>
      <c r="S100" s="313" t="e">
        <f t="shared" ca="1" si="52"/>
        <v>#VALUE!</v>
      </c>
      <c r="T100" s="313" t="e">
        <f t="shared" ca="1" si="53"/>
        <v>#VALUE!</v>
      </c>
      <c r="U100" s="313" t="e">
        <f t="shared" ca="1" si="54"/>
        <v>#VALUE!</v>
      </c>
      <c r="V100" s="314" t="e">
        <f t="shared" ca="1" si="36"/>
        <v>#VALUE!</v>
      </c>
      <c r="W100" s="331">
        <v>179</v>
      </c>
      <c r="X100" s="313">
        <f t="shared" si="37"/>
        <v>154.31034482758622</v>
      </c>
      <c r="Y100" s="313">
        <f t="shared" si="38"/>
        <v>92.58620689655173</v>
      </c>
      <c r="Z100" s="316" t="e">
        <f t="shared" ca="1" si="39"/>
        <v>#VALUE!</v>
      </c>
      <c r="AA100" s="316" t="e">
        <f t="shared" ca="1" si="40"/>
        <v>#VALUE!</v>
      </c>
      <c r="AB100" s="317">
        <f t="shared" si="41"/>
        <v>0.4</v>
      </c>
      <c r="AC100" s="318" t="s">
        <v>315</v>
      </c>
      <c r="AD100" s="304"/>
      <c r="AE100" s="307">
        <v>6</v>
      </c>
      <c r="AF100" s="307">
        <v>144</v>
      </c>
      <c r="AG100" s="324" t="s">
        <v>514</v>
      </c>
      <c r="AH100" s="363">
        <v>46315</v>
      </c>
      <c r="AI100" s="359"/>
      <c r="AJ100" s="359"/>
      <c r="AL100" s="320">
        <v>116.35</v>
      </c>
      <c r="AM100" s="320">
        <f t="shared" si="42"/>
        <v>100.30172413793103</v>
      </c>
      <c r="AN100" s="321" t="e">
        <f t="shared" ca="1" si="43"/>
        <v>#VALUE!</v>
      </c>
      <c r="AO100" s="321" t="e">
        <f t="shared" ca="1" si="44"/>
        <v>#VALUE!</v>
      </c>
      <c r="AP100" s="317">
        <f t="shared" si="45"/>
        <v>0</v>
      </c>
      <c r="BA100" s="322">
        <v>1</v>
      </c>
      <c r="BB100" s="322">
        <v>1</v>
      </c>
      <c r="BC100" s="322">
        <v>1</v>
      </c>
      <c r="BD100" s="322">
        <v>1</v>
      </c>
      <c r="BE100" s="322"/>
      <c r="BF100" s="322"/>
      <c r="BG100" s="322"/>
      <c r="BH100" s="322"/>
      <c r="BI100" s="360"/>
      <c r="BJ100" s="322">
        <v>9</v>
      </c>
      <c r="BK100" s="385">
        <f t="shared" si="46"/>
        <v>4</v>
      </c>
      <c r="BL100" s="384">
        <f t="shared" si="47"/>
        <v>0.44444444444444442</v>
      </c>
      <c r="BM100" s="361"/>
      <c r="BN100" s="361"/>
      <c r="BO100" s="361"/>
      <c r="BP100" s="361"/>
      <c r="BQ100" s="361"/>
      <c r="BR100" s="362" t="str">
        <f t="shared" si="49"/>
        <v>En proceso de realizacion de dummy para autorizacion final</v>
      </c>
      <c r="BS100" s="382">
        <f t="shared" si="50"/>
        <v>46315</v>
      </c>
      <c r="BT100" s="325" t="s">
        <v>70</v>
      </c>
    </row>
    <row r="101" spans="1:72" ht="62">
      <c r="A101" s="304">
        <v>99</v>
      </c>
      <c r="B101" s="305">
        <v>46248</v>
      </c>
      <c r="C101" s="305" t="s">
        <v>305</v>
      </c>
      <c r="D101" s="305" t="s">
        <v>163</v>
      </c>
      <c r="E101" s="378">
        <v>7502327992622</v>
      </c>
      <c r="F101" s="304" t="s">
        <v>588</v>
      </c>
      <c r="G101" s="307" t="s">
        <v>589</v>
      </c>
      <c r="H101" s="371" t="s">
        <v>60</v>
      </c>
      <c r="I101" s="369" t="s">
        <v>428</v>
      </c>
      <c r="J101" s="307" t="s">
        <v>277</v>
      </c>
      <c r="K101" s="307" t="s">
        <v>309</v>
      </c>
      <c r="L101" s="304">
        <v>1</v>
      </c>
      <c r="M101" s="330" t="s">
        <v>404</v>
      </c>
      <c r="N101" s="370" t="s">
        <v>429</v>
      </c>
      <c r="O101" s="324" t="s">
        <v>312</v>
      </c>
      <c r="P101" s="357">
        <v>6.8</v>
      </c>
      <c r="Q101" s="312" t="s">
        <v>314</v>
      </c>
      <c r="R101" s="375">
        <v>10000</v>
      </c>
      <c r="S101" s="313" t="e">
        <f t="shared" ca="1" si="52"/>
        <v>#VALUE!</v>
      </c>
      <c r="T101" s="313" t="e">
        <f t="shared" ca="1" si="53"/>
        <v>#VALUE!</v>
      </c>
      <c r="U101" s="313" t="e">
        <f t="shared" ca="1" si="54"/>
        <v>#VALUE!</v>
      </c>
      <c r="V101" s="314" t="e">
        <f t="shared" ca="1" si="36"/>
        <v>#VALUE!</v>
      </c>
      <c r="W101" s="331">
        <v>179</v>
      </c>
      <c r="X101" s="313">
        <f t="shared" si="37"/>
        <v>154.31034482758622</v>
      </c>
      <c r="Y101" s="313">
        <f t="shared" si="38"/>
        <v>92.58620689655173</v>
      </c>
      <c r="Z101" s="316" t="e">
        <f t="shared" ca="1" si="39"/>
        <v>#VALUE!</v>
      </c>
      <c r="AA101" s="316" t="e">
        <f t="shared" ca="1" si="40"/>
        <v>#VALUE!</v>
      </c>
      <c r="AB101" s="317">
        <f t="shared" si="41"/>
        <v>0.4</v>
      </c>
      <c r="AC101" s="318" t="s">
        <v>315</v>
      </c>
      <c r="AD101" s="304"/>
      <c r="AE101" s="307">
        <v>6</v>
      </c>
      <c r="AF101" s="307">
        <v>144</v>
      </c>
      <c r="AG101" s="324" t="s">
        <v>514</v>
      </c>
      <c r="AH101" s="363">
        <v>46315</v>
      </c>
      <c r="AI101" s="359"/>
      <c r="AJ101" s="359"/>
      <c r="AL101" s="320">
        <v>116.35</v>
      </c>
      <c r="AM101" s="320">
        <f t="shared" si="42"/>
        <v>100.30172413793103</v>
      </c>
      <c r="AN101" s="321">
        <f t="shared" si="43"/>
        <v>0</v>
      </c>
      <c r="AO101" s="321">
        <f t="shared" si="44"/>
        <v>1</v>
      </c>
      <c r="AP101" s="317">
        <f t="shared" si="45"/>
        <v>0</v>
      </c>
      <c r="BA101" s="322">
        <v>1</v>
      </c>
      <c r="BB101" s="322">
        <v>1</v>
      </c>
      <c r="BC101" s="322">
        <v>1</v>
      </c>
      <c r="BD101" s="322">
        <v>1</v>
      </c>
      <c r="BE101" s="322"/>
      <c r="BF101" s="322"/>
      <c r="BG101" s="322"/>
      <c r="BH101" s="322"/>
      <c r="BI101" s="360"/>
      <c r="BJ101" s="322">
        <v>9</v>
      </c>
      <c r="BK101" s="385">
        <f t="shared" si="46"/>
        <v>4</v>
      </c>
      <c r="BL101" s="384">
        <f t="shared" si="47"/>
        <v>0.44444444444444442</v>
      </c>
      <c r="BM101" s="361"/>
      <c r="BN101" s="361"/>
      <c r="BO101" s="361"/>
      <c r="BP101" s="361"/>
      <c r="BQ101" s="361"/>
      <c r="BR101" s="362" t="str">
        <f t="shared" si="49"/>
        <v>En proceso de realizacion de dummy para autorizacion final</v>
      </c>
      <c r="BS101" s="382">
        <f t="shared" si="50"/>
        <v>46315</v>
      </c>
      <c r="BT101" s="325" t="s">
        <v>70</v>
      </c>
    </row>
    <row r="102" spans="1:72" ht="46.5">
      <c r="A102" s="304">
        <v>100</v>
      </c>
      <c r="B102" s="305">
        <v>46248</v>
      </c>
      <c r="C102" s="305" t="s">
        <v>305</v>
      </c>
      <c r="D102" s="305" t="s">
        <v>163</v>
      </c>
      <c r="E102" s="378">
        <v>7506110696650</v>
      </c>
      <c r="F102" s="304" t="s">
        <v>590</v>
      </c>
      <c r="G102" s="307" t="s">
        <v>591</v>
      </c>
      <c r="H102" s="371"/>
      <c r="I102" s="369" t="s">
        <v>592</v>
      </c>
      <c r="J102" s="307" t="s">
        <v>277</v>
      </c>
      <c r="K102" s="379" t="s">
        <v>593</v>
      </c>
      <c r="L102" s="304">
        <v>1</v>
      </c>
      <c r="M102" s="330" t="s">
        <v>594</v>
      </c>
      <c r="N102" s="370"/>
      <c r="O102" s="324"/>
      <c r="P102" s="357"/>
      <c r="Q102" s="312"/>
      <c r="R102" s="375"/>
      <c r="S102" s="313"/>
      <c r="T102" s="313"/>
      <c r="U102" s="313">
        <f t="shared" si="54"/>
        <v>0</v>
      </c>
      <c r="V102" s="314">
        <f t="shared" ref="V102:V107" si="55">S102+T102+U102</f>
        <v>0</v>
      </c>
      <c r="W102" s="331"/>
      <c r="X102" s="313">
        <f t="shared" si="37"/>
        <v>0</v>
      </c>
      <c r="Y102" s="313">
        <f t="shared" si="38"/>
        <v>0</v>
      </c>
      <c r="Z102" s="316" t="e">
        <f t="shared" si="39"/>
        <v>#DIV/0!</v>
      </c>
      <c r="AA102" s="316" t="e">
        <f t="shared" si="40"/>
        <v>#DIV/0!</v>
      </c>
      <c r="AB102" s="317" t="e">
        <f t="shared" si="41"/>
        <v>#DIV/0!</v>
      </c>
      <c r="AC102" s="318" t="s">
        <v>315</v>
      </c>
      <c r="AD102" s="304"/>
      <c r="AE102" s="307">
        <v>6</v>
      </c>
      <c r="AF102" s="307">
        <v>144</v>
      </c>
      <c r="AG102" s="324" t="s">
        <v>595</v>
      </c>
      <c r="AH102" s="304"/>
      <c r="AI102" s="359"/>
      <c r="AJ102" s="359"/>
      <c r="AL102" s="320">
        <v>116.35</v>
      </c>
      <c r="AM102" s="320">
        <f t="shared" si="42"/>
        <v>100.30172413793103</v>
      </c>
      <c r="AN102" s="321">
        <f t="shared" si="43"/>
        <v>0</v>
      </c>
      <c r="AO102" s="321">
        <f t="shared" si="44"/>
        <v>1</v>
      </c>
      <c r="AP102" s="317">
        <f t="shared" si="45"/>
        <v>0</v>
      </c>
      <c r="BA102" s="322">
        <v>1</v>
      </c>
      <c r="BB102" s="322">
        <v>1</v>
      </c>
      <c r="BC102" s="322">
        <v>1</v>
      </c>
      <c r="BD102" s="322">
        <v>1</v>
      </c>
      <c r="BE102" s="322">
        <v>1</v>
      </c>
      <c r="BF102" s="322">
        <v>1</v>
      </c>
      <c r="BG102" s="322">
        <v>1</v>
      </c>
      <c r="BH102" s="322"/>
      <c r="BI102" s="360"/>
      <c r="BJ102" s="322">
        <v>9</v>
      </c>
      <c r="BK102" s="385">
        <f t="shared" si="46"/>
        <v>7</v>
      </c>
      <c r="BL102" s="384">
        <f t="shared" si="47"/>
        <v>0.77777777777777779</v>
      </c>
      <c r="BM102" s="361"/>
      <c r="BN102" s="361"/>
      <c r="BO102" s="361"/>
      <c r="BP102" s="361"/>
      <c r="BQ102" s="361"/>
      <c r="BR102" s="362" t="str">
        <f t="shared" si="49"/>
        <v>En producción</v>
      </c>
      <c r="BS102" s="382">
        <f t="shared" si="50"/>
        <v>0</v>
      </c>
      <c r="BT102" s="325" t="s">
        <v>170</v>
      </c>
    </row>
    <row r="103" spans="1:72" ht="46.5">
      <c r="A103" s="304">
        <v>101</v>
      </c>
      <c r="B103" s="305">
        <v>46248</v>
      </c>
      <c r="C103" s="305" t="s">
        <v>305</v>
      </c>
      <c r="D103" s="305" t="s">
        <v>163</v>
      </c>
      <c r="E103" s="378">
        <v>7502327992639</v>
      </c>
      <c r="F103" s="304" t="s">
        <v>596</v>
      </c>
      <c r="G103" s="307" t="s">
        <v>597</v>
      </c>
      <c r="H103" s="371"/>
      <c r="I103" s="369" t="s">
        <v>592</v>
      </c>
      <c r="J103" s="307" t="s">
        <v>277</v>
      </c>
      <c r="K103" s="379" t="s">
        <v>593</v>
      </c>
      <c r="L103" s="304">
        <v>1</v>
      </c>
      <c r="M103" s="330" t="s">
        <v>594</v>
      </c>
      <c r="N103" s="370"/>
      <c r="O103" s="324"/>
      <c r="P103" s="357"/>
      <c r="Q103" s="312"/>
      <c r="R103" s="375"/>
      <c r="S103" s="313"/>
      <c r="T103" s="313"/>
      <c r="U103" s="313">
        <f t="shared" si="54"/>
        <v>0</v>
      </c>
      <c r="V103" s="314">
        <f t="shared" si="55"/>
        <v>0</v>
      </c>
      <c r="W103" s="331"/>
      <c r="X103" s="313"/>
      <c r="Y103" s="313"/>
      <c r="Z103" s="316"/>
      <c r="AA103" s="316"/>
      <c r="AB103" s="317"/>
      <c r="AC103" s="318"/>
      <c r="AD103" s="304"/>
      <c r="AE103" s="307"/>
      <c r="AF103" s="307"/>
      <c r="AG103" s="324" t="s">
        <v>595</v>
      </c>
      <c r="AH103" s="304"/>
      <c r="AI103" s="359"/>
      <c r="AJ103" s="359"/>
      <c r="AL103" s="320">
        <v>117.35</v>
      </c>
      <c r="AM103" s="320">
        <f>+AL103/1.16</f>
        <v>101.16379310344828</v>
      </c>
      <c r="AN103" s="321">
        <f>+V104/AM103</f>
        <v>0</v>
      </c>
      <c r="AO103" s="321">
        <f>1-V104/AM103</f>
        <v>1</v>
      </c>
      <c r="AP103" s="317">
        <f>1-(AM103/(AL103/1.16))</f>
        <v>0</v>
      </c>
      <c r="BA103" s="322">
        <v>1</v>
      </c>
      <c r="BB103" s="322">
        <v>1</v>
      </c>
      <c r="BC103" s="322">
        <v>1</v>
      </c>
      <c r="BD103" s="322">
        <v>1</v>
      </c>
      <c r="BE103" s="322">
        <v>1</v>
      </c>
      <c r="BF103" s="322">
        <v>1</v>
      </c>
      <c r="BG103" s="322">
        <v>1</v>
      </c>
      <c r="BH103" s="322"/>
      <c r="BI103" s="360"/>
      <c r="BJ103" s="322">
        <v>9</v>
      </c>
      <c r="BK103" s="385">
        <f t="shared" si="46"/>
        <v>7</v>
      </c>
      <c r="BL103" s="384">
        <f t="shared" si="47"/>
        <v>0.77777777777777779</v>
      </c>
      <c r="BM103" s="361"/>
      <c r="BN103" s="361"/>
      <c r="BO103" s="361"/>
      <c r="BP103" s="361"/>
      <c r="BQ103" s="361"/>
      <c r="BR103" s="362" t="str">
        <f t="shared" si="49"/>
        <v>En producción</v>
      </c>
      <c r="BS103" s="382">
        <f t="shared" si="50"/>
        <v>0</v>
      </c>
      <c r="BT103" s="325" t="s">
        <v>170</v>
      </c>
    </row>
    <row r="104" spans="1:72" ht="31">
      <c r="A104" s="304">
        <v>102</v>
      </c>
      <c r="B104" s="305">
        <v>46248</v>
      </c>
      <c r="C104" s="305" t="s">
        <v>305</v>
      </c>
      <c r="D104" s="305" t="s">
        <v>163</v>
      </c>
      <c r="E104" s="378">
        <v>7506110696667</v>
      </c>
      <c r="F104" s="304" t="s">
        <v>598</v>
      </c>
      <c r="G104" s="307" t="s">
        <v>599</v>
      </c>
      <c r="H104" s="371"/>
      <c r="I104" s="369" t="s">
        <v>600</v>
      </c>
      <c r="J104" s="307" t="s">
        <v>277</v>
      </c>
      <c r="K104" s="379" t="s">
        <v>309</v>
      </c>
      <c r="L104" s="304">
        <v>1</v>
      </c>
      <c r="M104" s="330" t="s">
        <v>511</v>
      </c>
      <c r="N104" s="370"/>
      <c r="O104" s="324" t="s">
        <v>506</v>
      </c>
      <c r="P104" s="357" t="s">
        <v>601</v>
      </c>
      <c r="Q104" s="312" t="s">
        <v>74</v>
      </c>
      <c r="R104" s="375">
        <v>10000</v>
      </c>
      <c r="S104" s="313"/>
      <c r="T104" s="313"/>
      <c r="U104" s="313">
        <f t="shared" si="54"/>
        <v>0</v>
      </c>
      <c r="V104" s="314">
        <f t="shared" si="55"/>
        <v>0</v>
      </c>
      <c r="W104" s="331" t="s">
        <v>602</v>
      </c>
      <c r="X104" s="313"/>
      <c r="Y104" s="313"/>
      <c r="Z104" s="316"/>
      <c r="AA104" s="316"/>
      <c r="AB104" s="317"/>
      <c r="AC104" s="318"/>
      <c r="AD104" s="304"/>
      <c r="AE104" s="307"/>
      <c r="AF104" s="307"/>
      <c r="AG104" s="324" t="s">
        <v>514</v>
      </c>
      <c r="AH104" s="304">
        <v>46308</v>
      </c>
      <c r="AI104" s="359"/>
      <c r="AJ104" s="359"/>
      <c r="AL104" s="320">
        <v>118.35</v>
      </c>
      <c r="AM104" s="320">
        <f>+AL104/1.16</f>
        <v>102.02586206896552</v>
      </c>
      <c r="AN104" s="321">
        <f>+V105/AM104</f>
        <v>0</v>
      </c>
      <c r="AO104" s="321">
        <f>1-V105/AM104</f>
        <v>1</v>
      </c>
      <c r="AP104" s="317">
        <f>1-(AM104/(AL104/1.16))</f>
        <v>0</v>
      </c>
      <c r="BA104" s="322"/>
      <c r="BB104" s="322">
        <v>1</v>
      </c>
      <c r="BC104" s="322">
        <v>1</v>
      </c>
      <c r="BD104" s="322">
        <v>1</v>
      </c>
      <c r="BE104" s="322"/>
      <c r="BF104" s="322"/>
      <c r="BG104" s="322"/>
      <c r="BH104" s="322"/>
      <c r="BI104" s="360"/>
      <c r="BJ104" s="322">
        <v>9</v>
      </c>
      <c r="BK104" s="385">
        <f t="shared" ref="BK104:BK107" si="56">SUM(BA104:BI104)</f>
        <v>3</v>
      </c>
      <c r="BL104" s="384">
        <f t="shared" ref="BL104:BL107" si="57">+BK104/BJ104</f>
        <v>0.33333333333333331</v>
      </c>
      <c r="BM104" s="361"/>
      <c r="BN104" s="361"/>
      <c r="BO104" s="361"/>
      <c r="BP104" s="361"/>
      <c r="BQ104" s="361"/>
      <c r="BR104" s="362"/>
      <c r="BS104" s="382"/>
      <c r="BT104" s="325"/>
    </row>
    <row r="105" spans="1:72" ht="31">
      <c r="A105" s="304">
        <v>103</v>
      </c>
      <c r="B105" s="305">
        <v>46248</v>
      </c>
      <c r="C105" s="305" t="s">
        <v>305</v>
      </c>
      <c r="D105" s="305" t="s">
        <v>163</v>
      </c>
      <c r="E105" s="378">
        <v>7506110696674</v>
      </c>
      <c r="F105" s="304" t="s">
        <v>603</v>
      </c>
      <c r="G105" s="307" t="s">
        <v>604</v>
      </c>
      <c r="H105" s="371"/>
      <c r="I105" s="369" t="s">
        <v>510</v>
      </c>
      <c r="J105" s="307" t="s">
        <v>277</v>
      </c>
      <c r="K105" s="379" t="s">
        <v>309</v>
      </c>
      <c r="L105" s="304">
        <v>1</v>
      </c>
      <c r="M105" s="330" t="s">
        <v>511</v>
      </c>
      <c r="N105" s="370"/>
      <c r="O105" s="324" t="s">
        <v>506</v>
      </c>
      <c r="P105" s="357" t="s">
        <v>605</v>
      </c>
      <c r="Q105" s="312" t="s">
        <v>74</v>
      </c>
      <c r="R105" s="375">
        <v>10000</v>
      </c>
      <c r="S105" s="313"/>
      <c r="T105" s="313"/>
      <c r="U105" s="313">
        <f t="shared" si="54"/>
        <v>0</v>
      </c>
      <c r="V105" s="314">
        <f t="shared" si="55"/>
        <v>0</v>
      </c>
      <c r="W105" s="331" t="s">
        <v>602</v>
      </c>
      <c r="X105" s="313"/>
      <c r="Y105" s="313"/>
      <c r="Z105" s="316"/>
      <c r="AA105" s="316"/>
      <c r="AB105" s="317"/>
      <c r="AC105" s="318"/>
      <c r="AD105" s="304"/>
      <c r="AE105" s="307"/>
      <c r="AF105" s="307"/>
      <c r="AG105" s="324" t="s">
        <v>514</v>
      </c>
      <c r="AH105" s="304">
        <v>46308</v>
      </c>
      <c r="AI105" s="359"/>
      <c r="AJ105" s="359"/>
      <c r="AL105" s="320">
        <v>119.35</v>
      </c>
      <c r="AM105" s="320">
        <f>+AL105/1.16</f>
        <v>102.88793103448276</v>
      </c>
      <c r="AN105" s="321">
        <f>+V106/AM105</f>
        <v>0</v>
      </c>
      <c r="AO105" s="321">
        <f>1-V106/AM105</f>
        <v>1</v>
      </c>
      <c r="AP105" s="317">
        <f>1-(AM105/(AL105/1.16))</f>
        <v>0</v>
      </c>
      <c r="BA105" s="322"/>
      <c r="BB105" s="322">
        <v>1</v>
      </c>
      <c r="BC105" s="322">
        <v>1</v>
      </c>
      <c r="BD105" s="322">
        <v>1</v>
      </c>
      <c r="BE105" s="322"/>
      <c r="BF105" s="322"/>
      <c r="BG105" s="322"/>
      <c r="BH105" s="322"/>
      <c r="BI105" s="360"/>
      <c r="BJ105" s="322">
        <v>9</v>
      </c>
      <c r="BK105" s="385">
        <f t="shared" si="56"/>
        <v>3</v>
      </c>
      <c r="BL105" s="384">
        <f t="shared" si="57"/>
        <v>0.33333333333333331</v>
      </c>
      <c r="BM105" s="361"/>
      <c r="BN105" s="361"/>
      <c r="BO105" s="361"/>
      <c r="BP105" s="361"/>
      <c r="BQ105" s="361"/>
      <c r="BR105" s="362"/>
      <c r="BS105" s="382"/>
      <c r="BT105" s="325"/>
    </row>
    <row r="106" spans="1:72" ht="31">
      <c r="A106" s="304">
        <v>104</v>
      </c>
      <c r="B106" s="305">
        <v>46248</v>
      </c>
      <c r="C106" s="305" t="s">
        <v>305</v>
      </c>
      <c r="D106" s="305" t="s">
        <v>163</v>
      </c>
      <c r="E106" s="378">
        <v>7506110696681</v>
      </c>
      <c r="F106" s="304" t="s">
        <v>606</v>
      </c>
      <c r="G106" s="307" t="s">
        <v>607</v>
      </c>
      <c r="H106" s="371"/>
      <c r="I106" s="369" t="s">
        <v>510</v>
      </c>
      <c r="J106" s="307" t="s">
        <v>277</v>
      </c>
      <c r="K106" s="379" t="s">
        <v>309</v>
      </c>
      <c r="L106" s="304">
        <v>1</v>
      </c>
      <c r="M106" s="330" t="s">
        <v>511</v>
      </c>
      <c r="N106" s="370"/>
      <c r="O106" s="324" t="s">
        <v>506</v>
      </c>
      <c r="P106" s="357" t="s">
        <v>605</v>
      </c>
      <c r="Q106" s="312" t="s">
        <v>74</v>
      </c>
      <c r="R106" s="375">
        <v>10000</v>
      </c>
      <c r="S106" s="313"/>
      <c r="T106" s="313"/>
      <c r="U106" s="313">
        <f t="shared" si="54"/>
        <v>0</v>
      </c>
      <c r="V106" s="314">
        <f t="shared" si="55"/>
        <v>0</v>
      </c>
      <c r="W106" s="331" t="s">
        <v>602</v>
      </c>
      <c r="X106" s="313"/>
      <c r="Y106" s="313"/>
      <c r="Z106" s="316"/>
      <c r="AA106" s="316"/>
      <c r="AB106" s="317"/>
      <c r="AC106" s="318"/>
      <c r="AD106" s="304"/>
      <c r="AE106" s="307"/>
      <c r="AF106" s="307"/>
      <c r="AG106" s="324" t="s">
        <v>514</v>
      </c>
      <c r="AH106" s="304">
        <v>46308</v>
      </c>
      <c r="AI106" s="359"/>
      <c r="AJ106" s="359"/>
      <c r="AL106" s="320">
        <v>120.35</v>
      </c>
      <c r="AM106" s="320">
        <f>+AL106/1.16</f>
        <v>103.75</v>
      </c>
      <c r="AN106" s="321">
        <f>+V107/AM106</f>
        <v>0</v>
      </c>
      <c r="AO106" s="321">
        <f>1-V107/AM106</f>
        <v>1</v>
      </c>
      <c r="AP106" s="317">
        <f>1-(AM106/(AL106/1.16))</f>
        <v>0</v>
      </c>
      <c r="BA106" s="322"/>
      <c r="BB106" s="322">
        <v>1</v>
      </c>
      <c r="BC106" s="322">
        <v>1</v>
      </c>
      <c r="BD106" s="322">
        <v>1</v>
      </c>
      <c r="BE106" s="322"/>
      <c r="BF106" s="322"/>
      <c r="BG106" s="322"/>
      <c r="BH106" s="322"/>
      <c r="BI106" s="360"/>
      <c r="BJ106" s="322">
        <v>9</v>
      </c>
      <c r="BK106" s="385">
        <f t="shared" si="56"/>
        <v>3</v>
      </c>
      <c r="BL106" s="384">
        <f t="shared" si="57"/>
        <v>0.33333333333333331</v>
      </c>
      <c r="BM106" s="361"/>
      <c r="BN106" s="361"/>
      <c r="BO106" s="361"/>
      <c r="BP106" s="361"/>
      <c r="BQ106" s="361"/>
      <c r="BR106" s="362"/>
      <c r="BS106" s="382"/>
      <c r="BT106" s="325"/>
    </row>
    <row r="107" spans="1:72" ht="31">
      <c r="A107" s="304">
        <v>105</v>
      </c>
      <c r="B107" s="305">
        <v>46248</v>
      </c>
      <c r="C107" s="305" t="s">
        <v>305</v>
      </c>
      <c r="D107" s="305" t="s">
        <v>163</v>
      </c>
      <c r="E107" s="378">
        <v>7506110696698</v>
      </c>
      <c r="F107" s="304" t="s">
        <v>608</v>
      </c>
      <c r="G107" s="307" t="s">
        <v>609</v>
      </c>
      <c r="H107" s="371"/>
      <c r="I107" s="369" t="s">
        <v>510</v>
      </c>
      <c r="J107" s="307" t="s">
        <v>277</v>
      </c>
      <c r="K107" s="379" t="s">
        <v>309</v>
      </c>
      <c r="L107" s="304">
        <v>1</v>
      </c>
      <c r="M107" s="330" t="s">
        <v>511</v>
      </c>
      <c r="N107" s="370"/>
      <c r="O107" s="324" t="s">
        <v>506</v>
      </c>
      <c r="P107" s="357" t="s">
        <v>610</v>
      </c>
      <c r="Q107" s="312" t="s">
        <v>74</v>
      </c>
      <c r="R107" s="375">
        <v>10000</v>
      </c>
      <c r="S107" s="313"/>
      <c r="T107" s="313"/>
      <c r="U107" s="313">
        <f t="shared" si="54"/>
        <v>0</v>
      </c>
      <c r="V107" s="314">
        <f t="shared" si="55"/>
        <v>0</v>
      </c>
      <c r="W107" s="331" t="s">
        <v>602</v>
      </c>
      <c r="X107" s="313"/>
      <c r="Y107" s="313"/>
      <c r="Z107" s="316"/>
      <c r="AA107" s="316"/>
      <c r="AB107" s="317"/>
      <c r="AC107" s="318"/>
      <c r="AD107" s="304"/>
      <c r="AE107" s="307"/>
      <c r="AF107" s="307"/>
      <c r="AG107" s="324" t="s">
        <v>514</v>
      </c>
      <c r="AH107" s="304">
        <v>46308</v>
      </c>
      <c r="AI107" s="359"/>
      <c r="AJ107" s="359"/>
      <c r="AL107" s="320">
        <v>121.35</v>
      </c>
      <c r="AM107" s="320">
        <f>+AL107/1.16</f>
        <v>104.61206896551724</v>
      </c>
      <c r="AN107" s="321">
        <f>+V108/AM107</f>
        <v>0</v>
      </c>
      <c r="AO107" s="321">
        <f>1-V108/AM107</f>
        <v>1</v>
      </c>
      <c r="AP107" s="317">
        <f>1-(AM107/(AL107/1.16))</f>
        <v>0</v>
      </c>
      <c r="BA107" s="322"/>
      <c r="BB107" s="322">
        <v>1</v>
      </c>
      <c r="BC107" s="322">
        <v>1</v>
      </c>
      <c r="BD107" s="322">
        <v>1</v>
      </c>
      <c r="BE107" s="322"/>
      <c r="BF107" s="322"/>
      <c r="BG107" s="322"/>
      <c r="BH107" s="322"/>
      <c r="BI107" s="360"/>
      <c r="BJ107" s="322">
        <v>9</v>
      </c>
      <c r="BK107" s="385">
        <f t="shared" si="56"/>
        <v>3</v>
      </c>
      <c r="BL107" s="384">
        <f t="shared" si="57"/>
        <v>0.33333333333333331</v>
      </c>
      <c r="BM107" s="361"/>
      <c r="BN107" s="361"/>
      <c r="BO107" s="361"/>
      <c r="BP107" s="361"/>
      <c r="BQ107" s="361"/>
      <c r="BR107" s="362"/>
      <c r="BS107" s="382"/>
      <c r="BT107" s="325"/>
    </row>
    <row r="108" spans="1:72" ht="16">
      <c r="J108" s="307"/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topLeftCell="BA1" zoomScale="55" zoomScaleNormal="55" workbookViewId="0">
      <selection activeCell="BC16" sqref="BC16"/>
    </sheetView>
  </sheetViews>
  <sheetFormatPr baseColWidth="10" defaultColWidth="11.54296875" defaultRowHeight="15.5"/>
  <cols>
    <col min="1" max="1" width="8.54296875" style="300" bestFit="1" customWidth="1"/>
    <col min="2" max="6" width="19" style="300" customWidth="1"/>
    <col min="7" max="7" width="28.453125" style="300" customWidth="1"/>
    <col min="8" max="10" width="16.453125" style="300" customWidth="1"/>
    <col min="11" max="11" width="37.453125" style="300" bestFit="1" customWidth="1"/>
    <col min="12" max="12" width="14.26953125" style="300" bestFit="1" customWidth="1"/>
    <col min="13" max="13" width="34.1796875" style="300" bestFit="1" customWidth="1"/>
    <col min="14" max="14" width="87.54296875" style="300" hidden="1" customWidth="1"/>
    <col min="15" max="15" width="32.1796875" style="300" hidden="1" customWidth="1"/>
    <col min="16" max="16" width="34.1796875" style="300" hidden="1" customWidth="1"/>
    <col min="17" max="17" width="26.81640625" style="300" hidden="1" customWidth="1"/>
    <col min="18" max="18" width="55.54296875" style="300" hidden="1" customWidth="1"/>
    <col min="19" max="19" width="59.453125" style="300" hidden="1" customWidth="1"/>
    <col min="20" max="20" width="15.81640625" style="300" hidden="1" customWidth="1"/>
    <col min="21" max="21" width="47.26953125" style="300" hidden="1" customWidth="1"/>
    <col min="22" max="23" width="56.26953125" style="300" hidden="1" customWidth="1"/>
    <col min="24" max="24" width="55.1796875" style="300" hidden="1" customWidth="1"/>
    <col min="25" max="25" width="63.54296875" style="300" hidden="1" customWidth="1"/>
    <col min="26" max="26" width="34.7265625" style="300" hidden="1" customWidth="1"/>
    <col min="27" max="27" width="57.1796875" style="300" hidden="1" customWidth="1"/>
    <col min="28" max="28" width="30" style="300" hidden="1" customWidth="1"/>
    <col min="29" max="29" width="40.453125" style="300" hidden="1" customWidth="1"/>
    <col min="30" max="30" width="44.1796875" style="300" hidden="1" customWidth="1"/>
    <col min="31" max="31" width="15.81640625" style="300" bestFit="1" customWidth="1"/>
    <col min="32" max="32" width="18.54296875" style="300" bestFit="1" customWidth="1"/>
    <col min="33" max="33" width="35.26953125" style="300" bestFit="1" customWidth="1"/>
    <col min="34" max="34" width="9.90625" style="300" customWidth="1"/>
    <col min="35" max="39" width="18.08984375" style="300" customWidth="1"/>
    <col min="40" max="52" width="5.7265625" style="300" customWidth="1"/>
    <col min="53" max="64" width="15.1796875" style="300" customWidth="1"/>
    <col min="65" max="69" width="2.36328125" style="300" customWidth="1"/>
    <col min="70" max="70" width="37.1796875" style="300" customWidth="1"/>
    <col min="71" max="71" width="21.08984375" style="300" customWidth="1"/>
    <col min="72" max="72" width="37.1796875" style="300" customWidth="1"/>
    <col min="73" max="87" width="11.54296875" style="300"/>
    <col min="88" max="93" width="35.453125" style="332" customWidth="1"/>
    <col min="94" max="105" width="35.453125" style="300" customWidth="1"/>
    <col min="106" max="16384" width="11.54296875" style="300"/>
  </cols>
  <sheetData>
    <row r="1" spans="1:105" s="291" customFormat="1" ht="6.75" customHeight="1">
      <c r="A1" s="286"/>
      <c r="B1" s="287"/>
      <c r="C1" s="287"/>
      <c r="D1" s="286"/>
      <c r="E1" s="288"/>
      <c r="F1" s="286"/>
      <c r="G1" s="286"/>
      <c r="H1" s="289"/>
      <c r="I1" s="286"/>
      <c r="J1" s="286"/>
      <c r="K1" s="286"/>
      <c r="L1" s="286"/>
      <c r="M1" s="290"/>
      <c r="N1" s="290"/>
      <c r="O1" s="286"/>
      <c r="P1" s="290"/>
      <c r="Q1" s="290"/>
      <c r="R1" s="290"/>
      <c r="S1" s="290"/>
      <c r="T1" s="290"/>
      <c r="U1" s="290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I1" s="287"/>
      <c r="AJ1" s="287"/>
      <c r="AK1" s="287"/>
      <c r="AL1" s="287"/>
      <c r="AM1" s="287"/>
      <c r="BA1" s="286"/>
      <c r="BB1" s="286"/>
      <c r="BC1" s="286"/>
      <c r="BD1" s="286"/>
      <c r="BE1" s="286"/>
      <c r="BF1" s="286"/>
      <c r="BG1" s="286"/>
      <c r="BH1" s="286"/>
      <c r="BI1" s="286"/>
      <c r="BJ1" s="286"/>
      <c r="BK1" s="286"/>
      <c r="BL1" s="286"/>
      <c r="CJ1" s="286"/>
      <c r="CK1" s="286"/>
      <c r="CL1" s="286"/>
      <c r="CM1" s="286"/>
      <c r="CN1" s="286"/>
      <c r="CO1" s="286"/>
      <c r="CP1" s="286"/>
      <c r="CQ1" s="286"/>
      <c r="CR1" s="286"/>
      <c r="CS1" s="286"/>
      <c r="CT1" s="286"/>
      <c r="CU1" s="286"/>
      <c r="CV1" s="286"/>
      <c r="CW1" s="286"/>
      <c r="CX1" s="286"/>
      <c r="CY1" s="286"/>
      <c r="CZ1" s="286"/>
      <c r="DA1" s="286"/>
    </row>
    <row r="2" spans="1:105" s="291" customFormat="1" ht="6.75" customHeight="1">
      <c r="A2" s="286"/>
      <c r="B2" s="287"/>
      <c r="C2" s="287"/>
      <c r="D2" s="286"/>
      <c r="E2" s="288"/>
      <c r="F2" s="286"/>
      <c r="G2" s="286"/>
      <c r="H2" s="289"/>
      <c r="I2" s="286"/>
      <c r="J2" s="286"/>
      <c r="K2" s="286"/>
      <c r="L2" s="286"/>
      <c r="M2" s="290"/>
      <c r="N2" s="290"/>
      <c r="O2" s="286"/>
      <c r="P2" s="290"/>
      <c r="Q2" s="290"/>
      <c r="R2" s="290"/>
      <c r="S2" s="290"/>
      <c r="T2" s="290"/>
      <c r="U2" s="290"/>
      <c r="V2" s="287"/>
      <c r="W2" s="287"/>
      <c r="X2" s="287"/>
      <c r="Y2" s="287"/>
      <c r="Z2" s="287"/>
      <c r="AA2" s="287"/>
      <c r="AB2" s="287"/>
      <c r="AC2" s="287"/>
      <c r="AD2" s="287"/>
      <c r="AE2" s="287"/>
      <c r="AF2" s="287"/>
      <c r="AG2" s="287"/>
      <c r="AI2" s="287"/>
      <c r="AJ2" s="287"/>
      <c r="AK2" s="287"/>
      <c r="AL2" s="287"/>
      <c r="AM2" s="287"/>
      <c r="BA2" s="286"/>
      <c r="BB2" s="286"/>
      <c r="BC2" s="286"/>
      <c r="BD2" s="286"/>
      <c r="BE2" s="286"/>
      <c r="BF2" s="286"/>
      <c r="BG2" s="286"/>
      <c r="BH2" s="286"/>
      <c r="BI2" s="286"/>
      <c r="BJ2" s="286"/>
      <c r="BK2" s="286"/>
      <c r="BL2" s="286"/>
      <c r="CJ2" s="286"/>
      <c r="CK2" s="286"/>
      <c r="CL2" s="286"/>
      <c r="CM2" s="286"/>
      <c r="CN2" s="286"/>
      <c r="CO2" s="286"/>
      <c r="CP2" s="286"/>
      <c r="CQ2" s="286"/>
      <c r="CR2" s="286"/>
      <c r="CS2" s="286"/>
      <c r="CT2" s="286"/>
      <c r="CU2" s="286"/>
      <c r="CV2" s="286"/>
      <c r="CW2" s="286"/>
      <c r="CX2" s="286"/>
      <c r="CY2" s="286"/>
      <c r="CZ2" s="286"/>
      <c r="DA2" s="286"/>
    </row>
    <row r="3" spans="1:105" s="291" customFormat="1" ht="6.75" customHeight="1">
      <c r="A3" s="286"/>
      <c r="B3" s="287"/>
      <c r="C3" s="287"/>
      <c r="D3" s="286"/>
      <c r="E3" s="288"/>
      <c r="F3" s="286"/>
      <c r="G3" s="286"/>
      <c r="H3" s="289"/>
      <c r="I3" s="286"/>
      <c r="J3" s="286"/>
      <c r="K3" s="286"/>
      <c r="L3" s="286"/>
      <c r="M3" s="290"/>
      <c r="N3" s="290"/>
      <c r="O3" s="286"/>
      <c r="P3" s="290"/>
      <c r="Q3" s="290"/>
      <c r="R3" s="290"/>
      <c r="S3" s="290"/>
      <c r="T3" s="290"/>
      <c r="U3" s="290"/>
      <c r="V3" s="287"/>
      <c r="W3" s="287"/>
      <c r="X3" s="287"/>
      <c r="Y3" s="287"/>
      <c r="Z3" s="287"/>
      <c r="AA3" s="287"/>
      <c r="AB3" s="287"/>
      <c r="AC3" s="287"/>
      <c r="AD3" s="287"/>
      <c r="AE3" s="287"/>
      <c r="AF3" s="287"/>
      <c r="AG3" s="287"/>
      <c r="AI3" s="287"/>
      <c r="AJ3" s="287"/>
      <c r="AK3" s="287"/>
      <c r="AL3" s="287"/>
      <c r="AM3" s="287"/>
      <c r="BA3" s="286"/>
      <c r="BB3" s="286"/>
      <c r="BC3" s="286"/>
      <c r="BD3" s="286"/>
      <c r="BE3" s="286"/>
      <c r="BF3" s="286"/>
      <c r="BG3" s="286"/>
      <c r="BH3" s="286"/>
      <c r="BI3" s="286"/>
      <c r="BJ3" s="286"/>
      <c r="BK3" s="286"/>
      <c r="BL3" s="286"/>
      <c r="CJ3" s="286"/>
      <c r="CK3" s="286"/>
      <c r="CL3" s="286"/>
      <c r="CM3" s="286"/>
      <c r="CN3" s="286"/>
      <c r="CO3" s="286"/>
      <c r="CP3" s="286"/>
      <c r="CQ3" s="286"/>
      <c r="CR3" s="286"/>
      <c r="CS3" s="286"/>
      <c r="CT3" s="286"/>
      <c r="CU3" s="286"/>
      <c r="CV3" s="286"/>
      <c r="CW3" s="286"/>
      <c r="CX3" s="286"/>
      <c r="CY3" s="286"/>
      <c r="CZ3" s="286"/>
      <c r="DA3" s="286"/>
    </row>
    <row r="4" spans="1:105" s="291" customFormat="1" ht="6.75" customHeight="1">
      <c r="A4" s="286"/>
      <c r="B4" s="287"/>
      <c r="C4" s="287"/>
      <c r="D4" s="286"/>
      <c r="E4" s="288"/>
      <c r="F4" s="286"/>
      <c r="G4" s="286"/>
      <c r="H4" s="289"/>
      <c r="I4" s="286"/>
      <c r="J4" s="286"/>
      <c r="K4" s="286"/>
      <c r="L4" s="286"/>
      <c r="M4" s="290"/>
      <c r="N4" s="290"/>
      <c r="O4" s="286"/>
      <c r="P4" s="290"/>
      <c r="Q4" s="290"/>
      <c r="R4" s="290"/>
      <c r="S4" s="290"/>
      <c r="T4" s="290"/>
      <c r="U4" s="290"/>
      <c r="V4" s="287"/>
      <c r="W4" s="287"/>
      <c r="X4" s="287"/>
      <c r="Y4" s="287"/>
      <c r="Z4" s="287"/>
      <c r="AA4" s="287"/>
      <c r="AB4" s="287"/>
      <c r="AC4" s="287"/>
      <c r="AD4" s="287"/>
      <c r="AE4" s="287"/>
      <c r="AF4" s="287"/>
      <c r="AG4" s="287"/>
      <c r="AI4" s="287"/>
      <c r="AJ4" s="287"/>
      <c r="AK4" s="287"/>
      <c r="AL4" s="287"/>
      <c r="AM4" s="287"/>
      <c r="BA4" s="286"/>
      <c r="BB4" s="286"/>
      <c r="BC4" s="286"/>
      <c r="BD4" s="286"/>
      <c r="BE4" s="286"/>
      <c r="BF4" s="286"/>
      <c r="BG4" s="286"/>
      <c r="BH4" s="286"/>
      <c r="BI4" s="286"/>
      <c r="BJ4" s="286"/>
      <c r="BK4" s="286"/>
      <c r="BL4" s="286"/>
      <c r="CJ4" s="286"/>
      <c r="CK4" s="286"/>
      <c r="CL4" s="286"/>
      <c r="CM4" s="286"/>
      <c r="CN4" s="286"/>
      <c r="CO4" s="286"/>
      <c r="CP4" s="286"/>
      <c r="CQ4" s="286"/>
      <c r="CR4" s="286"/>
      <c r="CS4" s="286"/>
      <c r="CT4" s="286"/>
      <c r="CU4" s="286"/>
      <c r="CV4" s="286"/>
      <c r="CW4" s="286"/>
      <c r="CX4" s="286"/>
      <c r="CY4" s="286"/>
      <c r="CZ4" s="286"/>
      <c r="DA4" s="286"/>
    </row>
    <row r="5" spans="1:105" s="291" customFormat="1" ht="6.75" customHeight="1">
      <c r="A5" s="286"/>
      <c r="B5" s="287"/>
      <c r="C5" s="287"/>
      <c r="D5" s="286"/>
      <c r="E5" s="288"/>
      <c r="F5" s="286"/>
      <c r="G5" s="286"/>
      <c r="H5" s="289"/>
      <c r="I5" s="286"/>
      <c r="J5" s="286"/>
      <c r="K5" s="286"/>
      <c r="L5" s="286"/>
      <c r="M5" s="290"/>
      <c r="N5" s="290"/>
      <c r="O5" s="286"/>
      <c r="P5" s="290"/>
      <c r="Q5" s="290"/>
      <c r="R5" s="290"/>
      <c r="S5" s="290"/>
      <c r="T5" s="290"/>
      <c r="U5" s="290"/>
      <c r="V5" s="287"/>
      <c r="W5" s="287"/>
      <c r="X5" s="287"/>
      <c r="Y5" s="287"/>
      <c r="Z5" s="287"/>
      <c r="AA5" s="287"/>
      <c r="AB5" s="287"/>
      <c r="AC5" s="287"/>
      <c r="AD5" s="287"/>
      <c r="AE5" s="287"/>
      <c r="AF5" s="287"/>
      <c r="AG5" s="287"/>
      <c r="AI5" s="287"/>
      <c r="AJ5" s="287"/>
      <c r="AK5" s="287"/>
      <c r="AL5" s="287"/>
      <c r="AM5" s="287"/>
      <c r="BA5" s="286"/>
      <c r="BB5" s="286"/>
      <c r="BC5" s="286"/>
      <c r="BD5" s="286"/>
      <c r="BE5" s="286"/>
      <c r="BF5" s="286"/>
      <c r="BG5" s="286"/>
      <c r="BH5" s="286"/>
      <c r="BI5" s="286"/>
      <c r="BJ5" s="286"/>
      <c r="BK5" s="286"/>
      <c r="BL5" s="286"/>
      <c r="CJ5" s="286"/>
      <c r="CK5" s="286"/>
      <c r="CL5" s="286"/>
      <c r="CM5" s="286"/>
      <c r="CN5" s="286"/>
      <c r="CO5" s="286"/>
      <c r="CP5" s="286"/>
      <c r="CQ5" s="286"/>
      <c r="CR5" s="286"/>
      <c r="CS5" s="286"/>
      <c r="CT5" s="286"/>
      <c r="CU5" s="286"/>
      <c r="CV5" s="286"/>
      <c r="CW5" s="286"/>
      <c r="CX5" s="286"/>
      <c r="CY5" s="286"/>
      <c r="CZ5" s="286"/>
      <c r="DA5" s="286"/>
    </row>
    <row r="6" spans="1:105" s="291" customFormat="1" ht="6.75" customHeight="1">
      <c r="A6" s="286"/>
      <c r="B6" s="287"/>
      <c r="C6" s="287"/>
      <c r="D6" s="286"/>
      <c r="E6" s="288"/>
      <c r="F6" s="286"/>
      <c r="G6" s="286"/>
      <c r="H6" s="289"/>
      <c r="I6" s="286"/>
      <c r="J6" s="286"/>
      <c r="K6" s="286"/>
      <c r="L6" s="286"/>
      <c r="M6" s="290"/>
      <c r="N6" s="290"/>
      <c r="O6" s="286"/>
      <c r="P6" s="290"/>
      <c r="Q6" s="290"/>
      <c r="R6" s="290"/>
      <c r="S6" s="290"/>
      <c r="T6" s="290"/>
      <c r="U6" s="290"/>
      <c r="V6" s="287"/>
      <c r="W6" s="287"/>
      <c r="X6" s="287"/>
      <c r="Y6" s="287"/>
      <c r="Z6" s="287"/>
      <c r="AA6" s="287"/>
      <c r="AB6" s="287"/>
      <c r="AC6" s="287"/>
      <c r="AD6" s="287"/>
      <c r="AE6" s="287"/>
      <c r="AF6" s="287"/>
      <c r="AG6" s="287"/>
      <c r="AI6" s="287"/>
      <c r="AJ6" s="287"/>
      <c r="AK6" s="287"/>
      <c r="AL6" s="287"/>
      <c r="AM6" s="287"/>
      <c r="BA6" s="286"/>
      <c r="BB6" s="286"/>
      <c r="BC6" s="286"/>
      <c r="BD6" s="286"/>
      <c r="BE6" s="286"/>
      <c r="BF6" s="286"/>
      <c r="BG6" s="286"/>
      <c r="BH6" s="286"/>
      <c r="BI6" s="286"/>
      <c r="BJ6" s="286"/>
      <c r="BK6" s="286"/>
      <c r="BL6" s="286"/>
      <c r="CJ6" s="286"/>
      <c r="CK6" s="286"/>
      <c r="CL6" s="286"/>
      <c r="CM6" s="286"/>
      <c r="CN6" s="286"/>
      <c r="CO6" s="286"/>
      <c r="CP6" s="286"/>
      <c r="CQ6" s="286"/>
      <c r="CR6" s="286"/>
      <c r="CS6" s="286"/>
      <c r="CT6" s="286"/>
      <c r="CU6" s="286"/>
      <c r="CV6" s="286"/>
      <c r="CW6" s="286"/>
      <c r="CX6" s="286"/>
      <c r="CY6" s="286"/>
      <c r="CZ6" s="286"/>
      <c r="DA6" s="286"/>
    </row>
    <row r="7" spans="1:105" s="291" customFormat="1" ht="6.75" customHeight="1">
      <c r="A7" s="286"/>
      <c r="B7" s="287"/>
      <c r="C7" s="287"/>
      <c r="D7" s="286"/>
      <c r="E7" s="288"/>
      <c r="F7" s="286"/>
      <c r="G7" s="286"/>
      <c r="H7" s="289"/>
      <c r="I7" s="286"/>
      <c r="J7" s="286"/>
      <c r="K7" s="286"/>
      <c r="L7" s="286"/>
      <c r="M7" s="290"/>
      <c r="N7" s="290"/>
      <c r="O7" s="286"/>
      <c r="P7" s="290"/>
      <c r="Q7" s="290"/>
      <c r="R7" s="290"/>
      <c r="S7" s="290"/>
      <c r="T7" s="290"/>
      <c r="U7" s="290"/>
      <c r="V7" s="287"/>
      <c r="W7" s="287"/>
      <c r="X7" s="287"/>
      <c r="Y7" s="287"/>
      <c r="Z7" s="287"/>
      <c r="AA7" s="287"/>
      <c r="AB7" s="287"/>
      <c r="AC7" s="287"/>
      <c r="AD7" s="287"/>
      <c r="AE7" s="287"/>
      <c r="AF7" s="287"/>
      <c r="AG7" s="287"/>
      <c r="AI7" s="287"/>
      <c r="AJ7" s="287"/>
      <c r="AK7" s="287"/>
      <c r="AL7" s="287"/>
      <c r="AM7" s="287"/>
      <c r="BA7" s="286"/>
      <c r="BB7" s="286"/>
      <c r="BC7" s="286"/>
      <c r="BD7" s="286"/>
      <c r="BE7" s="286"/>
      <c r="BF7" s="286"/>
      <c r="BG7" s="286"/>
      <c r="BH7" s="286"/>
      <c r="BI7" s="286"/>
      <c r="BJ7" s="286"/>
      <c r="BK7" s="286"/>
      <c r="BL7" s="286"/>
      <c r="CJ7" s="286"/>
      <c r="CK7" s="286"/>
      <c r="CL7" s="286"/>
      <c r="CM7" s="286"/>
      <c r="CN7" s="286"/>
      <c r="CO7" s="286"/>
      <c r="CP7" s="286"/>
      <c r="CQ7" s="286"/>
      <c r="CR7" s="286"/>
      <c r="CS7" s="286"/>
      <c r="CT7" s="286"/>
      <c r="CU7" s="286"/>
      <c r="CV7" s="286"/>
      <c r="CW7" s="286"/>
      <c r="CX7" s="286"/>
      <c r="CY7" s="286"/>
      <c r="CZ7" s="286"/>
      <c r="DA7" s="286"/>
    </row>
    <row r="8" spans="1:105" s="291" customFormat="1" ht="6.75" customHeight="1">
      <c r="A8" s="286"/>
      <c r="B8" s="287"/>
      <c r="C8" s="287"/>
      <c r="D8" s="286"/>
      <c r="E8" s="288"/>
      <c r="F8" s="286"/>
      <c r="G8" s="286"/>
      <c r="H8" s="289"/>
      <c r="I8" s="286"/>
      <c r="J8" s="286"/>
      <c r="K8" s="286"/>
      <c r="L8" s="286"/>
      <c r="M8" s="290"/>
      <c r="N8" s="290"/>
      <c r="O8" s="286"/>
      <c r="P8" s="290"/>
      <c r="Q8" s="290"/>
      <c r="R8" s="290"/>
      <c r="S8" s="290"/>
      <c r="T8" s="290"/>
      <c r="U8" s="290"/>
      <c r="V8" s="287"/>
      <c r="W8" s="287"/>
      <c r="X8" s="287"/>
      <c r="Y8" s="287"/>
      <c r="Z8" s="287"/>
      <c r="AA8" s="287"/>
      <c r="AB8" s="287"/>
      <c r="AC8" s="287"/>
      <c r="AD8" s="287"/>
      <c r="AE8" s="287"/>
      <c r="AF8" s="287"/>
      <c r="AG8" s="287"/>
      <c r="AI8" s="287"/>
      <c r="AJ8" s="287"/>
      <c r="AK8" s="287"/>
      <c r="AL8" s="287"/>
      <c r="AM8" s="287"/>
      <c r="BA8" s="286"/>
      <c r="BB8" s="286"/>
      <c r="BC8" s="286"/>
      <c r="BD8" s="286"/>
      <c r="BE8" s="286"/>
      <c r="BF8" s="286"/>
      <c r="BG8" s="286"/>
      <c r="BH8" s="286"/>
      <c r="BI8" s="286"/>
      <c r="BJ8" s="286"/>
      <c r="BK8" s="286"/>
      <c r="BL8" s="286"/>
      <c r="CJ8" s="286"/>
      <c r="CK8" s="286"/>
      <c r="CL8" s="286"/>
      <c r="CM8" s="286"/>
      <c r="CN8" s="286"/>
      <c r="CO8" s="286"/>
      <c r="CP8" s="286"/>
      <c r="CQ8" s="286"/>
      <c r="CR8" s="286"/>
      <c r="CS8" s="286"/>
      <c r="CT8" s="286"/>
      <c r="CU8" s="286"/>
      <c r="CV8" s="286"/>
      <c r="CW8" s="286"/>
      <c r="CX8" s="286"/>
      <c r="CY8" s="286"/>
      <c r="CZ8" s="286"/>
      <c r="DA8" s="286"/>
    </row>
    <row r="9" spans="1:105" s="291" customFormat="1" ht="6.75" customHeight="1">
      <c r="A9" s="286"/>
      <c r="B9" s="287"/>
      <c r="C9" s="287"/>
      <c r="D9" s="286"/>
      <c r="E9" s="288"/>
      <c r="F9" s="286"/>
      <c r="G9" s="286"/>
      <c r="H9" s="289"/>
      <c r="I9" s="286"/>
      <c r="J9" s="286"/>
      <c r="K9" s="286"/>
      <c r="L9" s="286"/>
      <c r="M9" s="290"/>
      <c r="N9" s="290"/>
      <c r="O9" s="286"/>
      <c r="P9" s="290"/>
      <c r="Q9" s="290"/>
      <c r="R9" s="290"/>
      <c r="S9" s="290"/>
      <c r="T9" s="290"/>
      <c r="U9" s="290"/>
      <c r="V9" s="287"/>
      <c r="W9" s="287"/>
      <c r="X9" s="287"/>
      <c r="Y9" s="287"/>
      <c r="Z9" s="287"/>
      <c r="AA9" s="287"/>
      <c r="AB9" s="287"/>
      <c r="AC9" s="287"/>
      <c r="AD9" s="287"/>
      <c r="AE9" s="287"/>
      <c r="AF9" s="287"/>
      <c r="AG9" s="287"/>
      <c r="AI9" s="287"/>
      <c r="AJ9" s="287"/>
      <c r="AK9" s="287"/>
      <c r="AL9" s="287"/>
      <c r="AM9" s="287"/>
      <c r="BA9" s="286"/>
      <c r="BB9" s="286"/>
      <c r="BC9" s="286"/>
      <c r="BD9" s="286"/>
      <c r="BE9" s="286"/>
      <c r="BF9" s="286"/>
      <c r="BG9" s="286"/>
      <c r="BH9" s="286"/>
      <c r="BI9" s="286"/>
      <c r="BJ9" s="286"/>
      <c r="BK9" s="286"/>
      <c r="BL9" s="286"/>
      <c r="CJ9" s="286"/>
      <c r="CK9" s="286"/>
      <c r="CL9" s="286"/>
      <c r="CM9" s="286"/>
      <c r="CN9" s="286"/>
      <c r="CO9" s="286"/>
      <c r="CP9" s="286"/>
      <c r="CQ9" s="286"/>
      <c r="CR9" s="286"/>
      <c r="CS9" s="286"/>
      <c r="CT9" s="286"/>
      <c r="CU9" s="286"/>
      <c r="CV9" s="286"/>
      <c r="CW9" s="286"/>
      <c r="CX9" s="286"/>
      <c r="CY9" s="286"/>
      <c r="CZ9" s="286"/>
      <c r="DA9" s="286"/>
    </row>
    <row r="10" spans="1:105" s="291" customFormat="1" ht="6.75" customHeight="1">
      <c r="A10" s="286"/>
      <c r="B10" s="287"/>
      <c r="C10" s="287"/>
      <c r="D10" s="286"/>
      <c r="E10" s="288"/>
      <c r="F10" s="286"/>
      <c r="G10" s="286"/>
      <c r="H10" s="289"/>
      <c r="I10" s="286"/>
      <c r="J10" s="286"/>
      <c r="K10" s="286"/>
      <c r="L10" s="286"/>
      <c r="M10" s="290"/>
      <c r="N10" s="290"/>
      <c r="O10" s="286"/>
      <c r="P10" s="290"/>
      <c r="Q10" s="290"/>
      <c r="R10" s="290"/>
      <c r="S10" s="290"/>
      <c r="T10" s="290"/>
      <c r="U10" s="290"/>
      <c r="V10" s="287"/>
      <c r="W10" s="287"/>
      <c r="X10" s="287"/>
      <c r="Y10" s="287"/>
      <c r="Z10" s="287"/>
      <c r="AA10" s="287"/>
      <c r="AB10" s="287"/>
      <c r="AC10" s="287"/>
      <c r="AD10" s="287"/>
      <c r="AE10" s="287"/>
      <c r="AF10" s="287"/>
      <c r="AG10" s="287"/>
      <c r="AI10" s="287"/>
      <c r="AJ10" s="287"/>
      <c r="AK10" s="287"/>
      <c r="AL10" s="287"/>
      <c r="AM10" s="287"/>
      <c r="BA10" s="286"/>
      <c r="BB10" s="286"/>
      <c r="BC10" s="286"/>
      <c r="BD10" s="286"/>
      <c r="BE10" s="286"/>
      <c r="BF10" s="286"/>
      <c r="BG10" s="286"/>
      <c r="BH10" s="286"/>
      <c r="BI10" s="286"/>
      <c r="BJ10" s="286"/>
      <c r="BK10" s="286"/>
      <c r="BL10" s="286"/>
      <c r="CJ10" s="286"/>
      <c r="CK10" s="286"/>
      <c r="CL10" s="286"/>
      <c r="CM10" s="286"/>
      <c r="CN10" s="286"/>
      <c r="CO10" s="286"/>
      <c r="CP10" s="286"/>
      <c r="CQ10" s="286"/>
      <c r="CR10" s="286"/>
      <c r="CS10" s="286"/>
      <c r="CT10" s="286"/>
      <c r="CU10" s="286"/>
      <c r="CV10" s="286"/>
      <c r="CW10" s="286"/>
      <c r="CX10" s="286"/>
      <c r="CY10" s="286"/>
      <c r="CZ10" s="286"/>
      <c r="DA10" s="286"/>
    </row>
    <row r="11" spans="1:105" s="291" customFormat="1" ht="6.75" customHeight="1">
      <c r="A11" s="286"/>
      <c r="B11" s="287"/>
      <c r="C11" s="287"/>
      <c r="D11" s="286"/>
      <c r="E11" s="288"/>
      <c r="F11" s="286"/>
      <c r="G11" s="286"/>
      <c r="H11" s="289"/>
      <c r="I11" s="286"/>
      <c r="J11" s="286"/>
      <c r="K11" s="286"/>
      <c r="L11" s="286"/>
      <c r="M11" s="290"/>
      <c r="N11" s="290"/>
      <c r="O11" s="286"/>
      <c r="P11" s="290"/>
      <c r="Q11" s="290"/>
      <c r="R11" s="290"/>
      <c r="S11" s="290"/>
      <c r="T11" s="290"/>
      <c r="U11" s="290"/>
      <c r="V11" s="287"/>
      <c r="W11" s="287"/>
      <c r="X11" s="287"/>
      <c r="Y11" s="287"/>
      <c r="Z11" s="287"/>
      <c r="AA11" s="287"/>
      <c r="AB11" s="287"/>
      <c r="AC11" s="287"/>
      <c r="AD11" s="287"/>
      <c r="AE11" s="287"/>
      <c r="AF11" s="287"/>
      <c r="AG11" s="287"/>
      <c r="AI11" s="287"/>
      <c r="AJ11" s="287"/>
      <c r="AK11" s="287"/>
      <c r="AL11" s="287"/>
      <c r="AM11" s="287"/>
      <c r="BA11" s="286"/>
      <c r="BB11" s="286"/>
      <c r="BC11" s="286"/>
      <c r="BD11" s="286"/>
      <c r="BE11" s="286"/>
      <c r="BF11" s="286"/>
      <c r="BG11" s="286"/>
      <c r="BH11" s="286"/>
      <c r="BI11" s="286"/>
      <c r="BJ11" s="286"/>
      <c r="BK11" s="286"/>
      <c r="BL11" s="286"/>
      <c r="CJ11" s="286"/>
      <c r="CK11" s="286"/>
      <c r="CL11" s="286"/>
      <c r="CM11" s="286"/>
      <c r="CN11" s="286"/>
      <c r="CO11" s="286"/>
      <c r="CP11" s="286"/>
      <c r="CQ11" s="286"/>
      <c r="CR11" s="286"/>
      <c r="CS11" s="286"/>
      <c r="CT11" s="286"/>
      <c r="CU11" s="286"/>
      <c r="CV11" s="286"/>
      <c r="CW11" s="286"/>
      <c r="CX11" s="286"/>
      <c r="CY11" s="286"/>
      <c r="CZ11" s="286"/>
      <c r="DA11" s="286"/>
    </row>
    <row r="12" spans="1:105" s="291" customFormat="1" ht="6.75" customHeight="1">
      <c r="A12" s="286"/>
      <c r="B12" s="287"/>
      <c r="C12" s="287"/>
      <c r="D12" s="286"/>
      <c r="E12" s="288"/>
      <c r="F12" s="286"/>
      <c r="G12" s="286"/>
      <c r="H12" s="289"/>
      <c r="I12" s="286"/>
      <c r="J12" s="286"/>
      <c r="K12" s="286"/>
      <c r="L12" s="286"/>
      <c r="M12" s="290"/>
      <c r="N12" s="290"/>
      <c r="O12" s="286"/>
      <c r="P12" s="290"/>
      <c r="Q12" s="290"/>
      <c r="R12" s="290"/>
      <c r="S12" s="290"/>
      <c r="T12" s="290"/>
      <c r="U12" s="290"/>
      <c r="V12" s="287"/>
      <c r="W12" s="287"/>
      <c r="X12" s="287"/>
      <c r="Y12" s="287"/>
      <c r="Z12" s="287"/>
      <c r="AA12" s="287"/>
      <c r="AB12" s="287"/>
      <c r="AC12" s="287"/>
      <c r="AD12" s="287"/>
      <c r="AE12" s="287"/>
      <c r="AF12" s="287"/>
      <c r="AG12" s="287"/>
      <c r="AI12" s="287"/>
      <c r="AJ12" s="287"/>
      <c r="AK12" s="287"/>
      <c r="AL12" s="287"/>
      <c r="AM12" s="287"/>
      <c r="BA12" s="286"/>
      <c r="BB12" s="286"/>
      <c r="BC12" s="286"/>
      <c r="BD12" s="286"/>
      <c r="BE12" s="286"/>
      <c r="BF12" s="286"/>
      <c r="BG12" s="286"/>
      <c r="BH12" s="286"/>
      <c r="BI12" s="286"/>
      <c r="BJ12" s="286"/>
      <c r="BK12" s="286"/>
      <c r="BL12" s="286"/>
      <c r="CJ12" s="286"/>
      <c r="CK12" s="286"/>
      <c r="CL12" s="286"/>
      <c r="CM12" s="286"/>
      <c r="CN12" s="286"/>
      <c r="CO12" s="286"/>
      <c r="CP12" s="286"/>
      <c r="CQ12" s="286"/>
      <c r="CR12" s="286"/>
      <c r="CS12" s="286"/>
      <c r="CT12" s="286"/>
      <c r="CU12" s="286"/>
      <c r="CV12" s="286"/>
      <c r="CW12" s="286"/>
      <c r="CX12" s="286"/>
      <c r="CY12" s="286"/>
      <c r="CZ12" s="286"/>
      <c r="DA12" s="286"/>
    </row>
    <row r="13" spans="1:105" s="291" customFormat="1" ht="6.75" customHeight="1">
      <c r="A13" s="286"/>
      <c r="B13" s="287"/>
      <c r="C13" s="287"/>
      <c r="D13" s="286"/>
      <c r="E13" s="288"/>
      <c r="F13" s="286"/>
      <c r="G13" s="286"/>
      <c r="H13" s="289"/>
      <c r="I13" s="286"/>
      <c r="J13" s="286"/>
      <c r="K13" s="286"/>
      <c r="L13" s="286"/>
      <c r="M13" s="290"/>
      <c r="N13" s="290"/>
      <c r="O13" s="286"/>
      <c r="P13" s="290"/>
      <c r="Q13" s="290"/>
      <c r="R13" s="290"/>
      <c r="S13" s="290"/>
      <c r="T13" s="290"/>
      <c r="U13" s="290"/>
      <c r="V13" s="287"/>
      <c r="W13" s="287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I13" s="287"/>
      <c r="AJ13" s="287"/>
      <c r="AK13" s="287"/>
      <c r="AL13" s="287"/>
      <c r="AM13" s="287"/>
      <c r="BA13" s="286"/>
      <c r="BB13" s="286"/>
      <c r="BC13" s="286"/>
      <c r="BD13" s="286"/>
      <c r="BE13" s="286"/>
      <c r="BF13" s="286"/>
      <c r="BG13" s="286"/>
      <c r="BH13" s="286"/>
      <c r="BI13" s="286"/>
      <c r="BJ13" s="286"/>
      <c r="BK13" s="286"/>
      <c r="BL13" s="286"/>
    </row>
    <row r="14" spans="1:105" s="291" customFormat="1" ht="35.15" customHeight="1">
      <c r="A14" s="286"/>
      <c r="B14" s="287"/>
      <c r="C14" s="287"/>
      <c r="D14" s="286"/>
      <c r="E14" s="288"/>
      <c r="F14" s="286"/>
      <c r="G14" s="286"/>
      <c r="H14" s="289"/>
      <c r="I14" s="286"/>
      <c r="J14" s="286"/>
      <c r="K14" s="286"/>
      <c r="L14" s="286"/>
      <c r="M14" s="290"/>
      <c r="N14" s="290"/>
      <c r="O14" s="286"/>
      <c r="P14" s="290"/>
      <c r="Q14" s="290"/>
      <c r="R14" s="290"/>
      <c r="S14" s="290"/>
      <c r="T14" s="290"/>
      <c r="U14" s="290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I14" s="287"/>
      <c r="AJ14" s="287"/>
      <c r="AK14" s="287"/>
      <c r="AL14" s="287"/>
      <c r="AM14" s="287"/>
      <c r="BA14" s="286"/>
      <c r="BB14" s="286"/>
      <c r="BC14" s="286"/>
      <c r="BD14" s="286"/>
      <c r="BE14" s="286"/>
      <c r="BF14" s="286"/>
      <c r="BG14" s="286"/>
      <c r="BH14" s="286"/>
      <c r="BI14" s="286"/>
      <c r="BJ14" s="286"/>
      <c r="BK14" s="286"/>
      <c r="BL14" s="286"/>
      <c r="CJ14" s="518" t="s">
        <v>0</v>
      </c>
      <c r="CK14" s="519"/>
      <c r="CL14" s="519"/>
      <c r="CM14" s="519"/>
      <c r="CN14" s="519"/>
      <c r="CO14" s="519"/>
      <c r="CP14" s="519"/>
      <c r="CQ14" s="519"/>
      <c r="CR14" s="519"/>
      <c r="CS14" s="519"/>
      <c r="CT14" s="519"/>
      <c r="CU14" s="519"/>
      <c r="CV14" s="519"/>
      <c r="CW14" s="519"/>
      <c r="CX14" s="519"/>
      <c r="CY14" s="519"/>
      <c r="CZ14" s="519"/>
      <c r="DA14" s="519"/>
    </row>
    <row r="15" spans="1:105" s="291" customFormat="1" ht="31">
      <c r="A15" s="286"/>
      <c r="B15" s="287"/>
      <c r="C15" s="287"/>
      <c r="D15" s="286"/>
      <c r="E15" s="288"/>
      <c r="F15" s="286"/>
      <c r="G15" s="286"/>
      <c r="H15" s="289"/>
      <c r="I15" s="286"/>
      <c r="J15" s="286"/>
      <c r="K15" s="286"/>
      <c r="L15" s="286"/>
      <c r="M15" s="290"/>
      <c r="N15" s="290"/>
      <c r="O15" s="286"/>
      <c r="P15" s="290"/>
      <c r="Q15" s="290"/>
      <c r="R15" s="290"/>
      <c r="S15" s="290"/>
      <c r="T15" s="290"/>
      <c r="U15" s="290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I15" s="287"/>
      <c r="AJ15" s="287"/>
      <c r="AK15" s="287"/>
      <c r="AL15" s="287"/>
      <c r="AM15" s="287"/>
      <c r="BA15" s="286"/>
      <c r="BB15" s="286"/>
      <c r="BC15" s="286"/>
      <c r="BD15" s="286"/>
      <c r="BE15" s="286"/>
      <c r="BF15" s="286"/>
      <c r="BG15" s="286"/>
      <c r="BH15" s="286"/>
      <c r="BI15" s="286"/>
      <c r="BJ15" s="286"/>
      <c r="BK15" s="286"/>
      <c r="BL15" s="286"/>
      <c r="CJ15" s="292" t="s">
        <v>1</v>
      </c>
      <c r="CK15" s="292"/>
      <c r="CL15" s="292" t="s">
        <v>2</v>
      </c>
      <c r="CM15" s="292"/>
      <c r="CN15" s="292" t="s">
        <v>3</v>
      </c>
      <c r="CO15" s="292"/>
      <c r="CP15" s="292" t="s">
        <v>4</v>
      </c>
      <c r="CQ15" s="292"/>
      <c r="CR15" s="292" t="s">
        <v>5</v>
      </c>
      <c r="CS15" s="292"/>
      <c r="CT15" s="292" t="s">
        <v>6</v>
      </c>
      <c r="CU15" s="292"/>
      <c r="CV15" s="292" t="s">
        <v>7</v>
      </c>
      <c r="CW15" s="292"/>
      <c r="CX15" s="292" t="s">
        <v>8</v>
      </c>
      <c r="CY15" s="292"/>
      <c r="CZ15" s="292" t="s">
        <v>9</v>
      </c>
      <c r="DA15" s="292"/>
    </row>
    <row r="16" spans="1:105" ht="46.5">
      <c r="A16" s="293" t="s">
        <v>10</v>
      </c>
      <c r="B16" s="294" t="s">
        <v>11</v>
      </c>
      <c r="C16" s="294" t="s">
        <v>12</v>
      </c>
      <c r="D16" s="295" t="s">
        <v>13</v>
      </c>
      <c r="E16" s="296" t="s">
        <v>14</v>
      </c>
      <c r="F16" s="295" t="s">
        <v>15</v>
      </c>
      <c r="G16" s="295" t="s">
        <v>16</v>
      </c>
      <c r="H16" s="297" t="s">
        <v>17</v>
      </c>
      <c r="I16" s="295" t="s">
        <v>18</v>
      </c>
      <c r="J16" s="295" t="s">
        <v>19</v>
      </c>
      <c r="K16" s="295" t="s">
        <v>20</v>
      </c>
      <c r="L16" s="295" t="s">
        <v>21</v>
      </c>
      <c r="M16" s="298" t="s">
        <v>290</v>
      </c>
      <c r="N16" s="299" t="s">
        <v>291</v>
      </c>
      <c r="O16" s="295" t="s">
        <v>292</v>
      </c>
      <c r="P16" s="299" t="s">
        <v>293</v>
      </c>
      <c r="Q16" s="299" t="s">
        <v>23</v>
      </c>
      <c r="R16" s="299" t="s">
        <v>24</v>
      </c>
      <c r="S16" s="299" t="s">
        <v>25</v>
      </c>
      <c r="T16" s="299" t="s">
        <v>26</v>
      </c>
      <c r="U16" s="299" t="s">
        <v>27</v>
      </c>
      <c r="V16" s="294" t="s">
        <v>28</v>
      </c>
      <c r="W16" s="294" t="s">
        <v>30</v>
      </c>
      <c r="X16" s="294" t="s">
        <v>294</v>
      </c>
      <c r="Y16" s="294" t="s">
        <v>31</v>
      </c>
      <c r="Z16" s="294" t="s">
        <v>295</v>
      </c>
      <c r="AA16" s="294" t="s">
        <v>33</v>
      </c>
      <c r="AB16" s="294" t="s">
        <v>34</v>
      </c>
      <c r="AC16" s="294" t="s">
        <v>296</v>
      </c>
      <c r="AD16" s="294" t="s">
        <v>297</v>
      </c>
      <c r="AE16" s="294" t="s">
        <v>298</v>
      </c>
      <c r="AF16" s="294" t="s">
        <v>299</v>
      </c>
      <c r="AG16" s="294" t="s">
        <v>38</v>
      </c>
      <c r="AI16" s="294" t="s">
        <v>30</v>
      </c>
      <c r="AJ16" s="294" t="s">
        <v>31</v>
      </c>
      <c r="AK16" s="294" t="s">
        <v>32</v>
      </c>
      <c r="AL16" s="294" t="s">
        <v>33</v>
      </c>
      <c r="AM16" s="294" t="s">
        <v>300</v>
      </c>
      <c r="BA16" s="295" t="s">
        <v>40</v>
      </c>
      <c r="BB16" s="295" t="s">
        <v>41</v>
      </c>
      <c r="BC16" s="295" t="s">
        <v>42</v>
      </c>
      <c r="BD16" s="295" t="s">
        <v>43</v>
      </c>
      <c r="BE16" s="295" t="s">
        <v>44</v>
      </c>
      <c r="BF16" s="295" t="s">
        <v>45</v>
      </c>
      <c r="BG16" s="295" t="s">
        <v>46</v>
      </c>
      <c r="BH16" s="301" t="s">
        <v>47</v>
      </c>
      <c r="BI16" s="295" t="s">
        <v>48</v>
      </c>
      <c r="BJ16" s="295" t="s">
        <v>49</v>
      </c>
      <c r="BK16" s="295" t="s">
        <v>13</v>
      </c>
      <c r="BL16" s="295" t="s">
        <v>50</v>
      </c>
      <c r="BR16" s="302" t="s">
        <v>38</v>
      </c>
      <c r="BS16" s="301" t="s">
        <v>39</v>
      </c>
      <c r="BT16" s="301" t="s">
        <v>53</v>
      </c>
      <c r="CJ16" s="303" t="s">
        <v>54</v>
      </c>
      <c r="CK16" s="303" t="s">
        <v>55</v>
      </c>
      <c r="CL16" s="303" t="s">
        <v>54</v>
      </c>
      <c r="CM16" s="303" t="s">
        <v>55</v>
      </c>
      <c r="CN16" s="303" t="s">
        <v>54</v>
      </c>
      <c r="CO16" s="303" t="s">
        <v>55</v>
      </c>
      <c r="CP16" s="303" t="s">
        <v>54</v>
      </c>
      <c r="CQ16" s="303" t="s">
        <v>55</v>
      </c>
      <c r="CR16" s="303" t="s">
        <v>54</v>
      </c>
      <c r="CS16" s="303" t="s">
        <v>55</v>
      </c>
      <c r="CT16" s="303" t="s">
        <v>54</v>
      </c>
      <c r="CU16" s="303" t="s">
        <v>55</v>
      </c>
      <c r="CV16" s="303" t="s">
        <v>54</v>
      </c>
      <c r="CW16" s="303" t="s">
        <v>55</v>
      </c>
      <c r="CX16" s="303" t="s">
        <v>54</v>
      </c>
      <c r="CY16" s="303" t="s">
        <v>55</v>
      </c>
      <c r="CZ16" s="303" t="s">
        <v>54</v>
      </c>
      <c r="DA16" s="303" t="s">
        <v>55</v>
      </c>
    </row>
    <row r="17" spans="1:105" ht="48">
      <c r="A17" s="304">
        <v>7</v>
      </c>
      <c r="B17" s="305">
        <v>46248</v>
      </c>
      <c r="C17" s="305" t="s">
        <v>305</v>
      </c>
      <c r="D17" s="305" t="s">
        <v>163</v>
      </c>
      <c r="E17" s="306">
        <v>7502327990918</v>
      </c>
      <c r="F17" s="304" t="s">
        <v>611</v>
      </c>
      <c r="G17" s="307" t="s">
        <v>612</v>
      </c>
      <c r="H17" s="308" t="s">
        <v>60</v>
      </c>
      <c r="I17" s="304" t="s">
        <v>613</v>
      </c>
      <c r="J17" s="307" t="s">
        <v>277</v>
      </c>
      <c r="K17" s="307" t="s">
        <v>309</v>
      </c>
      <c r="L17" s="309">
        <v>2</v>
      </c>
      <c r="M17" s="310" t="s">
        <v>404</v>
      </c>
      <c r="N17" s="311" t="s">
        <v>614</v>
      </c>
      <c r="O17" s="304" t="s">
        <v>312</v>
      </c>
      <c r="P17" s="304">
        <v>3</v>
      </c>
      <c r="Q17" s="312" t="s">
        <v>314</v>
      </c>
      <c r="R17" s="312">
        <v>10000</v>
      </c>
      <c r="S17" s="313">
        <f>+P17*$T$25</f>
        <v>0</v>
      </c>
      <c r="T17" s="313">
        <f>+S17*0.25</f>
        <v>0</v>
      </c>
      <c r="U17" s="313">
        <f>(S17+T17)*0.0267</f>
        <v>0</v>
      </c>
      <c r="V17" s="314">
        <f>S17+T17+U17</f>
        <v>0</v>
      </c>
      <c r="W17" s="315">
        <v>179</v>
      </c>
      <c r="X17" s="313">
        <f>W17/1.16</f>
        <v>154.31034482758622</v>
      </c>
      <c r="Y17" s="313">
        <f>X17*0.6</f>
        <v>92.58620689655173</v>
      </c>
      <c r="Z17" s="316">
        <f>V17/Y17</f>
        <v>0</v>
      </c>
      <c r="AA17" s="316">
        <f>1-(V17/Y17)</f>
        <v>1</v>
      </c>
      <c r="AB17" s="317">
        <f>1-(Y17/(W17/1.16))</f>
        <v>0.4</v>
      </c>
      <c r="AC17" s="318" t="s">
        <v>315</v>
      </c>
      <c r="AD17" s="304"/>
      <c r="AE17" s="307">
        <v>6</v>
      </c>
      <c r="AF17" s="307">
        <v>144</v>
      </c>
      <c r="AG17" s="304"/>
      <c r="AI17" s="319">
        <v>116.35</v>
      </c>
      <c r="AJ17" s="320">
        <f>+AI17/1.16</f>
        <v>100.30172413793103</v>
      </c>
      <c r="AK17" s="321">
        <f>+V17/AJ17</f>
        <v>0</v>
      </c>
      <c r="AL17" s="321">
        <f>1-V17/AJ17</f>
        <v>1</v>
      </c>
      <c r="AM17" s="317">
        <f>1-(AJ17/(AI17/1.16))</f>
        <v>0</v>
      </c>
      <c r="BA17" s="322">
        <v>1</v>
      </c>
      <c r="BB17" s="322">
        <v>1</v>
      </c>
      <c r="BC17" s="322">
        <v>1</v>
      </c>
      <c r="BD17" s="322">
        <v>1</v>
      </c>
      <c r="BE17" s="322"/>
      <c r="BF17" s="322"/>
      <c r="BG17" s="322"/>
      <c r="BH17" s="322"/>
      <c r="BI17" s="322"/>
      <c r="BJ17" s="322">
        <v>9</v>
      </c>
      <c r="BK17" s="322">
        <f>SUM(BA17:BI17)</f>
        <v>4</v>
      </c>
      <c r="BL17" s="323">
        <f>+BK17/BJ17</f>
        <v>0.44444444444444442</v>
      </c>
      <c r="BR17" s="324" t="s">
        <v>514</v>
      </c>
      <c r="BS17" s="325"/>
      <c r="BT17" s="325" t="s">
        <v>425</v>
      </c>
      <c r="CJ17" s="326">
        <v>45809</v>
      </c>
      <c r="CK17" s="326">
        <v>45809</v>
      </c>
      <c r="CL17" s="325"/>
      <c r="CM17" s="325"/>
      <c r="CN17" s="325"/>
      <c r="CO17" s="325"/>
      <c r="CP17" s="327"/>
      <c r="CQ17" s="327"/>
      <c r="CR17" s="328"/>
      <c r="CS17" s="328"/>
      <c r="CT17" s="328"/>
      <c r="CU17" s="328"/>
      <c r="CV17" s="328"/>
      <c r="CW17" s="328"/>
      <c r="CX17" s="328"/>
      <c r="CY17" s="328"/>
      <c r="CZ17" s="328"/>
      <c r="DA17" s="328"/>
    </row>
    <row r="18" spans="1:105" ht="48">
      <c r="A18" s="304">
        <v>8</v>
      </c>
      <c r="B18" s="305">
        <v>46248</v>
      </c>
      <c r="C18" s="305" t="s">
        <v>305</v>
      </c>
      <c r="D18" s="305" t="s">
        <v>163</v>
      </c>
      <c r="E18" s="306">
        <v>7502327990925</v>
      </c>
      <c r="F18" s="304" t="s">
        <v>615</v>
      </c>
      <c r="G18" s="307" t="s">
        <v>616</v>
      </c>
      <c r="H18" s="308" t="s">
        <v>60</v>
      </c>
      <c r="I18" s="304" t="s">
        <v>613</v>
      </c>
      <c r="J18" s="307" t="s">
        <v>277</v>
      </c>
      <c r="K18" s="307" t="s">
        <v>309</v>
      </c>
      <c r="L18" s="309">
        <v>2</v>
      </c>
      <c r="M18" s="310" t="s">
        <v>404</v>
      </c>
      <c r="N18" s="311" t="s">
        <v>614</v>
      </c>
      <c r="O18" s="304" t="s">
        <v>312</v>
      </c>
      <c r="P18" s="304">
        <v>3</v>
      </c>
      <c r="Q18" s="312" t="s">
        <v>314</v>
      </c>
      <c r="R18" s="312">
        <v>10000</v>
      </c>
      <c r="S18" s="313">
        <f>+P18*$T$25</f>
        <v>0</v>
      </c>
      <c r="T18" s="313">
        <f>+S18*0.25</f>
        <v>0</v>
      </c>
      <c r="U18" s="313">
        <f>(S18+T18)*0.0267</f>
        <v>0</v>
      </c>
      <c r="V18" s="314">
        <f>S18+T18+U18</f>
        <v>0</v>
      </c>
      <c r="W18" s="315">
        <v>179</v>
      </c>
      <c r="X18" s="313">
        <f>W18/1.16</f>
        <v>154.31034482758622</v>
      </c>
      <c r="Y18" s="313">
        <f>X18*0.6</f>
        <v>92.58620689655173</v>
      </c>
      <c r="Z18" s="316">
        <f>V18/Y18</f>
        <v>0</v>
      </c>
      <c r="AA18" s="316">
        <f>1-(V18/Y18)</f>
        <v>1</v>
      </c>
      <c r="AB18" s="317">
        <f>1-(Y18/(W18/1.16))</f>
        <v>0.4</v>
      </c>
      <c r="AC18" s="318" t="s">
        <v>315</v>
      </c>
      <c r="AD18" s="304"/>
      <c r="AE18" s="307">
        <v>6</v>
      </c>
      <c r="AF18" s="307">
        <v>144</v>
      </c>
      <c r="AG18" s="304"/>
      <c r="AI18" s="319">
        <v>116.35</v>
      </c>
      <c r="AJ18" s="320">
        <f>+AI18/1.16</f>
        <v>100.30172413793103</v>
      </c>
      <c r="AK18" s="321">
        <f>+V18/AJ18</f>
        <v>0</v>
      </c>
      <c r="AL18" s="321">
        <f>1-V18/AJ18</f>
        <v>1</v>
      </c>
      <c r="AM18" s="317">
        <f>1-(AJ18/(AI18/1.16))</f>
        <v>0</v>
      </c>
      <c r="BA18" s="322">
        <v>1</v>
      </c>
      <c r="BB18" s="322">
        <v>1</v>
      </c>
      <c r="BC18" s="322">
        <v>1</v>
      </c>
      <c r="BD18" s="322">
        <v>1</v>
      </c>
      <c r="BE18" s="322"/>
      <c r="BF18" s="322"/>
      <c r="BG18" s="322"/>
      <c r="BH18" s="322"/>
      <c r="BI18" s="322"/>
      <c r="BJ18" s="322">
        <v>9</v>
      </c>
      <c r="BK18" s="322">
        <f>SUM(BA18:BI18)</f>
        <v>4</v>
      </c>
      <c r="BL18" s="323">
        <f>+BK18/BJ18</f>
        <v>0.44444444444444442</v>
      </c>
      <c r="BR18" s="324" t="s">
        <v>514</v>
      </c>
      <c r="BS18" s="329"/>
      <c r="BT18" s="325" t="s">
        <v>425</v>
      </c>
      <c r="CJ18" s="325"/>
      <c r="CK18" s="325"/>
      <c r="CL18" s="325"/>
      <c r="CM18" s="325"/>
      <c r="CN18" s="325"/>
      <c r="CO18" s="325"/>
      <c r="CP18" s="327"/>
      <c r="CQ18" s="327"/>
      <c r="CR18" s="328"/>
      <c r="CS18" s="328"/>
      <c r="CT18" s="328"/>
      <c r="CU18" s="328"/>
      <c r="CV18" s="328"/>
      <c r="CW18" s="328"/>
      <c r="CX18" s="328"/>
      <c r="CY18" s="328"/>
      <c r="CZ18" s="328"/>
      <c r="DA18" s="328"/>
    </row>
    <row r="19" spans="1:105" ht="48">
      <c r="A19" s="304">
        <v>9</v>
      </c>
      <c r="B19" s="305">
        <v>46248</v>
      </c>
      <c r="C19" s="305" t="s">
        <v>305</v>
      </c>
      <c r="D19" s="305" t="s">
        <v>163</v>
      </c>
      <c r="E19" s="306">
        <v>7502327990932</v>
      </c>
      <c r="F19" s="304" t="s">
        <v>617</v>
      </c>
      <c r="G19" s="307" t="s">
        <v>618</v>
      </c>
      <c r="H19" s="308" t="s">
        <v>60</v>
      </c>
      <c r="I19" s="304" t="s">
        <v>613</v>
      </c>
      <c r="J19" s="307" t="s">
        <v>277</v>
      </c>
      <c r="K19" s="307" t="s">
        <v>309</v>
      </c>
      <c r="L19" s="309">
        <v>2</v>
      </c>
      <c r="M19" s="310" t="s">
        <v>404</v>
      </c>
      <c r="N19" s="311" t="s">
        <v>614</v>
      </c>
      <c r="O19" s="304" t="s">
        <v>312</v>
      </c>
      <c r="P19" s="304">
        <v>3</v>
      </c>
      <c r="Q19" s="312" t="s">
        <v>314</v>
      </c>
      <c r="R19" s="312">
        <v>10000</v>
      </c>
      <c r="S19" s="313">
        <f>+P19*$T$25</f>
        <v>0</v>
      </c>
      <c r="T19" s="313">
        <f>+S19*0.25</f>
        <v>0</v>
      </c>
      <c r="U19" s="313">
        <f>(S19+T19)*0.0267</f>
        <v>0</v>
      </c>
      <c r="V19" s="314">
        <f>S19+T19+U19</f>
        <v>0</v>
      </c>
      <c r="W19" s="315">
        <v>179</v>
      </c>
      <c r="X19" s="313">
        <f>W19/1.16</f>
        <v>154.31034482758622</v>
      </c>
      <c r="Y19" s="313">
        <f>X19*0.6</f>
        <v>92.58620689655173</v>
      </c>
      <c r="Z19" s="316">
        <f>V19/Y19</f>
        <v>0</v>
      </c>
      <c r="AA19" s="316">
        <f>1-(V19/Y19)</f>
        <v>1</v>
      </c>
      <c r="AB19" s="317">
        <f>1-(Y19/(W19/1.16))</f>
        <v>0.4</v>
      </c>
      <c r="AC19" s="318" t="s">
        <v>315</v>
      </c>
      <c r="AD19" s="304"/>
      <c r="AE19" s="307">
        <v>6</v>
      </c>
      <c r="AF19" s="307">
        <v>144</v>
      </c>
      <c r="AG19" s="304"/>
      <c r="AI19" s="319">
        <v>116.35</v>
      </c>
      <c r="AJ19" s="320">
        <f>+AI19/1.16</f>
        <v>100.30172413793103</v>
      </c>
      <c r="AK19" s="321">
        <f>+V19/AJ19</f>
        <v>0</v>
      </c>
      <c r="AL19" s="321">
        <f>1-V19/AJ19</f>
        <v>1</v>
      </c>
      <c r="AM19" s="317">
        <f>1-(AJ19/(AI19/1.16))</f>
        <v>0</v>
      </c>
      <c r="BA19" s="322">
        <v>1</v>
      </c>
      <c r="BB19" s="322">
        <v>1</v>
      </c>
      <c r="BC19" s="322">
        <v>1</v>
      </c>
      <c r="BD19" s="322">
        <v>1</v>
      </c>
      <c r="BE19" s="322"/>
      <c r="BF19" s="322"/>
      <c r="BG19" s="322"/>
      <c r="BH19" s="322"/>
      <c r="BI19" s="322"/>
      <c r="BJ19" s="322">
        <v>9</v>
      </c>
      <c r="BK19" s="322">
        <f>SUM(BA19:BI19)</f>
        <v>4</v>
      </c>
      <c r="BL19" s="323">
        <f>+BK19/BJ19</f>
        <v>0.44444444444444442</v>
      </c>
      <c r="BR19" s="324" t="s">
        <v>514</v>
      </c>
      <c r="BS19" s="329"/>
      <c r="BT19" s="325" t="s">
        <v>425</v>
      </c>
      <c r="CJ19" s="325"/>
      <c r="CK19" s="325"/>
      <c r="CL19" s="325"/>
      <c r="CM19" s="325"/>
      <c r="CN19" s="325"/>
      <c r="CO19" s="325"/>
      <c r="CP19" s="327"/>
      <c r="CQ19" s="327"/>
      <c r="CR19" s="328"/>
      <c r="CS19" s="328"/>
      <c r="CT19" s="328"/>
      <c r="CU19" s="328"/>
      <c r="CV19" s="328"/>
      <c r="CW19" s="328"/>
      <c r="CX19" s="328"/>
      <c r="CY19" s="328"/>
      <c r="CZ19" s="328"/>
      <c r="DA19" s="328"/>
    </row>
    <row r="20" spans="1:105" ht="48">
      <c r="A20" s="304">
        <v>10</v>
      </c>
      <c r="B20" s="305">
        <v>46248</v>
      </c>
      <c r="C20" s="305" t="s">
        <v>305</v>
      </c>
      <c r="D20" s="305" t="s">
        <v>163</v>
      </c>
      <c r="E20" s="306">
        <v>7502327990949</v>
      </c>
      <c r="F20" s="304" t="s">
        <v>619</v>
      </c>
      <c r="G20" s="307" t="s">
        <v>620</v>
      </c>
      <c r="H20" s="308" t="s">
        <v>60</v>
      </c>
      <c r="I20" s="304" t="s">
        <v>613</v>
      </c>
      <c r="J20" s="307" t="s">
        <v>277</v>
      </c>
      <c r="K20" s="307" t="s">
        <v>309</v>
      </c>
      <c r="L20" s="309">
        <v>2</v>
      </c>
      <c r="M20" s="310" t="s">
        <v>404</v>
      </c>
      <c r="N20" s="311" t="s">
        <v>614</v>
      </c>
      <c r="O20" s="304" t="s">
        <v>312</v>
      </c>
      <c r="P20" s="304">
        <v>3</v>
      </c>
      <c r="Q20" s="312" t="s">
        <v>314</v>
      </c>
      <c r="R20" s="312">
        <v>10000</v>
      </c>
      <c r="S20" s="313">
        <f>+P20*$T$25</f>
        <v>0</v>
      </c>
      <c r="T20" s="313">
        <f>+S20*0.25</f>
        <v>0</v>
      </c>
      <c r="U20" s="313">
        <f>(S20+T20)*0.0267</f>
        <v>0</v>
      </c>
      <c r="V20" s="314">
        <f>S20+T20+U20</f>
        <v>0</v>
      </c>
      <c r="W20" s="315">
        <v>179</v>
      </c>
      <c r="X20" s="313">
        <f>W20/1.16</f>
        <v>154.31034482758622</v>
      </c>
      <c r="Y20" s="313">
        <f>X20*0.6</f>
        <v>92.58620689655173</v>
      </c>
      <c r="Z20" s="316">
        <f>V20/Y20</f>
        <v>0</v>
      </c>
      <c r="AA20" s="316">
        <f>1-(V20/Y20)</f>
        <v>1</v>
      </c>
      <c r="AB20" s="317">
        <f>1-(Y20/(W20/1.16))</f>
        <v>0.4</v>
      </c>
      <c r="AC20" s="318" t="s">
        <v>315</v>
      </c>
      <c r="AD20" s="304"/>
      <c r="AE20" s="307">
        <v>6</v>
      </c>
      <c r="AF20" s="307">
        <v>144</v>
      </c>
      <c r="AG20" s="304"/>
      <c r="AI20" s="319">
        <v>116.35</v>
      </c>
      <c r="AJ20" s="320">
        <f>+AI20/1.16</f>
        <v>100.30172413793103</v>
      </c>
      <c r="AK20" s="321">
        <f>+V20/AJ20</f>
        <v>0</v>
      </c>
      <c r="AL20" s="321">
        <f>1-V20/AJ20</f>
        <v>1</v>
      </c>
      <c r="AM20" s="317">
        <f>1-(AJ20/(AI20/1.16))</f>
        <v>0</v>
      </c>
      <c r="BA20" s="322">
        <v>1</v>
      </c>
      <c r="BB20" s="322">
        <v>1</v>
      </c>
      <c r="BC20" s="322">
        <v>1</v>
      </c>
      <c r="BD20" s="322">
        <v>1</v>
      </c>
      <c r="BE20" s="322"/>
      <c r="BF20" s="322"/>
      <c r="BG20" s="322"/>
      <c r="BH20" s="322"/>
      <c r="BI20" s="322"/>
      <c r="BJ20" s="322">
        <v>9</v>
      </c>
      <c r="BK20" s="322">
        <f>SUM(BA20:BI20)</f>
        <v>4</v>
      </c>
      <c r="BL20" s="323">
        <f>+BK20/BJ20</f>
        <v>0.44444444444444442</v>
      </c>
      <c r="BR20" s="324" t="s">
        <v>514</v>
      </c>
      <c r="BS20" s="329"/>
      <c r="BT20" s="325" t="s">
        <v>425</v>
      </c>
      <c r="CJ20" s="325"/>
      <c r="CK20" s="325"/>
      <c r="CL20" s="325"/>
      <c r="CM20" s="325"/>
      <c r="CN20" s="325"/>
      <c r="CO20" s="325"/>
      <c r="CP20" s="327"/>
      <c r="CQ20" s="327"/>
      <c r="CR20" s="328"/>
      <c r="CS20" s="328"/>
      <c r="CT20" s="328"/>
      <c r="CU20" s="328"/>
      <c r="CV20" s="328"/>
      <c r="CW20" s="328"/>
      <c r="CX20" s="328"/>
      <c r="CY20" s="328"/>
      <c r="CZ20" s="328"/>
      <c r="DA20" s="328"/>
    </row>
    <row r="21" spans="1:105" ht="31">
      <c r="A21" s="304">
        <v>68</v>
      </c>
      <c r="B21" s="305">
        <v>46248</v>
      </c>
      <c r="C21" s="305" t="s">
        <v>305</v>
      </c>
      <c r="D21" s="305" t="s">
        <v>163</v>
      </c>
      <c r="E21" s="306">
        <v>7502327991526</v>
      </c>
      <c r="F21" s="304" t="s">
        <v>621</v>
      </c>
      <c r="G21" s="307" t="s">
        <v>622</v>
      </c>
      <c r="H21" s="308" t="s">
        <v>60</v>
      </c>
      <c r="I21" s="304" t="s">
        <v>108</v>
      </c>
      <c r="J21" s="307" t="s">
        <v>277</v>
      </c>
      <c r="K21" s="307" t="s">
        <v>309</v>
      </c>
      <c r="L21" s="309">
        <v>2</v>
      </c>
      <c r="M21" s="330" t="s">
        <v>310</v>
      </c>
      <c r="N21" s="304"/>
      <c r="O21" s="304" t="s">
        <v>506</v>
      </c>
      <c r="P21" s="304">
        <v>9</v>
      </c>
      <c r="Q21" s="312" t="s">
        <v>314</v>
      </c>
      <c r="R21" s="312">
        <v>10000</v>
      </c>
      <c r="S21" s="313">
        <f>+P21*$T$25</f>
        <v>0</v>
      </c>
      <c r="T21" s="313">
        <f>+S21*0.25</f>
        <v>0</v>
      </c>
      <c r="U21" s="313">
        <f>(S21+T21)*0.0556</f>
        <v>0</v>
      </c>
      <c r="V21" s="314">
        <f>S21+T21+U21</f>
        <v>0</v>
      </c>
      <c r="W21" s="331">
        <v>249</v>
      </c>
      <c r="X21" s="313">
        <f>W21/1.16</f>
        <v>214.65517241379311</v>
      </c>
      <c r="Y21" s="313">
        <f>X21*0.6</f>
        <v>128.79310344827587</v>
      </c>
      <c r="Z21" s="316">
        <f>V21/Y21</f>
        <v>0</v>
      </c>
      <c r="AA21" s="316">
        <f>1-(V21/Y21)</f>
        <v>1</v>
      </c>
      <c r="AB21" s="317">
        <f>1-(Y21/(W21/1.16))</f>
        <v>0.4</v>
      </c>
      <c r="AC21" s="318" t="s">
        <v>315</v>
      </c>
      <c r="AD21" s="304"/>
      <c r="AE21" s="307">
        <v>4</v>
      </c>
      <c r="AF21" s="307">
        <v>48</v>
      </c>
      <c r="AG21" s="304"/>
      <c r="AI21" s="320">
        <v>161.85</v>
      </c>
      <c r="AJ21" s="320">
        <f>+AI21/1.16</f>
        <v>139.52586206896552</v>
      </c>
      <c r="AK21" s="321">
        <f>+V21/AJ21</f>
        <v>0</v>
      </c>
      <c r="AL21" s="321">
        <f>1-V21/AJ21</f>
        <v>1</v>
      </c>
      <c r="AM21" s="317">
        <f>1-(AJ21/(AI21/1.16))</f>
        <v>0</v>
      </c>
      <c r="BA21" s="322">
        <v>1</v>
      </c>
      <c r="BB21" s="322">
        <v>1</v>
      </c>
      <c r="BC21" s="322">
        <v>1</v>
      </c>
      <c r="BD21" s="322">
        <v>1</v>
      </c>
      <c r="BE21" s="322"/>
      <c r="BF21" s="322"/>
      <c r="BG21" s="322"/>
      <c r="BH21" s="322"/>
      <c r="BI21" s="322"/>
      <c r="BJ21" s="322">
        <v>9</v>
      </c>
      <c r="BK21" s="322">
        <f>SUM(BA21:BI21)</f>
        <v>4</v>
      </c>
      <c r="BL21" s="323">
        <f>+BK21/BJ21</f>
        <v>0.44444444444444442</v>
      </c>
      <c r="BR21" s="324" t="s">
        <v>514</v>
      </c>
      <c r="BS21" s="329"/>
      <c r="BT21" s="325" t="s">
        <v>425</v>
      </c>
      <c r="CJ21" s="325"/>
      <c r="CK21" s="325"/>
      <c r="CL21" s="325"/>
      <c r="CM21" s="325"/>
      <c r="CN21" s="325"/>
      <c r="CO21" s="325"/>
      <c r="CP21" s="327"/>
      <c r="CQ21" s="327"/>
      <c r="CR21" s="328"/>
      <c r="CS21" s="328"/>
      <c r="CT21" s="328"/>
      <c r="CU21" s="328"/>
      <c r="CV21" s="328"/>
      <c r="CW21" s="328"/>
      <c r="CX21" s="328"/>
      <c r="CY21" s="328"/>
      <c r="CZ21" s="328"/>
      <c r="DA21" s="328"/>
    </row>
    <row r="22" spans="1:105">
      <c r="BR22" s="329"/>
      <c r="BS22" s="329"/>
      <c r="BT22" s="329"/>
      <c r="CJ22" s="325"/>
      <c r="CK22" s="325"/>
      <c r="CL22" s="325"/>
      <c r="CM22" s="325"/>
      <c r="CN22" s="325"/>
      <c r="CO22" s="325"/>
      <c r="CP22" s="327"/>
      <c r="CQ22" s="327"/>
      <c r="CR22" s="328"/>
      <c r="CS22" s="328"/>
      <c r="CT22" s="328"/>
      <c r="CU22" s="328"/>
      <c r="CV22" s="328"/>
      <c r="CW22" s="328"/>
      <c r="CX22" s="328"/>
      <c r="CY22" s="328"/>
      <c r="CZ22" s="328"/>
      <c r="DA22" s="328"/>
    </row>
    <row r="23" spans="1:105">
      <c r="CJ23" s="325"/>
      <c r="CK23" s="325"/>
      <c r="CL23" s="325"/>
      <c r="CM23" s="325"/>
      <c r="CN23" s="325"/>
      <c r="CO23" s="325"/>
      <c r="CP23" s="327"/>
      <c r="CQ23" s="327"/>
      <c r="CR23" s="328"/>
      <c r="CS23" s="328"/>
      <c r="CT23" s="328"/>
      <c r="CU23" s="328"/>
      <c r="CV23" s="328"/>
      <c r="CW23" s="328"/>
      <c r="CX23" s="328"/>
      <c r="CY23" s="328"/>
      <c r="CZ23" s="328"/>
      <c r="DA23" s="328"/>
    </row>
    <row r="24" spans="1:105">
      <c r="CJ24" s="325"/>
      <c r="CK24" s="325"/>
      <c r="CL24" s="325"/>
      <c r="CM24" s="325"/>
      <c r="CN24" s="325"/>
      <c r="CO24" s="325"/>
      <c r="CP24" s="327"/>
      <c r="CQ24" s="327"/>
      <c r="CR24" s="328"/>
      <c r="CS24" s="328"/>
      <c r="CT24" s="328"/>
      <c r="CU24" s="328"/>
      <c r="CV24" s="328"/>
      <c r="CW24" s="328"/>
      <c r="CX24" s="328"/>
      <c r="CY24" s="328"/>
      <c r="CZ24" s="328"/>
      <c r="DA24" s="328"/>
    </row>
    <row r="25" spans="1:105">
      <c r="CJ25" s="325"/>
      <c r="CK25" s="325"/>
      <c r="CL25" s="325"/>
      <c r="CM25" s="325"/>
      <c r="CN25" s="325"/>
      <c r="CO25" s="325"/>
      <c r="CP25" s="327"/>
      <c r="CQ25" s="327"/>
      <c r="CR25" s="328"/>
      <c r="CS25" s="328"/>
      <c r="CT25" s="328"/>
      <c r="CU25" s="328"/>
      <c r="CV25" s="328"/>
      <c r="CW25" s="328"/>
      <c r="CX25" s="328"/>
      <c r="CY25" s="328"/>
      <c r="CZ25" s="328"/>
      <c r="DA25" s="328"/>
    </row>
    <row r="26" spans="1:105">
      <c r="CJ26" s="325"/>
      <c r="CK26" s="325"/>
      <c r="CL26" s="325"/>
      <c r="CM26" s="325"/>
      <c r="CN26" s="325"/>
      <c r="CO26" s="325"/>
      <c r="CP26" s="327"/>
      <c r="CQ26" s="327"/>
      <c r="CR26" s="328"/>
      <c r="CS26" s="328"/>
      <c r="CT26" s="328"/>
      <c r="CU26" s="328"/>
      <c r="CV26" s="328"/>
      <c r="CW26" s="328"/>
      <c r="CX26" s="328"/>
      <c r="CY26" s="328"/>
      <c r="CZ26" s="328"/>
      <c r="DA26" s="328"/>
    </row>
    <row r="27" spans="1:105">
      <c r="CJ27" s="325"/>
      <c r="CK27" s="325"/>
      <c r="CL27" s="325"/>
      <c r="CM27" s="325"/>
      <c r="CN27" s="325"/>
      <c r="CO27" s="325"/>
      <c r="CP27" s="327"/>
      <c r="CQ27" s="327"/>
      <c r="CR27" s="328"/>
      <c r="CS27" s="328"/>
      <c r="CT27" s="328"/>
      <c r="CU27" s="328"/>
      <c r="CV27" s="328"/>
      <c r="CW27" s="328"/>
      <c r="CX27" s="328"/>
      <c r="CY27" s="328"/>
      <c r="CZ27" s="328"/>
      <c r="DA27" s="328"/>
    </row>
    <row r="28" spans="1:105">
      <c r="CJ28" s="325"/>
      <c r="CK28" s="325"/>
      <c r="CL28" s="325"/>
      <c r="CM28" s="325"/>
      <c r="CN28" s="325"/>
      <c r="CO28" s="325"/>
      <c r="CP28" s="327"/>
      <c r="CQ28" s="327"/>
      <c r="CR28" s="328"/>
      <c r="CS28" s="328"/>
      <c r="CT28" s="328"/>
      <c r="CU28" s="328"/>
      <c r="CV28" s="328"/>
      <c r="CW28" s="328"/>
      <c r="CX28" s="328"/>
      <c r="CY28" s="328"/>
      <c r="CZ28" s="328"/>
      <c r="DA28" s="328"/>
    </row>
    <row r="29" spans="1:105">
      <c r="CJ29" s="325"/>
      <c r="CK29" s="325"/>
      <c r="CL29" s="325"/>
      <c r="CM29" s="325"/>
      <c r="CN29" s="325"/>
      <c r="CO29" s="325"/>
      <c r="CP29" s="327"/>
      <c r="CQ29" s="327"/>
      <c r="CR29" s="328"/>
      <c r="CS29" s="328"/>
      <c r="CT29" s="328"/>
      <c r="CU29" s="328"/>
      <c r="CV29" s="328"/>
      <c r="CW29" s="328"/>
      <c r="CX29" s="328"/>
      <c r="CY29" s="328"/>
      <c r="CZ29" s="328"/>
      <c r="DA29" s="328"/>
    </row>
    <row r="30" spans="1:105">
      <c r="CJ30" s="325"/>
      <c r="CK30" s="325"/>
      <c r="CL30" s="325"/>
      <c r="CM30" s="325"/>
      <c r="CN30" s="325"/>
      <c r="CO30" s="325"/>
      <c r="CP30" s="327"/>
      <c r="CQ30" s="327"/>
      <c r="CR30" s="328"/>
      <c r="CS30" s="328"/>
      <c r="CT30" s="328"/>
      <c r="CU30" s="328"/>
      <c r="CV30" s="328"/>
      <c r="CW30" s="328"/>
      <c r="CX30" s="328"/>
      <c r="CY30" s="328"/>
      <c r="CZ30" s="328"/>
      <c r="DA30" s="328"/>
    </row>
    <row r="31" spans="1:105">
      <c r="CJ31" s="325"/>
      <c r="CK31" s="325"/>
      <c r="CL31" s="325"/>
      <c r="CM31" s="325"/>
      <c r="CN31" s="325"/>
      <c r="CO31" s="325"/>
      <c r="CP31" s="327"/>
      <c r="CQ31" s="327"/>
      <c r="CR31" s="328"/>
      <c r="CS31" s="328"/>
      <c r="CT31" s="328"/>
      <c r="CU31" s="328"/>
      <c r="CV31" s="328"/>
      <c r="CW31" s="328"/>
      <c r="CX31" s="328"/>
      <c r="CY31" s="328"/>
      <c r="CZ31" s="328"/>
      <c r="DA31" s="328"/>
    </row>
    <row r="32" spans="1:105">
      <c r="CJ32" s="325"/>
      <c r="CK32" s="325"/>
      <c r="CL32" s="325"/>
      <c r="CM32" s="325"/>
      <c r="CN32" s="325"/>
      <c r="CO32" s="325"/>
      <c r="CP32" s="327"/>
      <c r="CQ32" s="327"/>
      <c r="CR32" s="328"/>
      <c r="CS32" s="328"/>
      <c r="CT32" s="328"/>
      <c r="CU32" s="328"/>
      <c r="CV32" s="328"/>
      <c r="CW32" s="328"/>
      <c r="CX32" s="328"/>
      <c r="CY32" s="328"/>
      <c r="CZ32" s="328"/>
      <c r="DA32" s="328"/>
    </row>
    <row r="33" spans="88:105">
      <c r="CJ33" s="325"/>
      <c r="CK33" s="325"/>
      <c r="CL33" s="325"/>
      <c r="CM33" s="325"/>
      <c r="CN33" s="325"/>
      <c r="CO33" s="325"/>
      <c r="CP33" s="327"/>
      <c r="CQ33" s="327"/>
      <c r="CR33" s="328"/>
      <c r="CS33" s="328"/>
      <c r="CT33" s="328"/>
      <c r="CU33" s="328"/>
      <c r="CV33" s="328"/>
      <c r="CW33" s="328"/>
      <c r="CX33" s="328"/>
      <c r="CY33" s="328"/>
      <c r="CZ33" s="328"/>
      <c r="DA33" s="328"/>
    </row>
    <row r="34" spans="88:105">
      <c r="CJ34" s="325"/>
      <c r="CK34" s="325"/>
      <c r="CL34" s="325"/>
      <c r="CM34" s="325"/>
      <c r="CN34" s="325"/>
      <c r="CO34" s="325"/>
      <c r="CP34" s="327"/>
      <c r="CQ34" s="327"/>
      <c r="CR34" s="328"/>
      <c r="CS34" s="328"/>
      <c r="CT34" s="328"/>
      <c r="CU34" s="328"/>
      <c r="CV34" s="328"/>
      <c r="CW34" s="328"/>
      <c r="CX34" s="328"/>
      <c r="CY34" s="328"/>
      <c r="CZ34" s="328"/>
      <c r="DA34" s="328"/>
    </row>
    <row r="35" spans="88:105">
      <c r="CJ35" s="325"/>
      <c r="CK35" s="325"/>
      <c r="CL35" s="325"/>
      <c r="CM35" s="325"/>
      <c r="CN35" s="325"/>
      <c r="CO35" s="325"/>
      <c r="CP35" s="327"/>
      <c r="CQ35" s="327"/>
      <c r="CR35" s="328"/>
      <c r="CS35" s="328"/>
      <c r="CT35" s="328"/>
      <c r="CU35" s="328"/>
      <c r="CV35" s="328"/>
      <c r="CW35" s="328"/>
      <c r="CX35" s="328"/>
      <c r="CY35" s="328"/>
      <c r="CZ35" s="328"/>
      <c r="DA35" s="328"/>
    </row>
    <row r="36" spans="88:105">
      <c r="CJ36" s="325"/>
      <c r="CK36" s="325"/>
      <c r="CL36" s="325"/>
      <c r="CM36" s="325"/>
      <c r="CN36" s="325"/>
      <c r="CO36" s="325"/>
      <c r="CP36" s="327"/>
      <c r="CQ36" s="327"/>
      <c r="CR36" s="328"/>
      <c r="CS36" s="328"/>
      <c r="CT36" s="328"/>
      <c r="CU36" s="328"/>
      <c r="CV36" s="328"/>
      <c r="CW36" s="328"/>
      <c r="CX36" s="328"/>
      <c r="CY36" s="328"/>
      <c r="CZ36" s="328"/>
      <c r="DA36" s="328"/>
    </row>
    <row r="37" spans="88:105">
      <c r="CJ37" s="325"/>
      <c r="CK37" s="325"/>
      <c r="CL37" s="325"/>
      <c r="CM37" s="325"/>
      <c r="CN37" s="325"/>
      <c r="CO37" s="325"/>
      <c r="CP37" s="327"/>
      <c r="CQ37" s="327"/>
      <c r="CR37" s="328"/>
      <c r="CS37" s="328"/>
      <c r="CT37" s="328"/>
      <c r="CU37" s="328"/>
      <c r="CV37" s="328"/>
      <c r="CW37" s="328"/>
      <c r="CX37" s="328"/>
      <c r="CY37" s="328"/>
      <c r="CZ37" s="328"/>
      <c r="DA37" s="328"/>
    </row>
    <row r="38" spans="88:105">
      <c r="CJ38" s="325"/>
      <c r="CK38" s="325"/>
      <c r="CL38" s="325"/>
      <c r="CM38" s="325"/>
      <c r="CN38" s="325"/>
      <c r="CO38" s="325"/>
      <c r="CP38" s="327"/>
      <c r="CQ38" s="327"/>
      <c r="CR38" s="328"/>
      <c r="CS38" s="328"/>
      <c r="CT38" s="328"/>
      <c r="CU38" s="328"/>
      <c r="CV38" s="328"/>
      <c r="CW38" s="328"/>
      <c r="CX38" s="328"/>
      <c r="CY38" s="328"/>
      <c r="CZ38" s="328"/>
      <c r="DA38" s="328"/>
    </row>
    <row r="39" spans="88:105">
      <c r="CJ39" s="325"/>
      <c r="CK39" s="325"/>
      <c r="CL39" s="325"/>
      <c r="CM39" s="325"/>
      <c r="CN39" s="325"/>
      <c r="CO39" s="325"/>
      <c r="CP39" s="327"/>
      <c r="CQ39" s="327"/>
      <c r="CR39" s="328"/>
      <c r="CS39" s="328"/>
      <c r="CT39" s="328"/>
      <c r="CU39" s="328"/>
      <c r="CV39" s="328"/>
      <c r="CW39" s="328"/>
      <c r="CX39" s="328"/>
      <c r="CY39" s="328"/>
      <c r="CZ39" s="328"/>
      <c r="DA39" s="328"/>
    </row>
    <row r="40" spans="88:105">
      <c r="CJ40" s="325"/>
      <c r="CK40" s="325"/>
      <c r="CL40" s="325"/>
      <c r="CM40" s="325"/>
      <c r="CN40" s="325"/>
      <c r="CO40" s="325"/>
      <c r="CP40" s="327"/>
      <c r="CQ40" s="327"/>
      <c r="CR40" s="328"/>
      <c r="CS40" s="328"/>
      <c r="CT40" s="328"/>
      <c r="CU40" s="328"/>
      <c r="CV40" s="328"/>
      <c r="CW40" s="328"/>
      <c r="CX40" s="328"/>
      <c r="CY40" s="328"/>
      <c r="CZ40" s="328"/>
      <c r="DA40" s="328"/>
    </row>
    <row r="41" spans="88:105">
      <c r="CJ41" s="325"/>
      <c r="CK41" s="325"/>
      <c r="CL41" s="325"/>
      <c r="CM41" s="325"/>
      <c r="CN41" s="325"/>
      <c r="CO41" s="325"/>
      <c r="CP41" s="327"/>
      <c r="CQ41" s="327"/>
      <c r="CR41" s="328"/>
      <c r="CS41" s="328"/>
      <c r="CT41" s="328"/>
      <c r="CU41" s="328"/>
      <c r="CV41" s="328"/>
      <c r="CW41" s="328"/>
      <c r="CX41" s="328"/>
      <c r="CY41" s="328"/>
      <c r="CZ41" s="328"/>
      <c r="DA41" s="328"/>
    </row>
    <row r="42" spans="88:105">
      <c r="CJ42" s="325"/>
      <c r="CK42" s="325"/>
      <c r="CL42" s="325"/>
      <c r="CM42" s="325"/>
      <c r="CN42" s="325"/>
      <c r="CO42" s="325"/>
      <c r="CP42" s="327"/>
      <c r="CQ42" s="327"/>
      <c r="CR42" s="328"/>
      <c r="CS42" s="328"/>
      <c r="CT42" s="328"/>
      <c r="CU42" s="328"/>
      <c r="CV42" s="328"/>
      <c r="CW42" s="328"/>
      <c r="CX42" s="328"/>
      <c r="CY42" s="328"/>
      <c r="CZ42" s="328"/>
      <c r="DA42" s="328"/>
    </row>
    <row r="43" spans="88:105">
      <c r="CJ43" s="325"/>
      <c r="CK43" s="325"/>
      <c r="CL43" s="325"/>
      <c r="CM43" s="325"/>
      <c r="CN43" s="325"/>
      <c r="CO43" s="325"/>
      <c r="CP43" s="327"/>
      <c r="CQ43" s="327"/>
      <c r="CR43" s="328"/>
      <c r="CS43" s="328"/>
      <c r="CT43" s="328"/>
      <c r="CU43" s="328"/>
      <c r="CV43" s="328"/>
      <c r="CW43" s="328"/>
      <c r="CX43" s="328"/>
      <c r="CY43" s="328"/>
      <c r="CZ43" s="328"/>
      <c r="DA43" s="328"/>
    </row>
    <row r="44" spans="88:105">
      <c r="CJ44" s="325"/>
      <c r="CK44" s="325"/>
      <c r="CL44" s="325"/>
      <c r="CM44" s="325"/>
      <c r="CN44" s="325"/>
      <c r="CO44" s="325"/>
      <c r="CP44" s="327"/>
      <c r="CQ44" s="327"/>
      <c r="CR44" s="329"/>
      <c r="CS44" s="329"/>
      <c r="CT44" s="329"/>
      <c r="CU44" s="329"/>
      <c r="CV44" s="329"/>
      <c r="CW44" s="329"/>
      <c r="CX44" s="329"/>
      <c r="CY44" s="329"/>
      <c r="CZ44" s="329"/>
      <c r="DA44" s="329"/>
    </row>
    <row r="45" spans="88:105">
      <c r="CJ45" s="325"/>
      <c r="CK45" s="325"/>
      <c r="CL45" s="325"/>
      <c r="CM45" s="325"/>
      <c r="CN45" s="325"/>
      <c r="CO45" s="325"/>
      <c r="CP45" s="327"/>
      <c r="CQ45" s="327"/>
      <c r="CR45" s="328"/>
      <c r="CS45" s="328"/>
      <c r="CT45" s="328"/>
      <c r="CU45" s="328"/>
      <c r="CV45" s="328"/>
      <c r="CW45" s="328"/>
      <c r="CX45" s="328"/>
      <c r="CY45" s="328"/>
      <c r="CZ45" s="328"/>
      <c r="DA45" s="328"/>
    </row>
    <row r="46" spans="88:105">
      <c r="CJ46" s="325"/>
      <c r="CK46" s="325"/>
      <c r="CL46" s="325"/>
      <c r="CM46" s="325"/>
      <c r="CN46" s="325"/>
      <c r="CO46" s="325"/>
      <c r="CP46" s="327"/>
      <c r="CQ46" s="327"/>
      <c r="CR46" s="328"/>
      <c r="CS46" s="328"/>
      <c r="CT46" s="328"/>
      <c r="CU46" s="328"/>
      <c r="CV46" s="328"/>
      <c r="CW46" s="328"/>
      <c r="CX46" s="328"/>
      <c r="CY46" s="328"/>
      <c r="CZ46" s="328"/>
      <c r="DA46" s="328"/>
    </row>
    <row r="47" spans="88:105">
      <c r="CJ47" s="325"/>
      <c r="CK47" s="325"/>
      <c r="CL47" s="325"/>
      <c r="CM47" s="325"/>
      <c r="CN47" s="325"/>
      <c r="CO47" s="325"/>
      <c r="CP47" s="327"/>
      <c r="CQ47" s="327"/>
      <c r="CR47" s="328"/>
      <c r="CS47" s="328"/>
      <c r="CT47" s="328"/>
      <c r="CU47" s="328"/>
      <c r="CV47" s="328"/>
      <c r="CW47" s="328"/>
      <c r="CX47" s="328"/>
      <c r="CY47" s="328"/>
      <c r="CZ47" s="328"/>
      <c r="DA47" s="328"/>
    </row>
    <row r="48" spans="88:105">
      <c r="CJ48" s="325"/>
      <c r="CK48" s="325"/>
      <c r="CL48" s="325"/>
      <c r="CM48" s="325"/>
      <c r="CN48" s="325"/>
      <c r="CO48" s="325"/>
      <c r="CP48" s="327"/>
      <c r="CQ48" s="327"/>
      <c r="CR48" s="328"/>
      <c r="CS48" s="328"/>
      <c r="CT48" s="328"/>
      <c r="CU48" s="328"/>
      <c r="CV48" s="328"/>
      <c r="CW48" s="328"/>
      <c r="CX48" s="328"/>
      <c r="CY48" s="328"/>
      <c r="CZ48" s="328"/>
      <c r="DA48" s="328"/>
    </row>
    <row r="49" spans="88:105">
      <c r="CJ49" s="325"/>
      <c r="CK49" s="325"/>
      <c r="CL49" s="325"/>
      <c r="CM49" s="325"/>
      <c r="CN49" s="325"/>
      <c r="CO49" s="325"/>
      <c r="CP49" s="327"/>
      <c r="CQ49" s="327"/>
      <c r="CR49" s="328"/>
      <c r="CS49" s="328"/>
      <c r="CT49" s="328"/>
      <c r="CU49" s="328"/>
      <c r="CV49" s="328"/>
      <c r="CW49" s="328"/>
      <c r="CX49" s="328"/>
      <c r="CY49" s="328"/>
      <c r="CZ49" s="328"/>
      <c r="DA49" s="328"/>
    </row>
    <row r="50" spans="88:105">
      <c r="CJ50" s="325"/>
      <c r="CK50" s="325"/>
      <c r="CL50" s="325"/>
      <c r="CM50" s="325"/>
      <c r="CN50" s="325"/>
      <c r="CO50" s="325"/>
      <c r="CP50" s="327"/>
      <c r="CQ50" s="327"/>
      <c r="CR50" s="328"/>
      <c r="CS50" s="328"/>
      <c r="CT50" s="328"/>
      <c r="CU50" s="328"/>
      <c r="CV50" s="328"/>
      <c r="CW50" s="328"/>
      <c r="CX50" s="328"/>
      <c r="CY50" s="328"/>
      <c r="CZ50" s="328"/>
      <c r="DA50" s="328"/>
    </row>
    <row r="51" spans="88:105">
      <c r="CJ51" s="325"/>
      <c r="CK51" s="325"/>
      <c r="CL51" s="325"/>
      <c r="CM51" s="325"/>
      <c r="CN51" s="325"/>
      <c r="CO51" s="325"/>
      <c r="CP51" s="327"/>
      <c r="CQ51" s="327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</row>
    <row r="52" spans="88:105">
      <c r="CJ52" s="325"/>
      <c r="CK52" s="325"/>
      <c r="CL52" s="325"/>
      <c r="CM52" s="325"/>
      <c r="CN52" s="325"/>
      <c r="CO52" s="325"/>
      <c r="CP52" s="327"/>
      <c r="CQ52" s="327"/>
      <c r="CR52" s="328"/>
      <c r="CS52" s="328"/>
      <c r="CT52" s="328"/>
      <c r="CU52" s="328"/>
      <c r="CV52" s="328"/>
      <c r="CW52" s="328"/>
      <c r="CX52" s="328"/>
      <c r="CY52" s="328"/>
      <c r="CZ52" s="328"/>
      <c r="DA52" s="328"/>
    </row>
    <row r="53" spans="88:105">
      <c r="CJ53" s="325"/>
      <c r="CK53" s="325"/>
      <c r="CL53" s="325"/>
      <c r="CM53" s="325"/>
      <c r="CN53" s="325"/>
      <c r="CO53" s="325"/>
      <c r="CP53" s="327"/>
      <c r="CQ53" s="327"/>
      <c r="CR53" s="328"/>
      <c r="CS53" s="328"/>
      <c r="CT53" s="328"/>
      <c r="CU53" s="328"/>
      <c r="CV53" s="328"/>
      <c r="CW53" s="328"/>
      <c r="CX53" s="328"/>
      <c r="CY53" s="328"/>
      <c r="CZ53" s="328"/>
      <c r="DA53" s="328"/>
    </row>
    <row r="54" spans="88:105">
      <c r="CJ54" s="325"/>
      <c r="CK54" s="325"/>
      <c r="CL54" s="325"/>
      <c r="CM54" s="325"/>
      <c r="CN54" s="325"/>
      <c r="CO54" s="325"/>
      <c r="CP54" s="327"/>
      <c r="CQ54" s="327"/>
      <c r="CR54" s="328"/>
      <c r="CS54" s="328"/>
      <c r="CT54" s="328"/>
      <c r="CU54" s="328"/>
      <c r="CV54" s="328"/>
      <c r="CW54" s="328"/>
      <c r="CX54" s="328"/>
      <c r="CY54" s="328"/>
      <c r="CZ54" s="328"/>
      <c r="DA54" s="328"/>
    </row>
    <row r="55" spans="88:105">
      <c r="CJ55" s="325"/>
      <c r="CK55" s="325"/>
      <c r="CL55" s="325"/>
      <c r="CM55" s="325"/>
      <c r="CN55" s="325"/>
      <c r="CO55" s="325"/>
      <c r="CP55" s="327"/>
      <c r="CQ55" s="327"/>
      <c r="CR55" s="328"/>
      <c r="CS55" s="328"/>
      <c r="CT55" s="328"/>
      <c r="CU55" s="328"/>
      <c r="CV55" s="328"/>
      <c r="CW55" s="328"/>
      <c r="CX55" s="328"/>
      <c r="CY55" s="328"/>
      <c r="CZ55" s="328"/>
      <c r="DA55" s="328"/>
    </row>
    <row r="56" spans="88:105">
      <c r="CJ56" s="325"/>
      <c r="CK56" s="325"/>
      <c r="CL56" s="325"/>
      <c r="CM56" s="325"/>
      <c r="CN56" s="325"/>
      <c r="CO56" s="325"/>
      <c r="CP56" s="327"/>
      <c r="CQ56" s="327"/>
      <c r="CR56" s="328"/>
      <c r="CS56" s="328"/>
      <c r="CT56" s="328"/>
      <c r="CU56" s="328"/>
      <c r="CV56" s="328"/>
      <c r="CW56" s="328"/>
      <c r="CX56" s="328"/>
      <c r="CY56" s="328"/>
      <c r="CZ56" s="328"/>
      <c r="DA56" s="328"/>
    </row>
    <row r="57" spans="88:105">
      <c r="CJ57" s="325"/>
      <c r="CK57" s="325"/>
      <c r="CL57" s="325"/>
      <c r="CM57" s="325"/>
      <c r="CN57" s="325"/>
      <c r="CO57" s="325"/>
      <c r="CP57" s="327"/>
      <c r="CQ57" s="327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</row>
    <row r="58" spans="88:105">
      <c r="CJ58" s="325"/>
      <c r="CK58" s="325"/>
      <c r="CL58" s="325"/>
      <c r="CM58" s="325"/>
      <c r="CN58" s="325"/>
      <c r="CO58" s="325"/>
      <c r="CP58" s="327"/>
      <c r="CQ58" s="327"/>
      <c r="CR58" s="328"/>
      <c r="CS58" s="328"/>
      <c r="CT58" s="328"/>
      <c r="CU58" s="328"/>
      <c r="CV58" s="328"/>
      <c r="CW58" s="328"/>
      <c r="CX58" s="328"/>
      <c r="CY58" s="328"/>
      <c r="CZ58" s="328"/>
      <c r="DA58" s="328"/>
    </row>
    <row r="59" spans="88:105">
      <c r="CJ59" s="325"/>
      <c r="CK59" s="325"/>
      <c r="CL59" s="325"/>
      <c r="CM59" s="325"/>
      <c r="CN59" s="325"/>
      <c r="CO59" s="325"/>
      <c r="CP59" s="327"/>
      <c r="CQ59" s="327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</row>
    <row r="60" spans="88:105">
      <c r="CJ60" s="325"/>
      <c r="CK60" s="325"/>
      <c r="CL60" s="325"/>
      <c r="CM60" s="325"/>
      <c r="CN60" s="325"/>
      <c r="CO60" s="325"/>
      <c r="CP60" s="327"/>
      <c r="CQ60" s="327"/>
      <c r="CR60" s="328"/>
      <c r="CS60" s="328"/>
      <c r="CT60" s="328"/>
      <c r="CU60" s="328"/>
      <c r="CV60" s="328"/>
      <c r="CW60" s="328"/>
      <c r="CX60" s="328"/>
      <c r="CY60" s="328"/>
      <c r="CZ60" s="328"/>
      <c r="DA60" s="328"/>
    </row>
    <row r="61" spans="88:105">
      <c r="CJ61" s="325"/>
      <c r="CK61" s="325"/>
      <c r="CL61" s="325"/>
      <c r="CM61" s="325"/>
      <c r="CN61" s="325"/>
      <c r="CO61" s="325"/>
      <c r="CP61" s="327"/>
      <c r="CQ61" s="327"/>
      <c r="CR61" s="328"/>
      <c r="CS61" s="328"/>
      <c r="CT61" s="328"/>
      <c r="CU61" s="328"/>
      <c r="CV61" s="328"/>
      <c r="CW61" s="328"/>
      <c r="CX61" s="328"/>
      <c r="CY61" s="328"/>
      <c r="CZ61" s="328"/>
      <c r="DA61" s="328"/>
    </row>
    <row r="62" spans="88:105">
      <c r="CJ62" s="325"/>
      <c r="CK62" s="325"/>
      <c r="CL62" s="325"/>
      <c r="CM62" s="325"/>
      <c r="CN62" s="325"/>
      <c r="CO62" s="325"/>
      <c r="CP62" s="327"/>
      <c r="CQ62" s="327"/>
      <c r="CR62" s="328"/>
      <c r="CS62" s="328"/>
      <c r="CT62" s="328"/>
      <c r="CU62" s="328"/>
      <c r="CV62" s="328"/>
      <c r="CW62" s="328"/>
      <c r="CX62" s="328"/>
      <c r="CY62" s="328"/>
      <c r="CZ62" s="328"/>
      <c r="DA62" s="328"/>
    </row>
    <row r="63" spans="88:105">
      <c r="CJ63" s="325"/>
      <c r="CK63" s="325"/>
      <c r="CL63" s="325"/>
      <c r="CM63" s="325"/>
      <c r="CN63" s="325"/>
      <c r="CO63" s="325"/>
      <c r="CP63" s="327"/>
      <c r="CQ63" s="327"/>
      <c r="CR63" s="328"/>
      <c r="CS63" s="328"/>
      <c r="CT63" s="328"/>
      <c r="CU63" s="328"/>
      <c r="CV63" s="328"/>
      <c r="CW63" s="328"/>
      <c r="CX63" s="328"/>
      <c r="CY63" s="328"/>
      <c r="CZ63" s="328"/>
      <c r="DA63" s="328"/>
    </row>
    <row r="64" spans="88:105">
      <c r="CJ64" s="325"/>
      <c r="CK64" s="325"/>
      <c r="CL64" s="325"/>
      <c r="CM64" s="325"/>
      <c r="CN64" s="325"/>
      <c r="CO64" s="325"/>
      <c r="CP64" s="327"/>
      <c r="CQ64" s="327"/>
      <c r="CR64" s="328"/>
      <c r="CS64" s="328"/>
      <c r="CT64" s="328"/>
      <c r="CU64" s="328"/>
      <c r="CV64" s="328"/>
      <c r="CW64" s="328"/>
      <c r="CX64" s="328"/>
      <c r="CY64" s="328"/>
      <c r="CZ64" s="328"/>
      <c r="DA64" s="328"/>
    </row>
    <row r="65" spans="88:105">
      <c r="CJ65" s="325"/>
      <c r="CK65" s="325"/>
      <c r="CL65" s="325"/>
      <c r="CM65" s="325"/>
      <c r="CN65" s="325"/>
      <c r="CO65" s="325"/>
      <c r="CP65" s="327"/>
      <c r="CQ65" s="327"/>
      <c r="CR65" s="328"/>
      <c r="CS65" s="328"/>
      <c r="CT65" s="328"/>
      <c r="CU65" s="328"/>
      <c r="CV65" s="328"/>
      <c r="CW65" s="328"/>
      <c r="CX65" s="328"/>
      <c r="CY65" s="328"/>
      <c r="CZ65" s="328"/>
      <c r="DA65" s="328"/>
    </row>
    <row r="66" spans="88:105">
      <c r="CJ66" s="325"/>
      <c r="CK66" s="325"/>
      <c r="CL66" s="325"/>
      <c r="CM66" s="325"/>
      <c r="CN66" s="325"/>
      <c r="CO66" s="325"/>
      <c r="CP66" s="327"/>
      <c r="CQ66" s="327"/>
      <c r="CR66" s="328"/>
      <c r="CS66" s="328"/>
      <c r="CT66" s="328"/>
      <c r="CU66" s="328"/>
      <c r="CV66" s="328"/>
      <c r="CW66" s="328"/>
      <c r="CX66" s="328"/>
      <c r="CY66" s="328"/>
      <c r="CZ66" s="328"/>
      <c r="DA66" s="328"/>
    </row>
    <row r="67" spans="88:105">
      <c r="CJ67" s="325"/>
      <c r="CK67" s="325"/>
      <c r="CL67" s="325"/>
      <c r="CM67" s="325"/>
      <c r="CN67" s="325"/>
      <c r="CO67" s="325"/>
      <c r="CP67" s="327"/>
      <c r="CQ67" s="327"/>
      <c r="CR67" s="328"/>
      <c r="CS67" s="328"/>
      <c r="CT67" s="328"/>
      <c r="CU67" s="328"/>
      <c r="CV67" s="328"/>
      <c r="CW67" s="328"/>
      <c r="CX67" s="328"/>
      <c r="CY67" s="328"/>
      <c r="CZ67" s="328"/>
      <c r="DA67" s="328"/>
    </row>
    <row r="68" spans="88:105">
      <c r="CJ68" s="325"/>
      <c r="CK68" s="325"/>
      <c r="CL68" s="325"/>
      <c r="CM68" s="325"/>
      <c r="CN68" s="325"/>
      <c r="CO68" s="325"/>
      <c r="CP68" s="327"/>
      <c r="CQ68" s="327"/>
      <c r="CR68" s="328"/>
      <c r="CS68" s="328"/>
      <c r="CT68" s="328"/>
      <c r="CU68" s="328"/>
      <c r="CV68" s="328"/>
      <c r="CW68" s="328"/>
      <c r="CX68" s="328"/>
      <c r="CY68" s="328"/>
      <c r="CZ68" s="328"/>
      <c r="DA68" s="328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B17" activePane="bottomRight" state="frozen"/>
      <selection pane="topRight" activeCell="H7" sqref="H7"/>
      <selection pane="bottomLeft" activeCell="A17" sqref="A17"/>
      <selection pane="bottomRight" activeCell="BL17" sqref="BL17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hidden="1" customWidth="1"/>
    <col min="14" max="14" width="18.54296875" hidden="1" customWidth="1"/>
    <col min="15" max="15" width="35.81640625" hidden="1" customWidth="1"/>
    <col min="16" max="16" width="42" hidden="1" customWidth="1"/>
    <col min="17" max="17" width="21.54296875" hidden="1" customWidth="1"/>
    <col min="18" max="18" width="33.1796875" hidden="1" customWidth="1"/>
    <col min="19" max="19" width="21.54296875" hidden="1" customWidth="1"/>
    <col min="20" max="20" width="42.54296875" hidden="1" customWidth="1"/>
    <col min="21" max="21" width="43.1796875" hidden="1" customWidth="1"/>
    <col min="22" max="22" width="40.81640625" hidden="1" customWidth="1"/>
    <col min="23" max="23" width="34.7265625" hidden="1" customWidth="1"/>
    <col min="24" max="24" width="29" hidden="1" customWidth="1"/>
    <col min="25" max="25" width="40.453125" hidden="1" customWidth="1"/>
    <col min="26" max="26" width="34.1796875" hidden="1" customWidth="1"/>
    <col min="27" max="27" width="28.81640625" hidden="1" customWidth="1"/>
    <col min="28" max="28" width="31.1796875" hidden="1" customWidth="1"/>
    <col min="29" max="29" width="12.1796875" bestFit="1" customWidth="1"/>
    <col min="30" max="30" width="15.453125" bestFit="1" customWidth="1"/>
    <col min="31" max="31" width="37.453125" style="158" customWidth="1"/>
    <col min="32" max="32" width="37.453125" customWidth="1"/>
    <col min="33" max="33" width="28.453125" customWidth="1"/>
    <col min="34" max="34" width="20.36328125" customWidth="1"/>
    <col min="35" max="35" width="40.81640625" hidden="1" customWidth="1"/>
    <col min="36" max="36" width="34.7265625" hidden="1" customWidth="1"/>
    <col min="37" max="37" width="29" hidden="1" customWidth="1"/>
    <col min="38" max="38" width="40.453125" hidden="1" customWidth="1"/>
    <col min="39" max="39" width="25.7265625" hidden="1" customWidth="1"/>
    <col min="40" max="42" width="0" hidden="1" customWidth="1"/>
    <col min="53" max="64" width="34.54296875" customWidth="1"/>
    <col min="65" max="69" width="11" style="124" customWidth="1"/>
    <col min="70" max="72" width="42" style="160" customWidth="1"/>
    <col min="88" max="93" width="35.453125" style="162" customWidth="1"/>
    <col min="94" max="105" width="35.453125" style="153" customWidth="1"/>
  </cols>
  <sheetData>
    <row r="1" spans="1:105" ht="28">
      <c r="A1" s="8"/>
      <c r="B1" s="9" t="s">
        <v>13</v>
      </c>
      <c r="C1" s="138" t="s">
        <v>163</v>
      </c>
      <c r="D1" s="122"/>
      <c r="E1" s="122"/>
      <c r="F1" s="122"/>
      <c r="G1" s="121"/>
      <c r="H1" s="122"/>
      <c r="I1" s="122"/>
      <c r="J1" s="122"/>
      <c r="K1" s="122"/>
      <c r="L1" s="122"/>
      <c r="M1" s="122"/>
      <c r="N1" s="122"/>
      <c r="O1" s="122"/>
      <c r="P1" s="123"/>
      <c r="Q1" s="122"/>
      <c r="R1" s="122"/>
      <c r="S1" s="122"/>
      <c r="T1" s="122"/>
      <c r="U1" s="122"/>
      <c r="V1" s="123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4"/>
      <c r="AI1" s="122"/>
      <c r="AJ1" s="122"/>
      <c r="AK1" s="122"/>
      <c r="AL1" s="122"/>
      <c r="AM1" s="122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BM1" s="121"/>
      <c r="BN1" s="121"/>
      <c r="BO1" s="121"/>
      <c r="BP1" s="121"/>
      <c r="BQ1" s="121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</row>
    <row r="2" spans="1:105" ht="28">
      <c r="A2" s="522" t="s">
        <v>623</v>
      </c>
      <c r="B2" s="522"/>
      <c r="C2" s="14"/>
      <c r="D2" s="122"/>
      <c r="E2" s="122"/>
      <c r="F2" s="122"/>
      <c r="G2" s="121"/>
      <c r="H2" s="122"/>
      <c r="I2" s="122"/>
      <c r="J2" s="122"/>
      <c r="K2" s="122"/>
      <c r="L2" s="122"/>
      <c r="M2" s="122"/>
      <c r="N2" s="122"/>
      <c r="O2" s="122"/>
      <c r="P2" s="123"/>
      <c r="Q2" s="122"/>
      <c r="R2" s="122"/>
      <c r="S2" s="122"/>
      <c r="T2" s="122"/>
      <c r="U2" s="122"/>
      <c r="V2" s="123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4"/>
      <c r="AI2" s="122"/>
      <c r="AJ2" s="122"/>
      <c r="AK2" s="122"/>
      <c r="AL2" s="122"/>
      <c r="AM2" s="122"/>
      <c r="AN2" s="124"/>
      <c r="AO2" s="124"/>
      <c r="AP2" s="124"/>
      <c r="AQ2" s="124"/>
      <c r="AR2" s="124"/>
      <c r="AS2" s="124"/>
      <c r="AT2" s="124"/>
      <c r="AU2" s="124"/>
      <c r="AV2" s="124"/>
      <c r="AW2" s="124"/>
      <c r="AX2" s="124"/>
      <c r="AY2" s="124"/>
      <c r="AZ2" s="124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21"/>
      <c r="BL2" s="121"/>
      <c r="BM2" s="121"/>
      <c r="BN2" s="121"/>
      <c r="BO2" s="121"/>
      <c r="BP2" s="121"/>
      <c r="BQ2" s="121"/>
      <c r="CJ2" s="121"/>
      <c r="CK2" s="121"/>
      <c r="CL2" s="121"/>
      <c r="CM2" s="121"/>
      <c r="CN2" s="121"/>
      <c r="CO2" s="121"/>
      <c r="CP2" s="121"/>
      <c r="CQ2" s="121"/>
      <c r="CR2" s="121"/>
      <c r="CS2" s="121"/>
      <c r="CT2" s="121"/>
      <c r="CU2" s="121"/>
      <c r="CV2" s="121"/>
      <c r="CW2" s="121"/>
      <c r="CX2" s="121"/>
      <c r="CY2" s="121"/>
      <c r="CZ2" s="121"/>
      <c r="DA2" s="121"/>
    </row>
    <row r="3" spans="1:105" ht="28">
      <c r="A3" s="7" t="s">
        <v>279</v>
      </c>
      <c r="B3" s="15">
        <v>46101</v>
      </c>
      <c r="C3" s="126">
        <v>46119</v>
      </c>
      <c r="D3" s="122"/>
      <c r="E3" s="122"/>
      <c r="F3" s="122"/>
      <c r="G3" s="121"/>
      <c r="H3" s="122"/>
      <c r="I3" s="122"/>
      <c r="J3" s="122"/>
      <c r="K3" s="122"/>
      <c r="L3" s="122"/>
      <c r="M3" s="122"/>
      <c r="N3" s="122"/>
      <c r="O3" s="122"/>
      <c r="P3" s="123"/>
      <c r="Q3" s="122"/>
      <c r="R3" s="122"/>
      <c r="S3" s="122"/>
      <c r="T3" s="122"/>
      <c r="U3" s="122"/>
      <c r="V3" s="123"/>
      <c r="W3" s="122"/>
      <c r="X3" s="122"/>
      <c r="Y3" s="122"/>
      <c r="Z3" s="122"/>
      <c r="AA3" s="122"/>
      <c r="AB3" s="122"/>
      <c r="AC3" s="122"/>
      <c r="AD3" s="122"/>
      <c r="AE3" s="122"/>
      <c r="AF3" s="122"/>
      <c r="AG3" s="122"/>
      <c r="AH3" s="124"/>
      <c r="AI3" s="122"/>
      <c r="AJ3" s="122"/>
      <c r="AK3" s="122"/>
      <c r="AL3" s="122"/>
      <c r="AM3" s="122"/>
      <c r="AN3" s="124"/>
      <c r="AO3" s="124"/>
      <c r="AP3" s="124"/>
      <c r="AQ3" s="124"/>
      <c r="AR3" s="124"/>
      <c r="AS3" s="124"/>
      <c r="AT3" s="124"/>
      <c r="AU3" s="124"/>
      <c r="AV3" s="124"/>
      <c r="AW3" s="124"/>
      <c r="AX3" s="124"/>
      <c r="AY3" s="124"/>
      <c r="AZ3" s="124"/>
      <c r="BA3" s="121"/>
      <c r="BB3" s="121"/>
      <c r="BC3" s="121"/>
      <c r="BD3" s="121"/>
      <c r="BE3" s="121"/>
      <c r="BF3" s="121"/>
      <c r="BG3" s="121"/>
      <c r="BH3" s="121"/>
      <c r="BI3" s="121"/>
      <c r="BJ3" s="121"/>
      <c r="BK3" s="121"/>
      <c r="BL3" s="121"/>
      <c r="BM3" s="121"/>
      <c r="BN3" s="121"/>
      <c r="BO3" s="121"/>
      <c r="BP3" s="121"/>
      <c r="BQ3" s="121"/>
      <c r="CJ3" s="121"/>
      <c r="CK3" s="121"/>
      <c r="CL3" s="121"/>
      <c r="CM3" s="121"/>
      <c r="CN3" s="121"/>
      <c r="CO3" s="121"/>
      <c r="CP3" s="121"/>
      <c r="CQ3" s="121"/>
      <c r="CR3" s="121"/>
      <c r="CS3" s="121"/>
      <c r="CT3" s="121"/>
      <c r="CU3" s="121"/>
      <c r="CV3" s="121"/>
      <c r="CW3" s="121"/>
      <c r="CX3" s="121"/>
      <c r="CY3" s="121"/>
      <c r="CZ3" s="121"/>
      <c r="DA3" s="121"/>
    </row>
    <row r="4" spans="1:105" ht="28">
      <c r="A4" s="23"/>
      <c r="B4" s="24"/>
      <c r="C4" s="139"/>
      <c r="D4" s="122"/>
      <c r="E4" s="122"/>
      <c r="F4" s="122"/>
      <c r="G4" s="121"/>
      <c r="H4" s="122"/>
      <c r="I4" s="122"/>
      <c r="J4" s="122"/>
      <c r="K4" s="122"/>
      <c r="L4" s="122"/>
      <c r="M4" s="122"/>
      <c r="N4" s="122"/>
      <c r="O4" s="122"/>
      <c r="P4" s="123"/>
      <c r="Q4" s="122"/>
      <c r="R4" s="122"/>
      <c r="S4" s="122"/>
      <c r="T4" s="122"/>
      <c r="U4" s="122"/>
      <c r="V4" s="123"/>
      <c r="W4" s="122"/>
      <c r="X4" s="122"/>
      <c r="Y4" s="122"/>
      <c r="Z4" s="122"/>
      <c r="AA4" s="122"/>
      <c r="AB4" s="122"/>
      <c r="AC4" s="122"/>
      <c r="AD4" s="122"/>
      <c r="AE4" s="122"/>
      <c r="AF4" s="122"/>
      <c r="AG4" s="122"/>
      <c r="AH4" s="124"/>
      <c r="AI4" s="122"/>
      <c r="AJ4" s="122"/>
      <c r="AK4" s="122"/>
      <c r="AL4" s="122"/>
      <c r="AM4" s="122"/>
      <c r="AN4" s="124"/>
      <c r="AO4" s="124"/>
      <c r="AP4" s="124"/>
      <c r="AQ4" s="124"/>
      <c r="AR4" s="124"/>
      <c r="AS4" s="124"/>
      <c r="AT4" s="124"/>
      <c r="AU4" s="124"/>
      <c r="AV4" s="124"/>
      <c r="AW4" s="124"/>
      <c r="AX4" s="124"/>
      <c r="AY4" s="124"/>
      <c r="AZ4" s="124"/>
      <c r="BA4" s="121"/>
      <c r="BB4" s="121"/>
      <c r="BC4" s="121"/>
      <c r="BD4" s="121"/>
      <c r="BE4" s="121"/>
      <c r="BF4" s="121"/>
      <c r="BG4" s="121"/>
      <c r="BH4" s="121"/>
      <c r="BI4" s="121"/>
      <c r="BJ4" s="121"/>
      <c r="BK4" s="121"/>
      <c r="BL4" s="121"/>
      <c r="BM4" s="121"/>
      <c r="BN4" s="121"/>
      <c r="BO4" s="121"/>
      <c r="BP4" s="121"/>
      <c r="BQ4" s="121"/>
      <c r="CJ4" s="121"/>
      <c r="CK4" s="121"/>
      <c r="CL4" s="121"/>
      <c r="CM4" s="121"/>
      <c r="CN4" s="121"/>
      <c r="CO4" s="121"/>
      <c r="CP4" s="121"/>
      <c r="CQ4" s="121"/>
      <c r="CR4" s="121"/>
      <c r="CS4" s="121"/>
      <c r="CT4" s="121"/>
      <c r="CU4" s="121"/>
      <c r="CV4" s="121"/>
      <c r="CW4" s="121"/>
      <c r="CX4" s="121"/>
      <c r="CY4" s="121"/>
      <c r="CZ4" s="121"/>
      <c r="DA4" s="121"/>
    </row>
    <row r="5" spans="1:105" ht="28">
      <c r="A5" s="7" t="s">
        <v>280</v>
      </c>
      <c r="B5" s="15">
        <f>+B3+7</f>
        <v>46108</v>
      </c>
      <c r="C5" s="126">
        <f>+C3+7</f>
        <v>46126</v>
      </c>
      <c r="D5" s="122"/>
      <c r="E5" s="122"/>
      <c r="F5" s="122"/>
      <c r="G5" s="121"/>
      <c r="H5" s="122"/>
      <c r="I5" s="122"/>
      <c r="J5" s="122"/>
      <c r="K5" s="122"/>
      <c r="L5" s="122"/>
      <c r="M5" s="122"/>
      <c r="N5" s="122"/>
      <c r="O5" s="122"/>
      <c r="P5" s="123"/>
      <c r="Q5" s="122"/>
      <c r="R5" s="122"/>
      <c r="S5" s="122"/>
      <c r="T5" s="122"/>
      <c r="U5" s="122"/>
      <c r="V5" s="123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4"/>
      <c r="AI5" s="122"/>
      <c r="AJ5" s="122"/>
      <c r="AK5" s="122"/>
      <c r="AL5" s="122"/>
      <c r="AM5" s="122"/>
      <c r="AN5" s="124"/>
      <c r="AO5" s="124"/>
      <c r="AP5" s="124"/>
      <c r="AQ5" s="124"/>
      <c r="AR5" s="124"/>
      <c r="AS5" s="124"/>
      <c r="AT5" s="124"/>
      <c r="AU5" s="124"/>
      <c r="AV5" s="124"/>
      <c r="AW5" s="124"/>
      <c r="AX5" s="124"/>
      <c r="AY5" s="124"/>
      <c r="AZ5" s="124"/>
      <c r="BA5" s="121"/>
      <c r="BB5" s="121"/>
      <c r="BC5" s="121"/>
      <c r="BD5" s="121"/>
      <c r="BE5" s="121"/>
      <c r="BF5" s="121"/>
      <c r="BG5" s="121"/>
      <c r="BH5" s="121"/>
      <c r="BI5" s="121"/>
      <c r="BJ5" s="121"/>
      <c r="BK5" s="121"/>
      <c r="BL5" s="121"/>
      <c r="BM5" s="121"/>
      <c r="BN5" s="121"/>
      <c r="BO5" s="121"/>
      <c r="BP5" s="121"/>
      <c r="BQ5" s="121"/>
      <c r="CJ5" s="121"/>
      <c r="CK5" s="121"/>
      <c r="CL5" s="121"/>
      <c r="CM5" s="121"/>
      <c r="CN5" s="121"/>
      <c r="CO5" s="121"/>
      <c r="CP5" s="121"/>
      <c r="CQ5" s="121"/>
      <c r="CR5" s="121"/>
      <c r="CS5" s="121"/>
      <c r="CT5" s="121"/>
      <c r="CU5" s="121"/>
      <c r="CV5" s="121"/>
      <c r="CW5" s="121"/>
      <c r="CX5" s="121"/>
      <c r="CY5" s="121"/>
      <c r="CZ5" s="121"/>
      <c r="DA5" s="121"/>
    </row>
    <row r="6" spans="1:105" ht="28">
      <c r="A6" s="7" t="s">
        <v>281</v>
      </c>
      <c r="B6" s="15">
        <f>+B5+5</f>
        <v>46113</v>
      </c>
      <c r="C6" s="126">
        <f>+C5+5</f>
        <v>46131</v>
      </c>
      <c r="D6" s="122"/>
      <c r="E6" s="122"/>
      <c r="F6" s="122"/>
      <c r="G6" s="121"/>
      <c r="H6" s="122"/>
      <c r="I6" s="122"/>
      <c r="J6" s="122"/>
      <c r="K6" s="122"/>
      <c r="L6" s="122"/>
      <c r="M6" s="122"/>
      <c r="N6" s="122"/>
      <c r="O6" s="122"/>
      <c r="P6" s="123"/>
      <c r="Q6" s="122"/>
      <c r="R6" s="122"/>
      <c r="S6" s="122"/>
      <c r="T6" s="122"/>
      <c r="U6" s="122"/>
      <c r="V6" s="123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24"/>
      <c r="AI6" s="122"/>
      <c r="AJ6" s="122"/>
      <c r="AK6" s="122"/>
      <c r="AL6" s="122"/>
      <c r="AM6" s="122"/>
      <c r="AN6" s="124"/>
      <c r="AO6" s="124"/>
      <c r="AP6" s="124"/>
      <c r="AQ6" s="124"/>
      <c r="AR6" s="124"/>
      <c r="AS6" s="124"/>
      <c r="AT6" s="124"/>
      <c r="AU6" s="124"/>
      <c r="AV6" s="124"/>
      <c r="AW6" s="124"/>
      <c r="AX6" s="124"/>
      <c r="AY6" s="124"/>
      <c r="AZ6" s="124"/>
      <c r="BA6" s="121"/>
      <c r="BB6" s="121"/>
      <c r="BC6" s="121"/>
      <c r="BD6" s="121"/>
      <c r="BE6" s="121"/>
      <c r="BF6" s="121"/>
      <c r="BG6" s="121"/>
      <c r="BH6" s="121"/>
      <c r="BI6" s="121"/>
      <c r="BJ6" s="121"/>
      <c r="BK6" s="121"/>
      <c r="BL6" s="121"/>
      <c r="BM6" s="121"/>
      <c r="BN6" s="121"/>
      <c r="BO6" s="121"/>
      <c r="BP6" s="121"/>
      <c r="BQ6" s="121"/>
      <c r="CJ6" s="121"/>
      <c r="CK6" s="121"/>
      <c r="CL6" s="121"/>
      <c r="CM6" s="121"/>
      <c r="CN6" s="121"/>
      <c r="CO6" s="121"/>
      <c r="CP6" s="121"/>
      <c r="CQ6" s="121"/>
      <c r="CR6" s="121"/>
      <c r="CS6" s="121"/>
      <c r="CT6" s="121"/>
      <c r="CU6" s="121"/>
      <c r="CV6" s="121"/>
      <c r="CW6" s="121"/>
      <c r="CX6" s="121"/>
      <c r="CY6" s="121"/>
      <c r="CZ6" s="121"/>
      <c r="DA6" s="121"/>
    </row>
    <row r="7" spans="1:105" ht="28">
      <c r="A7" s="7" t="s">
        <v>282</v>
      </c>
      <c r="B7" s="15">
        <f>+B6+2</f>
        <v>46115</v>
      </c>
      <c r="C7" s="140">
        <v>46119</v>
      </c>
      <c r="D7" s="122"/>
      <c r="E7" s="122"/>
      <c r="F7" s="122"/>
      <c r="G7" s="121"/>
      <c r="H7" s="122"/>
      <c r="I7" s="122"/>
      <c r="J7" s="122"/>
      <c r="K7" s="122"/>
      <c r="L7" s="122"/>
      <c r="M7" s="122"/>
      <c r="N7" s="122"/>
      <c r="O7" s="122"/>
      <c r="P7" s="123"/>
      <c r="Q7" s="122"/>
      <c r="R7" s="122"/>
      <c r="S7" s="122"/>
      <c r="T7" s="122"/>
      <c r="U7" s="122"/>
      <c r="V7" s="123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24"/>
      <c r="AI7" s="122"/>
      <c r="AJ7" s="122"/>
      <c r="AK7" s="122"/>
      <c r="AL7" s="122"/>
      <c r="AM7" s="122"/>
      <c r="AN7" s="124"/>
      <c r="AO7" s="124"/>
      <c r="AP7" s="124"/>
      <c r="AQ7" s="124"/>
      <c r="AR7" s="124"/>
      <c r="AS7" s="124"/>
      <c r="AT7" s="124"/>
      <c r="AU7" s="124"/>
      <c r="AV7" s="124"/>
      <c r="AW7" s="124"/>
      <c r="AX7" s="124"/>
      <c r="AY7" s="124"/>
      <c r="AZ7" s="124"/>
      <c r="BA7" s="121"/>
      <c r="BB7" s="121"/>
      <c r="BC7" s="121"/>
      <c r="BD7" s="121"/>
      <c r="BE7" s="121"/>
      <c r="BF7" s="121"/>
      <c r="BG7" s="121"/>
      <c r="BH7" s="121"/>
      <c r="BI7" s="121"/>
      <c r="BJ7" s="121"/>
      <c r="BK7" s="121"/>
      <c r="BL7" s="121"/>
      <c r="BM7" s="121"/>
      <c r="BN7" s="121"/>
      <c r="BO7" s="121"/>
      <c r="BP7" s="121"/>
      <c r="BQ7" s="121"/>
      <c r="CJ7" s="121"/>
      <c r="CK7" s="121"/>
      <c r="CL7" s="121"/>
      <c r="CM7" s="121"/>
      <c r="CN7" s="121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</row>
    <row r="8" spans="1:105" ht="28">
      <c r="A8" s="7" t="s">
        <v>284</v>
      </c>
      <c r="B8" s="15">
        <f>+B7+40</f>
        <v>46155</v>
      </c>
      <c r="C8" s="126">
        <f>+C7+50</f>
        <v>46169</v>
      </c>
      <c r="D8" s="122"/>
      <c r="E8" s="122"/>
      <c r="F8" s="122"/>
      <c r="G8" s="121"/>
      <c r="H8" s="122"/>
      <c r="I8" s="122"/>
      <c r="J8" s="122"/>
      <c r="K8" s="122"/>
      <c r="L8" s="122"/>
      <c r="M8" s="122"/>
      <c r="N8" s="122"/>
      <c r="O8" s="122"/>
      <c r="P8" s="123"/>
      <c r="Q8" s="122"/>
      <c r="R8" s="122"/>
      <c r="S8" s="122"/>
      <c r="T8" s="122"/>
      <c r="U8" s="122"/>
      <c r="V8" s="123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4"/>
      <c r="AI8" s="122"/>
      <c r="AJ8" s="122"/>
      <c r="AK8" s="122"/>
      <c r="AL8" s="122"/>
      <c r="AM8" s="122"/>
      <c r="AN8" s="124"/>
      <c r="AO8" s="124"/>
      <c r="AP8" s="124"/>
      <c r="AQ8" s="124"/>
      <c r="AR8" s="124"/>
      <c r="AS8" s="124"/>
      <c r="AT8" s="124"/>
      <c r="AU8" s="124"/>
      <c r="AV8" s="124"/>
      <c r="AW8" s="124"/>
      <c r="AX8" s="124"/>
      <c r="AY8" s="124"/>
      <c r="AZ8" s="124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</row>
    <row r="9" spans="1:105" ht="28">
      <c r="A9" s="7" t="s">
        <v>283</v>
      </c>
      <c r="B9" s="15">
        <f>+B8+45</f>
        <v>46200</v>
      </c>
      <c r="C9" s="126">
        <f>+C8+45</f>
        <v>46214</v>
      </c>
      <c r="D9" s="122"/>
      <c r="E9" s="122"/>
      <c r="F9" s="122"/>
      <c r="G9" s="121"/>
      <c r="H9" s="122"/>
      <c r="I9" s="122"/>
      <c r="J9" s="122"/>
      <c r="K9" s="122"/>
      <c r="L9" s="122"/>
      <c r="M9" s="122"/>
      <c r="N9" s="122"/>
      <c r="O9" s="122"/>
      <c r="P9" s="123"/>
      <c r="Q9" s="122"/>
      <c r="R9" s="122"/>
      <c r="S9" s="122"/>
      <c r="T9" s="122"/>
      <c r="U9" s="122"/>
      <c r="V9" s="123"/>
      <c r="W9" s="122"/>
      <c r="X9" s="122"/>
      <c r="Y9" s="122"/>
      <c r="Z9" s="122"/>
      <c r="AA9" s="122"/>
      <c r="AB9" s="122"/>
      <c r="AC9" s="122"/>
      <c r="AD9" s="122"/>
      <c r="AE9" s="122"/>
      <c r="AF9" s="122"/>
      <c r="AG9" s="122"/>
      <c r="AH9" s="124"/>
      <c r="AI9" s="122"/>
      <c r="AJ9" s="122"/>
      <c r="AK9" s="122"/>
      <c r="AL9" s="122"/>
      <c r="AM9" s="122"/>
      <c r="AN9" s="124"/>
      <c r="AO9" s="124"/>
      <c r="AP9" s="124"/>
      <c r="AQ9" s="124"/>
      <c r="AR9" s="124"/>
      <c r="AS9" s="124"/>
      <c r="AT9" s="124"/>
      <c r="AU9" s="124"/>
      <c r="AV9" s="124"/>
      <c r="AW9" s="124"/>
      <c r="AX9" s="124"/>
      <c r="AY9" s="124"/>
      <c r="AZ9" s="124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1"/>
      <c r="CY9" s="121"/>
      <c r="CZ9" s="121"/>
      <c r="DA9" s="121"/>
    </row>
    <row r="10" spans="1:105" ht="28">
      <c r="A10" s="7" t="s">
        <v>285</v>
      </c>
      <c r="B10" s="15">
        <f>+B8+65</f>
        <v>46220</v>
      </c>
      <c r="C10" s="126">
        <f>+C8+65</f>
        <v>46234</v>
      </c>
      <c r="D10" s="122"/>
      <c r="E10" s="122"/>
      <c r="F10" s="122"/>
      <c r="G10" s="121"/>
      <c r="H10" s="122"/>
      <c r="I10" s="122"/>
      <c r="J10" s="122"/>
      <c r="K10" s="122"/>
      <c r="L10" s="122"/>
      <c r="M10" s="122"/>
      <c r="N10" s="122"/>
      <c r="O10" s="122"/>
      <c r="P10" s="123"/>
      <c r="Q10" s="122"/>
      <c r="R10" s="122"/>
      <c r="S10" s="122"/>
      <c r="T10" s="122"/>
      <c r="U10" s="122"/>
      <c r="V10" s="123"/>
      <c r="W10" s="122"/>
      <c r="X10" s="122"/>
      <c r="Y10" s="122"/>
      <c r="Z10" s="122"/>
      <c r="AA10" s="122"/>
      <c r="AB10" s="122"/>
      <c r="AC10" s="122"/>
      <c r="AD10" s="122"/>
      <c r="AE10" s="122"/>
      <c r="AF10" s="122"/>
      <c r="AG10" s="122"/>
      <c r="AH10" s="124"/>
      <c r="AI10" s="122"/>
      <c r="AJ10" s="122"/>
      <c r="AK10" s="122"/>
      <c r="AL10" s="122"/>
      <c r="AM10" s="122"/>
      <c r="AN10" s="124"/>
      <c r="AO10" s="124"/>
      <c r="AP10" s="124"/>
      <c r="AQ10" s="124"/>
      <c r="AR10" s="124"/>
      <c r="AS10" s="124"/>
      <c r="AT10" s="124"/>
      <c r="AU10" s="124"/>
      <c r="AV10" s="124"/>
      <c r="AW10" s="124"/>
      <c r="AX10" s="124"/>
      <c r="AY10" s="124"/>
      <c r="AZ10" s="124"/>
      <c r="BA10" s="121"/>
      <c r="BB10" s="121"/>
      <c r="BC10" s="121"/>
      <c r="BD10" s="121"/>
      <c r="BE10" s="121"/>
      <c r="BF10" s="121"/>
      <c r="BG10" s="121"/>
      <c r="BH10" s="121"/>
      <c r="BI10" s="121"/>
      <c r="BJ10" s="121"/>
      <c r="BK10" s="121"/>
      <c r="BL10" s="121"/>
      <c r="BM10" s="121"/>
      <c r="BN10" s="121"/>
      <c r="BO10" s="121"/>
      <c r="BP10" s="121"/>
      <c r="BQ10" s="121"/>
      <c r="CJ10" s="121"/>
      <c r="CK10" s="121"/>
      <c r="CL10" s="121"/>
      <c r="CM10" s="121"/>
      <c r="CN10" s="121"/>
      <c r="CO10" s="121"/>
      <c r="CP10" s="121"/>
      <c r="CQ10" s="121"/>
      <c r="CR10" s="121"/>
      <c r="CS10" s="121"/>
      <c r="CT10" s="121"/>
      <c r="CU10" s="121"/>
      <c r="CV10" s="121"/>
      <c r="CW10" s="121"/>
      <c r="CX10" s="121"/>
      <c r="CY10" s="121"/>
      <c r="CZ10" s="121"/>
      <c r="DA10" s="121"/>
    </row>
    <row r="11" spans="1:105" ht="28">
      <c r="A11" s="135" t="s">
        <v>286</v>
      </c>
      <c r="B11" s="136">
        <f>+B10+14</f>
        <v>46234</v>
      </c>
      <c r="C11" s="137">
        <f>+C10+14</f>
        <v>46248</v>
      </c>
      <c r="D11" s="122"/>
      <c r="E11" s="122"/>
      <c r="F11" s="122"/>
      <c r="G11" s="121"/>
      <c r="H11" s="122"/>
      <c r="I11" s="122"/>
      <c r="J11" s="122"/>
      <c r="K11" s="122"/>
      <c r="L11" s="122"/>
      <c r="M11" s="122"/>
      <c r="N11" s="122"/>
      <c r="O11" s="122"/>
      <c r="P11" s="123"/>
      <c r="Q11" s="122"/>
      <c r="R11" s="122"/>
      <c r="S11" s="122"/>
      <c r="T11" s="122"/>
      <c r="U11" s="122"/>
      <c r="V11" s="123"/>
      <c r="W11" s="122"/>
      <c r="X11" s="122"/>
      <c r="Y11" s="122"/>
      <c r="Z11" s="122"/>
      <c r="AA11" s="122"/>
      <c r="AB11" s="122"/>
      <c r="AC11" s="122"/>
      <c r="AD11" s="122"/>
      <c r="AE11" s="122"/>
      <c r="AF11" s="122"/>
      <c r="AG11" s="122"/>
      <c r="AH11" s="124"/>
      <c r="AI11" s="122"/>
      <c r="AJ11" s="122"/>
      <c r="AK11" s="122"/>
      <c r="AL11" s="122"/>
      <c r="AM11" s="122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21"/>
      <c r="BQ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1"/>
      <c r="CY11" s="121"/>
      <c r="CZ11" s="121"/>
      <c r="DA11" s="121"/>
    </row>
    <row r="12" spans="1:105" s="124" customFormat="1" ht="9.75" customHeight="1">
      <c r="A12" s="122"/>
      <c r="B12" s="122"/>
      <c r="C12" s="122"/>
      <c r="D12" s="122"/>
      <c r="E12" s="122"/>
      <c r="F12" s="122"/>
      <c r="G12" s="121"/>
      <c r="H12" s="122"/>
      <c r="I12" s="122"/>
      <c r="J12" s="122"/>
      <c r="K12" s="122"/>
      <c r="L12" s="122"/>
      <c r="M12" s="122"/>
      <c r="N12" s="122"/>
      <c r="O12" s="122"/>
      <c r="P12" s="123"/>
      <c r="Q12" s="122"/>
      <c r="R12" s="122"/>
      <c r="S12" s="122"/>
      <c r="T12" s="122"/>
      <c r="U12" s="122"/>
      <c r="V12" s="123"/>
      <c r="W12" s="122"/>
      <c r="X12" s="122"/>
      <c r="Y12" s="122"/>
      <c r="Z12" s="122"/>
      <c r="AA12" s="122"/>
      <c r="AB12" s="122"/>
      <c r="AC12" s="122"/>
      <c r="AD12" s="122"/>
      <c r="AE12" s="122"/>
      <c r="AF12" s="122"/>
      <c r="AG12" s="122"/>
      <c r="AI12" s="122"/>
      <c r="AJ12" s="122"/>
      <c r="AK12" s="122"/>
      <c r="AL12" s="122"/>
      <c r="AM12" s="122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59"/>
      <c r="BS12" s="159"/>
      <c r="BT12" s="159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</row>
    <row r="13" spans="1:105" s="124" customFormat="1" ht="9.75" customHeight="1">
      <c r="A13" s="122"/>
      <c r="B13" s="122"/>
      <c r="C13" s="122"/>
      <c r="D13" s="122"/>
      <c r="E13" s="122"/>
      <c r="F13" s="122"/>
      <c r="G13" s="121"/>
      <c r="H13" s="122"/>
      <c r="I13" s="122"/>
      <c r="J13" s="122"/>
      <c r="K13" s="122"/>
      <c r="L13" s="122"/>
      <c r="M13" s="122"/>
      <c r="N13" s="122"/>
      <c r="O13" s="122"/>
      <c r="P13" s="123"/>
      <c r="Q13" s="122"/>
      <c r="R13" s="122"/>
      <c r="S13" s="122"/>
      <c r="T13" s="122"/>
      <c r="U13" s="122"/>
      <c r="V13" s="123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I13" s="122"/>
      <c r="AJ13" s="122"/>
      <c r="AK13" s="122"/>
      <c r="AL13" s="122"/>
      <c r="AM13" s="122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  <c r="BM13" s="121"/>
      <c r="BN13" s="121"/>
      <c r="BO13" s="121"/>
      <c r="BP13" s="121"/>
      <c r="BQ13" s="121"/>
      <c r="BR13" s="159"/>
      <c r="BS13" s="159"/>
      <c r="BT13" s="159"/>
    </row>
    <row r="14" spans="1:105" s="124" customFormat="1" ht="35.15" customHeight="1">
      <c r="A14" s="122"/>
      <c r="B14" s="122"/>
      <c r="C14" s="122"/>
      <c r="D14" s="122"/>
      <c r="E14" s="122"/>
      <c r="F14" s="122"/>
      <c r="G14" s="121"/>
      <c r="H14" s="122"/>
      <c r="I14" s="122"/>
      <c r="J14" s="122"/>
      <c r="K14" s="122"/>
      <c r="L14" s="122"/>
      <c r="M14" s="122"/>
      <c r="N14" s="122"/>
      <c r="O14" s="122"/>
      <c r="P14" s="123"/>
      <c r="Q14" s="122"/>
      <c r="R14" s="122"/>
      <c r="S14" s="122"/>
      <c r="T14" s="122"/>
      <c r="U14" s="122"/>
      <c r="V14" s="123"/>
      <c r="W14" s="122"/>
      <c r="X14" s="122"/>
      <c r="Y14" s="122"/>
      <c r="Z14" s="122"/>
      <c r="AA14" s="122"/>
      <c r="AB14" s="122"/>
      <c r="AC14" s="122"/>
      <c r="AD14" s="122"/>
      <c r="AE14" s="122"/>
      <c r="AF14" s="122"/>
      <c r="AG14" s="122"/>
      <c r="AI14" s="122"/>
      <c r="AJ14" s="122"/>
      <c r="AK14" s="122"/>
      <c r="AL14" s="122"/>
      <c r="AM14" s="122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1"/>
      <c r="BR14" s="159"/>
      <c r="BS14" s="159"/>
      <c r="BT14" s="159"/>
      <c r="CJ14" s="523" t="s">
        <v>0</v>
      </c>
      <c r="CK14" s="524"/>
      <c r="CL14" s="524"/>
      <c r="CM14" s="524"/>
      <c r="CN14" s="524"/>
      <c r="CO14" s="524"/>
      <c r="CP14" s="524"/>
      <c r="CQ14" s="524"/>
      <c r="CR14" s="524"/>
      <c r="CS14" s="524"/>
      <c r="CT14" s="524"/>
      <c r="CU14" s="524"/>
      <c r="CV14" s="524"/>
      <c r="CW14" s="524"/>
      <c r="CX14" s="524"/>
      <c r="CY14" s="524"/>
      <c r="CZ14" s="524"/>
      <c r="DA14" s="524"/>
    </row>
    <row r="15" spans="1:105" s="124" customFormat="1" ht="56">
      <c r="A15" s="122"/>
      <c r="B15" s="122"/>
      <c r="C15" s="122"/>
      <c r="D15" s="122"/>
      <c r="E15" s="122"/>
      <c r="F15" s="122"/>
      <c r="G15" s="121"/>
      <c r="H15" s="122"/>
      <c r="I15" s="122"/>
      <c r="J15" s="122"/>
      <c r="K15" s="122"/>
      <c r="L15" s="122"/>
      <c r="M15" s="122"/>
      <c r="N15" s="122"/>
      <c r="O15" s="122"/>
      <c r="P15" s="123"/>
      <c r="Q15" s="122"/>
      <c r="R15" s="122"/>
      <c r="S15" s="122"/>
      <c r="T15" s="122"/>
      <c r="U15" s="122"/>
      <c r="V15" s="123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I15" s="122"/>
      <c r="AJ15" s="122"/>
      <c r="AK15" s="122"/>
      <c r="AL15" s="122"/>
      <c r="AM15" s="122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59"/>
      <c r="BS15" s="159"/>
      <c r="BT15" s="159"/>
      <c r="CJ15" s="206" t="s">
        <v>1</v>
      </c>
      <c r="CK15" s="206"/>
      <c r="CL15" s="206" t="s">
        <v>2</v>
      </c>
      <c r="CM15" s="206"/>
      <c r="CN15" s="206" t="s">
        <v>3</v>
      </c>
      <c r="CO15" s="206"/>
      <c r="CP15" s="206" t="s">
        <v>4</v>
      </c>
      <c r="CQ15" s="206"/>
      <c r="CR15" s="206" t="s">
        <v>5</v>
      </c>
      <c r="CS15" s="206"/>
      <c r="CT15" s="206" t="s">
        <v>6</v>
      </c>
      <c r="CU15" s="206"/>
      <c r="CV15" s="206" t="s">
        <v>7</v>
      </c>
      <c r="CW15" s="206"/>
      <c r="CX15" s="206" t="s">
        <v>8</v>
      </c>
      <c r="CY15" s="206"/>
      <c r="CZ15" s="206" t="s">
        <v>9</v>
      </c>
      <c r="DA15" s="206"/>
    </row>
    <row r="16" spans="1:105" ht="84">
      <c r="A16" s="119" t="s">
        <v>10</v>
      </c>
      <c r="B16" s="119" t="s">
        <v>11</v>
      </c>
      <c r="C16" s="119" t="s">
        <v>12</v>
      </c>
      <c r="D16" s="119" t="s">
        <v>13</v>
      </c>
      <c r="E16" s="119" t="s">
        <v>14</v>
      </c>
      <c r="F16" s="119" t="s">
        <v>624</v>
      </c>
      <c r="G16" s="118" t="s">
        <v>16</v>
      </c>
      <c r="H16" s="119" t="s">
        <v>17</v>
      </c>
      <c r="I16" s="119" t="s">
        <v>18</v>
      </c>
      <c r="J16" s="119" t="s">
        <v>19</v>
      </c>
      <c r="K16" s="119" t="s">
        <v>20</v>
      </c>
      <c r="L16" s="119" t="s">
        <v>21</v>
      </c>
      <c r="M16" s="119" t="s">
        <v>625</v>
      </c>
      <c r="N16" s="119" t="s">
        <v>23</v>
      </c>
      <c r="O16" s="119" t="s">
        <v>626</v>
      </c>
      <c r="P16" s="120" t="s">
        <v>627</v>
      </c>
      <c r="Q16" s="119" t="s">
        <v>26</v>
      </c>
      <c r="R16" s="119" t="s">
        <v>27</v>
      </c>
      <c r="S16" s="119" t="s">
        <v>628</v>
      </c>
      <c r="T16" s="119" t="s">
        <v>28</v>
      </c>
      <c r="U16" s="119" t="s">
        <v>29</v>
      </c>
      <c r="V16" s="120" t="s">
        <v>30</v>
      </c>
      <c r="W16" s="119" t="s">
        <v>31</v>
      </c>
      <c r="X16" s="119" t="s">
        <v>32</v>
      </c>
      <c r="Y16" s="119" t="s">
        <v>33</v>
      </c>
      <c r="Z16" s="119" t="s">
        <v>629</v>
      </c>
      <c r="AA16" s="119" t="s">
        <v>35</v>
      </c>
      <c r="AB16" s="119" t="s">
        <v>630</v>
      </c>
      <c r="AC16" s="119" t="s">
        <v>298</v>
      </c>
      <c r="AD16" s="119" t="s">
        <v>631</v>
      </c>
      <c r="AE16" s="118" t="s">
        <v>38</v>
      </c>
      <c r="AF16" s="118" t="s">
        <v>39</v>
      </c>
      <c r="AI16" s="119" t="s">
        <v>30</v>
      </c>
      <c r="AJ16" s="119" t="s">
        <v>31</v>
      </c>
      <c r="AK16" s="119" t="s">
        <v>32</v>
      </c>
      <c r="AL16" s="119" t="s">
        <v>33</v>
      </c>
      <c r="AM16" s="119" t="s">
        <v>300</v>
      </c>
      <c r="BA16" s="118" t="s">
        <v>40</v>
      </c>
      <c r="BB16" s="118" t="s">
        <v>41</v>
      </c>
      <c r="BC16" s="118" t="s">
        <v>42</v>
      </c>
      <c r="BD16" s="118" t="s">
        <v>43</v>
      </c>
      <c r="BE16" s="118" t="s">
        <v>44</v>
      </c>
      <c r="BF16" s="118" t="s">
        <v>45</v>
      </c>
      <c r="BG16" s="118" t="s">
        <v>46</v>
      </c>
      <c r="BH16" s="1" t="s">
        <v>47</v>
      </c>
      <c r="BI16" s="118" t="s">
        <v>48</v>
      </c>
      <c r="BJ16" s="118" t="s">
        <v>49</v>
      </c>
      <c r="BK16" s="118" t="s">
        <v>13</v>
      </c>
      <c r="BL16" s="1" t="s">
        <v>50</v>
      </c>
      <c r="BM16" s="121"/>
      <c r="BN16" s="121"/>
      <c r="BO16" s="121"/>
      <c r="BP16" s="121"/>
      <c r="BQ16" s="121"/>
      <c r="BR16" s="1" t="s">
        <v>38</v>
      </c>
      <c r="BS16" s="1" t="s">
        <v>39</v>
      </c>
      <c r="BT16" s="1" t="s">
        <v>53</v>
      </c>
      <c r="CJ16" s="207" t="s">
        <v>54</v>
      </c>
      <c r="CK16" s="207" t="s">
        <v>55</v>
      </c>
      <c r="CL16" s="207" t="s">
        <v>54</v>
      </c>
      <c r="CM16" s="207" t="s">
        <v>55</v>
      </c>
      <c r="CN16" s="207" t="s">
        <v>54</v>
      </c>
      <c r="CO16" s="207" t="s">
        <v>55</v>
      </c>
      <c r="CP16" s="207" t="s">
        <v>54</v>
      </c>
      <c r="CQ16" s="207" t="s">
        <v>55</v>
      </c>
      <c r="CR16" s="207" t="s">
        <v>54</v>
      </c>
      <c r="CS16" s="207" t="s">
        <v>55</v>
      </c>
      <c r="CT16" s="207" t="s">
        <v>54</v>
      </c>
      <c r="CU16" s="207" t="s">
        <v>55</v>
      </c>
      <c r="CV16" s="207" t="s">
        <v>54</v>
      </c>
      <c r="CW16" s="207" t="s">
        <v>55</v>
      </c>
      <c r="CX16" s="207" t="s">
        <v>54</v>
      </c>
      <c r="CY16" s="207" t="s">
        <v>55</v>
      </c>
      <c r="CZ16" s="207" t="s">
        <v>54</v>
      </c>
      <c r="DA16" s="207" t="s">
        <v>55</v>
      </c>
    </row>
    <row r="17" spans="1:105" ht="295">
      <c r="A17" s="25">
        <v>1</v>
      </c>
      <c r="B17" s="26">
        <v>46234</v>
      </c>
      <c r="C17" s="27" t="s">
        <v>305</v>
      </c>
      <c r="D17" s="26" t="s">
        <v>163</v>
      </c>
      <c r="E17" s="28">
        <v>7503057496008</v>
      </c>
      <c r="F17" s="29" t="s">
        <v>632</v>
      </c>
      <c r="G17" s="201" t="s">
        <v>633</v>
      </c>
      <c r="H17" s="30"/>
      <c r="I17" s="26" t="s">
        <v>229</v>
      </c>
      <c r="J17" s="26" t="s">
        <v>623</v>
      </c>
      <c r="K17" s="29" t="s">
        <v>309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634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635</v>
      </c>
      <c r="AB17" s="26" t="s">
        <v>315</v>
      </c>
      <c r="AC17" s="37">
        <v>6</v>
      </c>
      <c r="AD17" s="37">
        <f>+AC17*12</f>
        <v>72</v>
      </c>
      <c r="AE17" s="21" t="s">
        <v>636</v>
      </c>
      <c r="AF17" s="284">
        <v>46290</v>
      </c>
      <c r="AG17" s="163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72"/>
      <c r="BN17" s="172"/>
      <c r="BO17" s="172"/>
      <c r="BP17" s="172"/>
      <c r="BQ17" s="172"/>
      <c r="BR17" s="161" t="str">
        <f>+AE17</f>
        <v>En producción, se enviaron fotos de PP de exhibicajas, pendiente el OK de licencia</v>
      </c>
      <c r="BS17" s="166">
        <f>+AF17</f>
        <v>46290</v>
      </c>
      <c r="BT17" s="161" t="s">
        <v>637</v>
      </c>
      <c r="CJ17" s="208">
        <v>45809</v>
      </c>
      <c r="CK17" s="208">
        <v>45809</v>
      </c>
      <c r="CL17" s="161"/>
      <c r="CM17" s="161"/>
      <c r="CN17" s="161"/>
      <c r="CO17" s="161"/>
      <c r="CP17" s="155"/>
      <c r="CQ17" s="155"/>
      <c r="CR17" s="154"/>
      <c r="CS17" s="154"/>
      <c r="CT17" s="154"/>
      <c r="CU17" s="154"/>
      <c r="CV17" s="154"/>
      <c r="CW17" s="154"/>
      <c r="CX17" s="154"/>
      <c r="CY17" s="154"/>
      <c r="CZ17" s="154"/>
      <c r="DA17" s="154"/>
    </row>
    <row r="18" spans="1:105" ht="295">
      <c r="A18" s="25">
        <v>2</v>
      </c>
      <c r="B18" s="26">
        <v>46234</v>
      </c>
      <c r="C18" s="27" t="s">
        <v>305</v>
      </c>
      <c r="D18" s="26" t="s">
        <v>163</v>
      </c>
      <c r="E18" s="28">
        <v>7503057496015</v>
      </c>
      <c r="F18" s="29" t="s">
        <v>638</v>
      </c>
      <c r="G18" s="201" t="s">
        <v>639</v>
      </c>
      <c r="H18" s="30"/>
      <c r="I18" s="26" t="s">
        <v>229</v>
      </c>
      <c r="J18" s="26" t="s">
        <v>623</v>
      </c>
      <c r="K18" s="29" t="s">
        <v>309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634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635</v>
      </c>
      <c r="AB18" s="26" t="s">
        <v>315</v>
      </c>
      <c r="AC18" s="37">
        <v>6</v>
      </c>
      <c r="AD18" s="37">
        <f>+AC18*12</f>
        <v>72</v>
      </c>
      <c r="AE18" s="21" t="s">
        <v>636</v>
      </c>
      <c r="AF18" s="285">
        <v>46290</v>
      </c>
      <c r="AG18" s="163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72"/>
      <c r="BN18" s="172"/>
      <c r="BO18" s="172"/>
      <c r="BP18" s="172"/>
      <c r="BQ18" s="172"/>
      <c r="BR18" s="161" t="str">
        <f t="shared" ref="BR18:BR19" si="12">+AE18</f>
        <v>En producción, se enviaron fotos de PP de exhibicajas, pendiente el OK de licencia</v>
      </c>
      <c r="BS18" s="166">
        <f t="shared" ref="BS18:BS19" si="13">+AF18</f>
        <v>46290</v>
      </c>
      <c r="BT18" s="161" t="s">
        <v>637</v>
      </c>
      <c r="CJ18" s="161"/>
      <c r="CK18" s="161"/>
      <c r="CL18" s="161"/>
      <c r="CM18" s="161"/>
      <c r="CN18" s="161"/>
      <c r="CO18" s="161"/>
      <c r="CP18" s="155"/>
      <c r="CQ18" s="155"/>
      <c r="CR18" s="154"/>
      <c r="CS18" s="154"/>
      <c r="CT18" s="154"/>
      <c r="CU18" s="154"/>
      <c r="CV18" s="154"/>
      <c r="CW18" s="154"/>
      <c r="CX18" s="154"/>
      <c r="CY18" s="154"/>
      <c r="CZ18" s="154"/>
      <c r="DA18" s="154"/>
    </row>
    <row r="19" spans="1:105" ht="201">
      <c r="A19" s="25">
        <v>3</v>
      </c>
      <c r="B19" s="26">
        <v>46234</v>
      </c>
      <c r="C19" s="27" t="s">
        <v>305</v>
      </c>
      <c r="D19" s="26" t="s">
        <v>163</v>
      </c>
      <c r="E19" s="28">
        <v>7503057496022</v>
      </c>
      <c r="F19" s="29" t="s">
        <v>640</v>
      </c>
      <c r="G19" s="201" t="s">
        <v>641</v>
      </c>
      <c r="H19" s="30"/>
      <c r="I19" s="26" t="s">
        <v>642</v>
      </c>
      <c r="J19" s="26" t="s">
        <v>623</v>
      </c>
      <c r="K19" s="29" t="s">
        <v>309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643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635</v>
      </c>
      <c r="AB19" s="26" t="s">
        <v>315</v>
      </c>
      <c r="AC19" s="37">
        <v>6</v>
      </c>
      <c r="AD19" s="37">
        <f>+AC19*12</f>
        <v>72</v>
      </c>
      <c r="AE19" s="21" t="s">
        <v>636</v>
      </c>
      <c r="AF19" s="285">
        <v>46290</v>
      </c>
      <c r="AG19" s="163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72"/>
      <c r="BN19" s="172"/>
      <c r="BO19" s="172"/>
      <c r="BP19" s="172"/>
      <c r="BQ19" s="172"/>
      <c r="BR19" s="161" t="str">
        <f t="shared" si="12"/>
        <v>En producción, se enviaron fotos de PP de exhibicajas, pendiente el OK de licencia</v>
      </c>
      <c r="BS19" s="166">
        <f t="shared" si="13"/>
        <v>46290</v>
      </c>
      <c r="BT19" s="161" t="s">
        <v>637</v>
      </c>
      <c r="CJ19" s="161"/>
      <c r="CK19" s="161"/>
      <c r="CL19" s="161"/>
      <c r="CM19" s="161"/>
      <c r="CN19" s="161"/>
      <c r="CO19" s="161"/>
      <c r="CP19" s="155"/>
      <c r="CQ19" s="155"/>
      <c r="CR19" s="154"/>
      <c r="CS19" s="154"/>
      <c r="CT19" s="154"/>
      <c r="CU19" s="154"/>
      <c r="CV19" s="154"/>
      <c r="CW19" s="154"/>
      <c r="CX19" s="154"/>
      <c r="CY19" s="154"/>
      <c r="CZ19" s="154"/>
      <c r="DA19" s="154"/>
    </row>
    <row r="20" spans="1:105" ht="118">
      <c r="A20" s="25">
        <v>6</v>
      </c>
      <c r="B20" s="26">
        <v>46234</v>
      </c>
      <c r="C20" s="27" t="s">
        <v>250</v>
      </c>
      <c r="D20" s="26" t="s">
        <v>163</v>
      </c>
      <c r="E20" s="28">
        <v>7503057496053</v>
      </c>
      <c r="F20" s="29" t="s">
        <v>644</v>
      </c>
      <c r="G20" s="201" t="s">
        <v>645</v>
      </c>
      <c r="H20" s="30"/>
      <c r="I20" s="26" t="s">
        <v>646</v>
      </c>
      <c r="J20" s="26" t="s">
        <v>623</v>
      </c>
      <c r="K20" s="22" t="s">
        <v>593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647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648</v>
      </c>
      <c r="AB20" s="26" t="s">
        <v>315</v>
      </c>
      <c r="AC20" s="37">
        <v>6</v>
      </c>
      <c r="AD20" s="37">
        <f>+AC20*4</f>
        <v>24</v>
      </c>
      <c r="AE20" s="29" t="s">
        <v>649</v>
      </c>
      <c r="AF20" s="21"/>
      <c r="AG20" s="163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0"/>
        <v>6</v>
      </c>
      <c r="BL20" s="4">
        <f t="shared" si="11"/>
        <v>0.66666666666666663</v>
      </c>
      <c r="BM20" s="172"/>
      <c r="BN20" s="172"/>
      <c r="BO20" s="172"/>
      <c r="BP20" s="172"/>
      <c r="BQ20" s="172"/>
      <c r="BR20" s="161" t="str">
        <f t="shared" ref="BR20:BR27" si="14">+AE20</f>
        <v>Revisión de costos en MX</v>
      </c>
      <c r="BS20" s="166">
        <f t="shared" ref="BS20:BS27" si="15">+AF20</f>
        <v>0</v>
      </c>
      <c r="BT20" s="161" t="s">
        <v>650</v>
      </c>
      <c r="CJ20" s="161"/>
      <c r="CK20" s="161"/>
      <c r="CL20" s="161"/>
      <c r="CM20" s="161"/>
      <c r="CN20" s="161"/>
      <c r="CO20" s="161"/>
      <c r="CP20" s="155"/>
      <c r="CQ20" s="155"/>
      <c r="CR20" s="154"/>
      <c r="CS20" s="154"/>
      <c r="CT20" s="154"/>
      <c r="CU20" s="154"/>
      <c r="CV20" s="154"/>
      <c r="CW20" s="154"/>
      <c r="CX20" s="154"/>
      <c r="CY20" s="154"/>
      <c r="CZ20" s="154"/>
      <c r="DA20" s="154"/>
    </row>
    <row r="21" spans="1:105" ht="118">
      <c r="A21" s="25">
        <v>7</v>
      </c>
      <c r="B21" s="26">
        <v>46234</v>
      </c>
      <c r="C21" s="27" t="s">
        <v>250</v>
      </c>
      <c r="D21" s="26" t="s">
        <v>163</v>
      </c>
      <c r="E21" s="28">
        <v>7503057496060</v>
      </c>
      <c r="F21" s="29" t="s">
        <v>651</v>
      </c>
      <c r="G21" s="201" t="s">
        <v>652</v>
      </c>
      <c r="H21" s="30"/>
      <c r="I21" s="26" t="s">
        <v>646</v>
      </c>
      <c r="J21" s="26" t="s">
        <v>623</v>
      </c>
      <c r="K21" s="22" t="s">
        <v>593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653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648</v>
      </c>
      <c r="AB21" s="26" t="s">
        <v>315</v>
      </c>
      <c r="AC21" s="37">
        <v>6</v>
      </c>
      <c r="AD21" s="37">
        <f>+AC21*4</f>
        <v>24</v>
      </c>
      <c r="AE21" s="29" t="s">
        <v>649</v>
      </c>
      <c r="AF21" s="21"/>
      <c r="AG21" s="163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0"/>
        <v>6</v>
      </c>
      <c r="BL21" s="4">
        <f t="shared" si="11"/>
        <v>0.66666666666666663</v>
      </c>
      <c r="BM21" s="172"/>
      <c r="BN21" s="172"/>
      <c r="BO21" s="172"/>
      <c r="BP21" s="172"/>
      <c r="BQ21" s="172"/>
      <c r="BR21" s="161" t="str">
        <f t="shared" si="14"/>
        <v>Revisión de costos en MX</v>
      </c>
      <c r="BS21" s="166">
        <f t="shared" si="15"/>
        <v>0</v>
      </c>
      <c r="BT21" s="161" t="s">
        <v>650</v>
      </c>
      <c r="CJ21" s="161"/>
      <c r="CK21" s="161"/>
      <c r="CL21" s="161"/>
      <c r="CM21" s="161"/>
      <c r="CN21" s="161"/>
      <c r="CO21" s="161"/>
      <c r="CP21" s="155"/>
      <c r="CQ21" s="155"/>
      <c r="CR21" s="154"/>
      <c r="CS21" s="154"/>
      <c r="CT21" s="154"/>
      <c r="CU21" s="154"/>
      <c r="CV21" s="154"/>
      <c r="CW21" s="154"/>
      <c r="CX21" s="154"/>
      <c r="CY21" s="154"/>
      <c r="CZ21" s="154"/>
      <c r="DA21" s="154"/>
    </row>
    <row r="22" spans="1:105" ht="236">
      <c r="A22" s="25">
        <v>8</v>
      </c>
      <c r="B22" s="26">
        <v>46234</v>
      </c>
      <c r="C22" s="27" t="s">
        <v>250</v>
      </c>
      <c r="D22" s="26" t="s">
        <v>163</v>
      </c>
      <c r="E22" s="28">
        <v>7503057496077</v>
      </c>
      <c r="F22" s="29" t="s">
        <v>654</v>
      </c>
      <c r="G22" s="201" t="s">
        <v>655</v>
      </c>
      <c r="H22" s="39"/>
      <c r="I22" s="26" t="s">
        <v>646</v>
      </c>
      <c r="J22" s="26" t="s">
        <v>623</v>
      </c>
      <c r="K22" s="22" t="s">
        <v>593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656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648</v>
      </c>
      <c r="AB22" s="26" t="s">
        <v>315</v>
      </c>
      <c r="AC22" s="37">
        <v>6</v>
      </c>
      <c r="AD22" s="37">
        <f>+AC22*4</f>
        <v>24</v>
      </c>
      <c r="AE22" s="29" t="s">
        <v>657</v>
      </c>
      <c r="AF22" s="21"/>
      <c r="AG22" s="163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/>
      <c r="BF22" s="3"/>
      <c r="BG22" s="3"/>
      <c r="BH22" s="3"/>
      <c r="BI22" s="3"/>
      <c r="BJ22" s="3">
        <v>9</v>
      </c>
      <c r="BK22" s="3">
        <f t="shared" si="10"/>
        <v>4</v>
      </c>
      <c r="BL22" s="4">
        <f t="shared" si="11"/>
        <v>0.44444444444444442</v>
      </c>
      <c r="BM22" s="172"/>
      <c r="BN22" s="172"/>
      <c r="BO22" s="172"/>
      <c r="BP22" s="172"/>
      <c r="BQ22" s="172"/>
      <c r="BR22" s="161" t="str">
        <f t="shared" si="14"/>
        <v>Esperando proforma de proveedor</v>
      </c>
      <c r="BS22" s="166">
        <f t="shared" si="15"/>
        <v>0</v>
      </c>
      <c r="BT22" s="161" t="s">
        <v>650</v>
      </c>
      <c r="CJ22" s="161"/>
      <c r="CK22" s="161"/>
      <c r="CL22" s="161"/>
      <c r="CM22" s="161"/>
      <c r="CN22" s="161"/>
      <c r="CO22" s="161"/>
      <c r="CP22" s="155"/>
      <c r="CQ22" s="155"/>
      <c r="CR22" s="154"/>
      <c r="CS22" s="154"/>
      <c r="CT22" s="154"/>
      <c r="CU22" s="154"/>
      <c r="CV22" s="154"/>
      <c r="CW22" s="154"/>
      <c r="CX22" s="154"/>
      <c r="CY22" s="154"/>
      <c r="CZ22" s="154"/>
      <c r="DA22" s="154"/>
    </row>
    <row r="23" spans="1:105" ht="236">
      <c r="A23" s="25">
        <v>9</v>
      </c>
      <c r="B23" s="26">
        <v>46234</v>
      </c>
      <c r="C23" s="27" t="s">
        <v>250</v>
      </c>
      <c r="D23" s="26" t="s">
        <v>163</v>
      </c>
      <c r="E23" s="28">
        <v>7503057496084</v>
      </c>
      <c r="F23" s="29" t="s">
        <v>658</v>
      </c>
      <c r="G23" s="201" t="s">
        <v>659</v>
      </c>
      <c r="H23" s="30"/>
      <c r="I23" s="26" t="s">
        <v>646</v>
      </c>
      <c r="J23" s="26" t="s">
        <v>623</v>
      </c>
      <c r="K23" s="22" t="s">
        <v>593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660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648</v>
      </c>
      <c r="AB23" s="26" t="s">
        <v>315</v>
      </c>
      <c r="AC23" s="37">
        <v>6</v>
      </c>
      <c r="AD23" s="37">
        <f>+AC23*4</f>
        <v>24</v>
      </c>
      <c r="AE23" s="29" t="s">
        <v>649</v>
      </c>
      <c r="AF23" s="21"/>
      <c r="AG23" s="163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0"/>
        <v>6</v>
      </c>
      <c r="BL23" s="4">
        <f t="shared" si="11"/>
        <v>0.66666666666666663</v>
      </c>
      <c r="BM23" s="172"/>
      <c r="BN23" s="172"/>
      <c r="BO23" s="172"/>
      <c r="BP23" s="172"/>
      <c r="BQ23" s="172"/>
      <c r="BR23" s="161" t="str">
        <f t="shared" si="14"/>
        <v>Revisión de costos en MX</v>
      </c>
      <c r="BS23" s="166">
        <f t="shared" si="15"/>
        <v>0</v>
      </c>
      <c r="BT23" s="161" t="s">
        <v>650</v>
      </c>
      <c r="CJ23" s="161"/>
      <c r="CK23" s="161"/>
      <c r="CL23" s="161"/>
      <c r="CM23" s="161"/>
      <c r="CN23" s="161"/>
      <c r="CO23" s="161"/>
      <c r="CP23" s="155"/>
      <c r="CQ23" s="155"/>
      <c r="CR23" s="154"/>
      <c r="CS23" s="154"/>
      <c r="CT23" s="154"/>
      <c r="CU23" s="154"/>
      <c r="CV23" s="154"/>
      <c r="CW23" s="154"/>
      <c r="CX23" s="154"/>
      <c r="CY23" s="154"/>
      <c r="CZ23" s="154"/>
      <c r="DA23" s="154"/>
    </row>
    <row r="24" spans="1:105" ht="236">
      <c r="A24" s="25">
        <v>11</v>
      </c>
      <c r="B24" s="26">
        <v>46234</v>
      </c>
      <c r="C24" s="27" t="s">
        <v>250</v>
      </c>
      <c r="D24" s="26" t="s">
        <v>163</v>
      </c>
      <c r="E24" s="28">
        <v>7503057496107</v>
      </c>
      <c r="F24" s="29" t="s">
        <v>661</v>
      </c>
      <c r="G24" s="201" t="s">
        <v>662</v>
      </c>
      <c r="H24" s="30"/>
      <c r="I24" s="26" t="s">
        <v>663</v>
      </c>
      <c r="J24" s="26" t="s">
        <v>623</v>
      </c>
      <c r="K24" s="22" t="s">
        <v>593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664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648</v>
      </c>
      <c r="AB24" s="26" t="s">
        <v>665</v>
      </c>
      <c r="AC24" s="37">
        <v>6</v>
      </c>
      <c r="AD24" s="37">
        <f>+AC24*12</f>
        <v>72</v>
      </c>
      <c r="AE24" s="29" t="s">
        <v>666</v>
      </c>
      <c r="AF24" s="21"/>
      <c r="AG24" s="163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0"/>
        <v>6</v>
      </c>
      <c r="BL24" s="4">
        <f t="shared" si="11"/>
        <v>0.66666666666666663</v>
      </c>
      <c r="BM24" s="172"/>
      <c r="BN24" s="172"/>
      <c r="BO24" s="172"/>
      <c r="BP24" s="172"/>
      <c r="BQ24" s="172"/>
      <c r="BR24" s="161" t="str">
        <f t="shared" si="14"/>
        <v>En espera de PPEDIDOS</v>
      </c>
      <c r="BS24" s="166">
        <f t="shared" si="15"/>
        <v>0</v>
      </c>
      <c r="BT24" s="161" t="s">
        <v>650</v>
      </c>
      <c r="CJ24" s="161"/>
      <c r="CK24" s="161"/>
      <c r="CL24" s="161"/>
      <c r="CM24" s="161"/>
      <c r="CN24" s="161"/>
      <c r="CO24" s="161"/>
      <c r="CP24" s="155"/>
      <c r="CQ24" s="155"/>
      <c r="CR24" s="154"/>
      <c r="CS24" s="154"/>
      <c r="CT24" s="154"/>
      <c r="CU24" s="154"/>
      <c r="CV24" s="154"/>
      <c r="CW24" s="154"/>
      <c r="CX24" s="154"/>
      <c r="CY24" s="154"/>
      <c r="CZ24" s="154"/>
      <c r="DA24" s="154"/>
    </row>
    <row r="25" spans="1:105" ht="236">
      <c r="A25" s="25">
        <v>12</v>
      </c>
      <c r="B25" s="26">
        <v>46234</v>
      </c>
      <c r="C25" s="27" t="s">
        <v>250</v>
      </c>
      <c r="D25" s="26" t="s">
        <v>163</v>
      </c>
      <c r="E25" s="28">
        <v>7503057496091</v>
      </c>
      <c r="F25" s="29" t="s">
        <v>667</v>
      </c>
      <c r="G25" s="201" t="s">
        <v>668</v>
      </c>
      <c r="H25" s="30"/>
      <c r="I25" s="26" t="s">
        <v>663</v>
      </c>
      <c r="J25" s="26" t="s">
        <v>623</v>
      </c>
      <c r="K25" s="22" t="s">
        <v>593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669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635</v>
      </c>
      <c r="AB25" s="26" t="s">
        <v>665</v>
      </c>
      <c r="AC25" s="37">
        <v>6</v>
      </c>
      <c r="AD25" s="37">
        <f>+AC25*12</f>
        <v>72</v>
      </c>
      <c r="AE25" s="29" t="s">
        <v>666</v>
      </c>
      <c r="AF25" s="21"/>
      <c r="AG25" s="163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0"/>
        <v>6</v>
      </c>
      <c r="BL25" s="4">
        <f t="shared" si="11"/>
        <v>0.66666666666666663</v>
      </c>
      <c r="BM25" s="172"/>
      <c r="BN25" s="172"/>
      <c r="BO25" s="172"/>
      <c r="BP25" s="172"/>
      <c r="BQ25" s="172"/>
      <c r="BR25" s="161" t="str">
        <f t="shared" si="14"/>
        <v>En espera de PPEDIDOS</v>
      </c>
      <c r="BS25" s="166">
        <f t="shared" si="15"/>
        <v>0</v>
      </c>
      <c r="BT25" s="161" t="s">
        <v>650</v>
      </c>
      <c r="CJ25" s="161"/>
      <c r="CK25" s="161"/>
      <c r="CL25" s="161"/>
      <c r="CM25" s="161"/>
      <c r="CN25" s="161"/>
      <c r="CO25" s="161"/>
      <c r="CP25" s="155"/>
      <c r="CQ25" s="155"/>
      <c r="CR25" s="154"/>
      <c r="CS25" s="154"/>
      <c r="CT25" s="154"/>
      <c r="CU25" s="154"/>
      <c r="CV25" s="154"/>
      <c r="CW25" s="154"/>
      <c r="CX25" s="154"/>
      <c r="CY25" s="154"/>
      <c r="CZ25" s="154"/>
      <c r="DA25" s="154"/>
    </row>
    <row r="26" spans="1:105" ht="147.5">
      <c r="A26" s="25">
        <v>13</v>
      </c>
      <c r="B26" s="26">
        <v>46234</v>
      </c>
      <c r="C26" s="27" t="s">
        <v>250</v>
      </c>
      <c r="D26" s="26" t="s">
        <v>163</v>
      </c>
      <c r="E26" s="28">
        <v>7503057496114</v>
      </c>
      <c r="F26" s="29" t="s">
        <v>670</v>
      </c>
      <c r="G26" s="201" t="s">
        <v>671</v>
      </c>
      <c r="H26" s="40"/>
      <c r="I26" s="26" t="s">
        <v>672</v>
      </c>
      <c r="J26" s="26" t="s">
        <v>623</v>
      </c>
      <c r="K26" s="22" t="s">
        <v>593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673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635</v>
      </c>
      <c r="AB26" s="26" t="s">
        <v>315</v>
      </c>
      <c r="AC26" s="37">
        <v>6</v>
      </c>
      <c r="AD26" s="37">
        <f>+AC26*12</f>
        <v>72</v>
      </c>
      <c r="AE26" s="29" t="s">
        <v>674</v>
      </c>
      <c r="AF26" s="284">
        <v>46355</v>
      </c>
      <c r="AG26" s="163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0"/>
        <v>6</v>
      </c>
      <c r="BL26" s="4">
        <f t="shared" si="11"/>
        <v>0.66666666666666663</v>
      </c>
      <c r="BM26" s="172"/>
      <c r="BN26" s="172"/>
      <c r="BO26" s="172"/>
      <c r="BP26" s="172"/>
      <c r="BQ26" s="172"/>
      <c r="BR26" s="161" t="str">
        <f t="shared" si="14"/>
        <v>En proceso de OC</v>
      </c>
      <c r="BS26" s="166">
        <f t="shared" si="15"/>
        <v>46355</v>
      </c>
      <c r="BT26" s="161" t="s">
        <v>70</v>
      </c>
      <c r="CJ26" s="161"/>
      <c r="CK26" s="161"/>
      <c r="CL26" s="161"/>
      <c r="CM26" s="161"/>
      <c r="CN26" s="161"/>
      <c r="CO26" s="161"/>
      <c r="CP26" s="155"/>
      <c r="CQ26" s="155"/>
      <c r="CR26" s="154"/>
      <c r="CS26" s="154"/>
      <c r="CT26" s="154"/>
      <c r="CU26" s="154"/>
      <c r="CV26" s="154"/>
      <c r="CW26" s="154"/>
      <c r="CX26" s="154"/>
      <c r="CY26" s="154"/>
      <c r="CZ26" s="154"/>
      <c r="DA26" s="154"/>
    </row>
    <row r="27" spans="1:105" ht="147.5">
      <c r="A27" s="25">
        <v>14</v>
      </c>
      <c r="B27" s="26">
        <v>46234</v>
      </c>
      <c r="C27" s="27" t="s">
        <v>250</v>
      </c>
      <c r="D27" s="26" t="s">
        <v>163</v>
      </c>
      <c r="E27" s="28">
        <v>7503057496121</v>
      </c>
      <c r="F27" s="29" t="s">
        <v>675</v>
      </c>
      <c r="G27" s="201" t="s">
        <v>676</v>
      </c>
      <c r="H27" s="40"/>
      <c r="I27" s="26" t="s">
        <v>672</v>
      </c>
      <c r="J27" s="26" t="s">
        <v>623</v>
      </c>
      <c r="K27" s="22" t="s">
        <v>593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677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635</v>
      </c>
      <c r="AB27" s="26" t="s">
        <v>315</v>
      </c>
      <c r="AC27" s="37">
        <v>6</v>
      </c>
      <c r="AD27" s="37">
        <f>+AC27*12</f>
        <v>72</v>
      </c>
      <c r="AE27" s="29" t="s">
        <v>674</v>
      </c>
      <c r="AF27" s="285">
        <v>46355</v>
      </c>
      <c r="AG27" s="163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0"/>
        <v>6</v>
      </c>
      <c r="BL27" s="4">
        <f t="shared" si="11"/>
        <v>0.66666666666666663</v>
      </c>
      <c r="BM27" s="172"/>
      <c r="BN27" s="172"/>
      <c r="BO27" s="172"/>
      <c r="BP27" s="172"/>
      <c r="BQ27" s="172"/>
      <c r="BR27" s="161" t="str">
        <f t="shared" si="14"/>
        <v>En proceso de OC</v>
      </c>
      <c r="BS27" s="166">
        <f t="shared" si="15"/>
        <v>46355</v>
      </c>
      <c r="BT27" s="161" t="s">
        <v>70</v>
      </c>
      <c r="CJ27" s="161"/>
      <c r="CK27" s="161"/>
      <c r="CL27" s="161"/>
      <c r="CM27" s="161"/>
      <c r="CN27" s="161"/>
      <c r="CO27" s="161"/>
      <c r="CP27" s="155"/>
      <c r="CQ27" s="155"/>
      <c r="CR27" s="154"/>
      <c r="CS27" s="154"/>
      <c r="CT27" s="154"/>
      <c r="CU27" s="154"/>
      <c r="CV27" s="154"/>
      <c r="CW27" s="154"/>
      <c r="CX27" s="154"/>
      <c r="CY27" s="154"/>
      <c r="CZ27" s="154"/>
      <c r="DA27" s="154"/>
    </row>
    <row r="28" spans="1:105">
      <c r="CJ28" s="161"/>
      <c r="CK28" s="161"/>
      <c r="CL28" s="161"/>
      <c r="CM28" s="161"/>
      <c r="CN28" s="161"/>
      <c r="CO28" s="161"/>
      <c r="CP28" s="155"/>
      <c r="CQ28" s="155"/>
      <c r="CR28" s="154"/>
      <c r="CS28" s="154"/>
      <c r="CT28" s="154"/>
      <c r="CU28" s="154"/>
      <c r="CV28" s="154"/>
      <c r="CW28" s="154"/>
      <c r="CX28" s="154"/>
      <c r="CY28" s="154"/>
      <c r="CZ28" s="154"/>
      <c r="DA28" s="154"/>
    </row>
    <row r="29" spans="1:105">
      <c r="CJ29" s="161"/>
      <c r="CK29" s="161"/>
      <c r="CL29" s="161"/>
      <c r="CM29" s="161"/>
      <c r="CN29" s="161"/>
      <c r="CO29" s="161"/>
      <c r="CP29" s="155"/>
      <c r="CQ29" s="155"/>
      <c r="CR29" s="154"/>
      <c r="CS29" s="154"/>
      <c r="CT29" s="154"/>
      <c r="CU29" s="154"/>
      <c r="CV29" s="154"/>
      <c r="CW29" s="154"/>
      <c r="CX29" s="154"/>
      <c r="CY29" s="154"/>
      <c r="CZ29" s="154"/>
      <c r="DA29" s="154"/>
    </row>
    <row r="30" spans="1:105">
      <c r="CJ30" s="161"/>
      <c r="CK30" s="161"/>
      <c r="CL30" s="161"/>
      <c r="CM30" s="161"/>
      <c r="CN30" s="161"/>
      <c r="CO30" s="161"/>
      <c r="CP30" s="155"/>
      <c r="CQ30" s="155"/>
      <c r="CR30" s="154"/>
      <c r="CS30" s="154"/>
      <c r="CT30" s="154"/>
      <c r="CU30" s="154"/>
      <c r="CV30" s="154"/>
      <c r="CW30" s="154"/>
      <c r="CX30" s="154"/>
      <c r="CY30" s="154"/>
      <c r="CZ30" s="154"/>
      <c r="DA30" s="154"/>
    </row>
    <row r="31" spans="1:105">
      <c r="CJ31" s="161"/>
      <c r="CK31" s="161"/>
      <c r="CL31" s="161"/>
      <c r="CM31" s="161"/>
      <c r="CN31" s="161"/>
      <c r="CO31" s="161"/>
      <c r="CP31" s="155"/>
      <c r="CQ31" s="155"/>
      <c r="CR31" s="154"/>
      <c r="CS31" s="154"/>
      <c r="CT31" s="154"/>
      <c r="CU31" s="154"/>
      <c r="CV31" s="154"/>
      <c r="CW31" s="154"/>
      <c r="CX31" s="154"/>
      <c r="CY31" s="154"/>
      <c r="CZ31" s="154"/>
      <c r="DA31" s="154"/>
    </row>
    <row r="32" spans="1:105">
      <c r="CJ32" s="161"/>
      <c r="CK32" s="161"/>
      <c r="CL32" s="161"/>
      <c r="CM32" s="161"/>
      <c r="CN32" s="161"/>
      <c r="CO32" s="161"/>
      <c r="CP32" s="155"/>
      <c r="CQ32" s="155"/>
      <c r="CR32" s="154"/>
      <c r="CS32" s="154"/>
      <c r="CT32" s="154"/>
      <c r="CU32" s="154"/>
      <c r="CV32" s="154"/>
      <c r="CW32" s="154"/>
      <c r="CX32" s="154"/>
      <c r="CY32" s="154"/>
      <c r="CZ32" s="154"/>
      <c r="DA32" s="154"/>
    </row>
    <row r="33" spans="88:105">
      <c r="CJ33" s="161"/>
      <c r="CK33" s="161"/>
      <c r="CL33" s="161"/>
      <c r="CM33" s="161"/>
      <c r="CN33" s="161"/>
      <c r="CO33" s="161"/>
      <c r="CP33" s="155"/>
      <c r="CQ33" s="155"/>
      <c r="CR33" s="154"/>
      <c r="CS33" s="154"/>
      <c r="CT33" s="154"/>
      <c r="CU33" s="154"/>
      <c r="CV33" s="154"/>
      <c r="CW33" s="154"/>
      <c r="CX33" s="154"/>
      <c r="CY33" s="154"/>
      <c r="CZ33" s="154"/>
      <c r="DA33" s="154"/>
    </row>
    <row r="34" spans="88:105">
      <c r="CJ34" s="161"/>
      <c r="CK34" s="161"/>
      <c r="CL34" s="161"/>
      <c r="CM34" s="161"/>
      <c r="CN34" s="161"/>
      <c r="CO34" s="161"/>
      <c r="CP34" s="155"/>
      <c r="CQ34" s="155"/>
      <c r="CR34" s="154"/>
      <c r="CS34" s="154"/>
      <c r="CT34" s="154"/>
      <c r="CU34" s="154"/>
      <c r="CV34" s="154"/>
      <c r="CW34" s="154"/>
      <c r="CX34" s="154"/>
      <c r="CY34" s="154"/>
      <c r="CZ34" s="154"/>
      <c r="DA34" s="154"/>
    </row>
    <row r="35" spans="88:105">
      <c r="CJ35" s="161"/>
      <c r="CK35" s="161"/>
      <c r="CL35" s="161"/>
      <c r="CM35" s="161"/>
      <c r="CN35" s="161"/>
      <c r="CO35" s="161"/>
      <c r="CP35" s="155"/>
      <c r="CQ35" s="155"/>
      <c r="CR35" s="154"/>
      <c r="CS35" s="154"/>
      <c r="CT35" s="154"/>
      <c r="CU35" s="154"/>
      <c r="CV35" s="154"/>
      <c r="CW35" s="154"/>
      <c r="CX35" s="154"/>
      <c r="CY35" s="154"/>
      <c r="CZ35" s="154"/>
      <c r="DA35" s="154"/>
    </row>
    <row r="36" spans="88:105">
      <c r="CJ36" s="161"/>
      <c r="CK36" s="161"/>
      <c r="CL36" s="161"/>
      <c r="CM36" s="161"/>
      <c r="CN36" s="161"/>
      <c r="CO36" s="161"/>
      <c r="CP36" s="155"/>
      <c r="CQ36" s="155"/>
      <c r="CR36" s="154"/>
      <c r="CS36" s="154"/>
      <c r="CT36" s="154"/>
      <c r="CU36" s="154"/>
      <c r="CV36" s="154"/>
      <c r="CW36" s="154"/>
      <c r="CX36" s="154"/>
      <c r="CY36" s="154"/>
      <c r="CZ36" s="154"/>
      <c r="DA36" s="154"/>
    </row>
    <row r="37" spans="88:105">
      <c r="CJ37" s="161"/>
      <c r="CK37" s="161"/>
      <c r="CL37" s="161"/>
      <c r="CM37" s="161"/>
      <c r="CN37" s="161"/>
      <c r="CO37" s="161"/>
      <c r="CP37" s="155"/>
      <c r="CQ37" s="155"/>
      <c r="CR37" s="154"/>
      <c r="CS37" s="154"/>
      <c r="CT37" s="154"/>
      <c r="CU37" s="154"/>
      <c r="CV37" s="154"/>
      <c r="CW37" s="154"/>
      <c r="CX37" s="154"/>
      <c r="CY37" s="154"/>
      <c r="CZ37" s="154"/>
      <c r="DA37" s="154"/>
    </row>
    <row r="38" spans="88:105">
      <c r="CJ38" s="161"/>
      <c r="CK38" s="161"/>
      <c r="CL38" s="161"/>
      <c r="CM38" s="161"/>
      <c r="CN38" s="161"/>
      <c r="CO38" s="161"/>
      <c r="CP38" s="155"/>
      <c r="CQ38" s="155"/>
      <c r="CR38" s="154"/>
      <c r="CS38" s="154"/>
      <c r="CT38" s="154"/>
      <c r="CU38" s="154"/>
      <c r="CV38" s="154"/>
      <c r="CW38" s="154"/>
      <c r="CX38" s="154"/>
      <c r="CY38" s="154"/>
      <c r="CZ38" s="154"/>
      <c r="DA38" s="154"/>
    </row>
    <row r="39" spans="88:105">
      <c r="CJ39" s="161"/>
      <c r="CK39" s="161"/>
      <c r="CL39" s="161"/>
      <c r="CM39" s="161"/>
      <c r="CN39" s="161"/>
      <c r="CO39" s="161"/>
      <c r="CP39" s="155"/>
      <c r="CQ39" s="155"/>
      <c r="CR39" s="154"/>
      <c r="CS39" s="154"/>
      <c r="CT39" s="154"/>
      <c r="CU39" s="154"/>
      <c r="CV39" s="154"/>
      <c r="CW39" s="154"/>
      <c r="CX39" s="154"/>
      <c r="CY39" s="154"/>
      <c r="CZ39" s="154"/>
      <c r="DA39" s="154"/>
    </row>
    <row r="40" spans="88:105">
      <c r="CJ40" s="161"/>
      <c r="CK40" s="161"/>
      <c r="CL40" s="161"/>
      <c r="CM40" s="161"/>
      <c r="CN40" s="161"/>
      <c r="CO40" s="161"/>
      <c r="CP40" s="155"/>
      <c r="CQ40" s="155"/>
      <c r="CR40" s="154"/>
      <c r="CS40" s="154"/>
      <c r="CT40" s="154"/>
      <c r="CU40" s="154"/>
      <c r="CV40" s="154"/>
      <c r="CW40" s="154"/>
      <c r="CX40" s="154"/>
      <c r="CY40" s="154"/>
      <c r="CZ40" s="154"/>
      <c r="DA40" s="154"/>
    </row>
    <row r="41" spans="88:105">
      <c r="CJ41" s="161"/>
      <c r="CK41" s="161"/>
      <c r="CL41" s="161"/>
      <c r="CM41" s="161"/>
      <c r="CN41" s="161"/>
      <c r="CO41" s="161"/>
      <c r="CP41" s="155"/>
      <c r="CQ41" s="155"/>
      <c r="CR41" s="154"/>
      <c r="CS41" s="154"/>
      <c r="CT41" s="154"/>
      <c r="CU41" s="154"/>
      <c r="CV41" s="154"/>
      <c r="CW41" s="154"/>
      <c r="CX41" s="154"/>
      <c r="CY41" s="154"/>
      <c r="CZ41" s="154"/>
      <c r="DA41" s="154"/>
    </row>
    <row r="42" spans="88:105">
      <c r="CJ42" s="161"/>
      <c r="CK42" s="161"/>
      <c r="CL42" s="161"/>
      <c r="CM42" s="161"/>
      <c r="CN42" s="161"/>
      <c r="CO42" s="161"/>
      <c r="CP42" s="155"/>
      <c r="CQ42" s="155"/>
      <c r="CR42" s="154"/>
      <c r="CS42" s="154"/>
      <c r="CT42" s="154"/>
      <c r="CU42" s="154"/>
      <c r="CV42" s="154"/>
      <c r="CW42" s="154"/>
      <c r="CX42" s="154"/>
      <c r="CY42" s="154"/>
      <c r="CZ42" s="154"/>
      <c r="DA42" s="154"/>
    </row>
    <row r="43" spans="88:105">
      <c r="CJ43" s="161"/>
      <c r="CK43" s="161"/>
      <c r="CL43" s="161"/>
      <c r="CM43" s="161"/>
      <c r="CN43" s="161"/>
      <c r="CO43" s="161"/>
      <c r="CP43" s="155"/>
      <c r="CQ43" s="155"/>
      <c r="CR43" s="154"/>
      <c r="CS43" s="154"/>
      <c r="CT43" s="154"/>
      <c r="CU43" s="154"/>
      <c r="CV43" s="154"/>
      <c r="CW43" s="154"/>
      <c r="CX43" s="154"/>
      <c r="CY43" s="154"/>
      <c r="CZ43" s="154"/>
      <c r="DA43" s="154"/>
    </row>
    <row r="44" spans="88:105">
      <c r="CJ44" s="161"/>
      <c r="CK44" s="161"/>
      <c r="CL44" s="161"/>
      <c r="CM44" s="161"/>
      <c r="CN44" s="161"/>
      <c r="CO44" s="161"/>
      <c r="CP44" s="155"/>
      <c r="CQ44" s="155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</row>
    <row r="45" spans="88:105">
      <c r="CJ45" s="161"/>
      <c r="CK45" s="161"/>
      <c r="CL45" s="161"/>
      <c r="CM45" s="161"/>
      <c r="CN45" s="161"/>
      <c r="CO45" s="161"/>
      <c r="CP45" s="155"/>
      <c r="CQ45" s="155"/>
      <c r="CR45" s="154"/>
      <c r="CS45" s="154"/>
      <c r="CT45" s="154"/>
      <c r="CU45" s="154"/>
      <c r="CV45" s="154"/>
      <c r="CW45" s="154"/>
      <c r="CX45" s="154"/>
      <c r="CY45" s="154"/>
      <c r="CZ45" s="154"/>
      <c r="DA45" s="154"/>
    </row>
    <row r="46" spans="88:105">
      <c r="CJ46" s="161"/>
      <c r="CK46" s="161"/>
      <c r="CL46" s="161"/>
      <c r="CM46" s="161"/>
      <c r="CN46" s="161"/>
      <c r="CO46" s="161"/>
      <c r="CP46" s="155"/>
      <c r="CQ46" s="155"/>
      <c r="CR46" s="154"/>
      <c r="CS46" s="154"/>
      <c r="CT46" s="154"/>
      <c r="CU46" s="154"/>
      <c r="CV46" s="154"/>
      <c r="CW46" s="154"/>
      <c r="CX46" s="154"/>
      <c r="CY46" s="154"/>
      <c r="CZ46" s="154"/>
      <c r="DA46" s="154"/>
    </row>
    <row r="47" spans="88:105">
      <c r="CJ47" s="161"/>
      <c r="CK47" s="161"/>
      <c r="CL47" s="161"/>
      <c r="CM47" s="161"/>
      <c r="CN47" s="161"/>
      <c r="CO47" s="161"/>
      <c r="CP47" s="155"/>
      <c r="CQ47" s="155"/>
      <c r="CR47" s="154"/>
      <c r="CS47" s="154"/>
      <c r="CT47" s="154"/>
      <c r="CU47" s="154"/>
      <c r="CV47" s="154"/>
      <c r="CW47" s="154"/>
      <c r="CX47" s="154"/>
      <c r="CY47" s="154"/>
      <c r="CZ47" s="154"/>
      <c r="DA47" s="154"/>
    </row>
    <row r="48" spans="88:105">
      <c r="CJ48" s="161"/>
      <c r="CK48" s="161"/>
      <c r="CL48" s="161"/>
      <c r="CM48" s="161"/>
      <c r="CN48" s="161"/>
      <c r="CO48" s="161"/>
      <c r="CP48" s="155"/>
      <c r="CQ48" s="155"/>
      <c r="CR48" s="154"/>
      <c r="CS48" s="154"/>
      <c r="CT48" s="154"/>
      <c r="CU48" s="154"/>
      <c r="CV48" s="154"/>
      <c r="CW48" s="154"/>
      <c r="CX48" s="154"/>
      <c r="CY48" s="154"/>
      <c r="CZ48" s="154"/>
      <c r="DA48" s="154"/>
    </row>
    <row r="49" spans="88:105">
      <c r="CJ49" s="161"/>
      <c r="CK49" s="161"/>
      <c r="CL49" s="161"/>
      <c r="CM49" s="161"/>
      <c r="CN49" s="161"/>
      <c r="CO49" s="161"/>
      <c r="CP49" s="155"/>
      <c r="CQ49" s="155"/>
      <c r="CR49" s="154"/>
      <c r="CS49" s="154"/>
      <c r="CT49" s="154"/>
      <c r="CU49" s="154"/>
      <c r="CV49" s="154"/>
      <c r="CW49" s="154"/>
      <c r="CX49" s="154"/>
      <c r="CY49" s="154"/>
      <c r="CZ49" s="154"/>
      <c r="DA49" s="154"/>
    </row>
    <row r="50" spans="88:105">
      <c r="CJ50" s="161"/>
      <c r="CK50" s="161"/>
      <c r="CL50" s="161"/>
      <c r="CM50" s="161"/>
      <c r="CN50" s="161"/>
      <c r="CO50" s="161"/>
      <c r="CP50" s="155"/>
      <c r="CQ50" s="155"/>
      <c r="CR50" s="154"/>
      <c r="CS50" s="154"/>
      <c r="CT50" s="154"/>
      <c r="CU50" s="154"/>
      <c r="CV50" s="154"/>
      <c r="CW50" s="154"/>
      <c r="CX50" s="154"/>
      <c r="CY50" s="154"/>
      <c r="CZ50" s="154"/>
      <c r="DA50" s="154"/>
    </row>
    <row r="51" spans="88:105">
      <c r="CJ51" s="161"/>
      <c r="CK51" s="161"/>
      <c r="CL51" s="161"/>
      <c r="CM51" s="161"/>
      <c r="CN51" s="161"/>
      <c r="CO51" s="161"/>
      <c r="CP51" s="155"/>
      <c r="CQ51" s="155"/>
      <c r="CR51" s="154"/>
      <c r="CS51" s="154"/>
      <c r="CT51" s="154"/>
      <c r="CU51" s="154"/>
      <c r="CV51" s="154"/>
      <c r="CW51" s="154"/>
      <c r="CX51" s="154"/>
      <c r="CY51" s="154"/>
      <c r="CZ51" s="154"/>
      <c r="DA51" s="154"/>
    </row>
    <row r="52" spans="88:105">
      <c r="CJ52" s="161"/>
      <c r="CK52" s="161"/>
      <c r="CL52" s="161"/>
      <c r="CM52" s="161"/>
      <c r="CN52" s="161"/>
      <c r="CO52" s="161"/>
      <c r="CP52" s="155"/>
      <c r="CQ52" s="155"/>
      <c r="CR52" s="154"/>
      <c r="CS52" s="154"/>
      <c r="CT52" s="154"/>
      <c r="CU52" s="154"/>
      <c r="CV52" s="154"/>
      <c r="CW52" s="154"/>
      <c r="CX52" s="154"/>
      <c r="CY52" s="154"/>
      <c r="CZ52" s="154"/>
      <c r="DA52" s="154"/>
    </row>
    <row r="53" spans="88:105">
      <c r="CJ53" s="161"/>
      <c r="CK53" s="161"/>
      <c r="CL53" s="161"/>
      <c r="CM53" s="161"/>
      <c r="CN53" s="161"/>
      <c r="CO53" s="161"/>
      <c r="CP53" s="155"/>
      <c r="CQ53" s="155"/>
      <c r="CR53" s="154"/>
      <c r="CS53" s="154"/>
      <c r="CT53" s="154"/>
      <c r="CU53" s="154"/>
      <c r="CV53" s="154"/>
      <c r="CW53" s="154"/>
      <c r="CX53" s="154"/>
      <c r="CY53" s="154"/>
      <c r="CZ53" s="154"/>
      <c r="DA53" s="154"/>
    </row>
    <row r="54" spans="88:105">
      <c r="CJ54" s="161"/>
      <c r="CK54" s="161"/>
      <c r="CL54" s="161"/>
      <c r="CM54" s="161"/>
      <c r="CN54" s="161"/>
      <c r="CO54" s="161"/>
      <c r="CP54" s="155"/>
      <c r="CQ54" s="155"/>
      <c r="CR54" s="154"/>
      <c r="CS54" s="154"/>
      <c r="CT54" s="154"/>
      <c r="CU54" s="154"/>
      <c r="CV54" s="154"/>
      <c r="CW54" s="154"/>
      <c r="CX54" s="154"/>
      <c r="CY54" s="154"/>
      <c r="CZ54" s="154"/>
      <c r="DA54" s="154"/>
    </row>
    <row r="55" spans="88:105">
      <c r="CJ55" s="161"/>
      <c r="CK55" s="161"/>
      <c r="CL55" s="161"/>
      <c r="CM55" s="161"/>
      <c r="CN55" s="161"/>
      <c r="CO55" s="161"/>
      <c r="CP55" s="155"/>
      <c r="CQ55" s="155"/>
      <c r="CR55" s="154"/>
      <c r="CS55" s="154"/>
      <c r="CT55" s="154"/>
      <c r="CU55" s="154"/>
      <c r="CV55" s="154"/>
      <c r="CW55" s="154"/>
      <c r="CX55" s="154"/>
      <c r="CY55" s="154"/>
      <c r="CZ55" s="154"/>
      <c r="DA55" s="154"/>
    </row>
    <row r="56" spans="88:105">
      <c r="CJ56" s="161"/>
      <c r="CK56" s="161"/>
      <c r="CL56" s="161"/>
      <c r="CM56" s="161"/>
      <c r="CN56" s="161"/>
      <c r="CO56" s="161"/>
      <c r="CP56" s="155"/>
      <c r="CQ56" s="155"/>
      <c r="CR56" s="154"/>
      <c r="CS56" s="154"/>
      <c r="CT56" s="154"/>
      <c r="CU56" s="154"/>
      <c r="CV56" s="154"/>
      <c r="CW56" s="154"/>
      <c r="CX56" s="154"/>
      <c r="CY56" s="154"/>
      <c r="CZ56" s="154"/>
      <c r="DA56" s="154"/>
    </row>
    <row r="57" spans="88:105">
      <c r="CJ57" s="161"/>
      <c r="CK57" s="161"/>
      <c r="CL57" s="161"/>
      <c r="CM57" s="161"/>
      <c r="CN57" s="161"/>
      <c r="CO57" s="161"/>
      <c r="CP57" s="155"/>
      <c r="CQ57" s="155"/>
      <c r="CR57" s="154"/>
      <c r="CS57" s="154"/>
      <c r="CT57" s="154"/>
      <c r="CU57" s="154"/>
      <c r="CV57" s="154"/>
      <c r="CW57" s="154"/>
      <c r="CX57" s="154"/>
      <c r="CY57" s="154"/>
      <c r="CZ57" s="154"/>
      <c r="DA57" s="154"/>
    </row>
    <row r="58" spans="88:105">
      <c r="CJ58" s="161"/>
      <c r="CK58" s="161"/>
      <c r="CL58" s="161"/>
      <c r="CM58" s="161"/>
      <c r="CN58" s="161"/>
      <c r="CO58" s="161"/>
      <c r="CP58" s="155"/>
      <c r="CQ58" s="155"/>
      <c r="CR58" s="154"/>
      <c r="CS58" s="154"/>
      <c r="CT58" s="154"/>
      <c r="CU58" s="154"/>
      <c r="CV58" s="154"/>
      <c r="CW58" s="154"/>
      <c r="CX58" s="154"/>
      <c r="CY58" s="154"/>
      <c r="CZ58" s="154"/>
      <c r="DA58" s="154"/>
    </row>
    <row r="59" spans="88:105">
      <c r="CJ59" s="161"/>
      <c r="CK59" s="161"/>
      <c r="CL59" s="161"/>
      <c r="CM59" s="161"/>
      <c r="CN59" s="161"/>
      <c r="CO59" s="161"/>
      <c r="CP59" s="155"/>
      <c r="CQ59" s="155"/>
      <c r="CR59" s="154"/>
      <c r="CS59" s="154"/>
      <c r="CT59" s="154"/>
      <c r="CU59" s="154"/>
      <c r="CV59" s="154"/>
      <c r="CW59" s="154"/>
      <c r="CX59" s="154"/>
      <c r="CY59" s="154"/>
      <c r="CZ59" s="154"/>
      <c r="DA59" s="154"/>
    </row>
    <row r="60" spans="88:105">
      <c r="CJ60" s="161"/>
      <c r="CK60" s="161"/>
      <c r="CL60" s="161"/>
      <c r="CM60" s="161"/>
      <c r="CN60" s="161"/>
      <c r="CO60" s="161"/>
      <c r="CP60" s="155"/>
      <c r="CQ60" s="155"/>
      <c r="CR60" s="154"/>
      <c r="CS60" s="154"/>
      <c r="CT60" s="154"/>
      <c r="CU60" s="154"/>
      <c r="CV60" s="154"/>
      <c r="CW60" s="154"/>
      <c r="CX60" s="154"/>
      <c r="CY60" s="154"/>
      <c r="CZ60" s="154"/>
      <c r="DA60" s="154"/>
    </row>
    <row r="61" spans="88:105">
      <c r="CJ61" s="161"/>
      <c r="CK61" s="161"/>
      <c r="CL61" s="161"/>
      <c r="CM61" s="161"/>
      <c r="CN61" s="161"/>
      <c r="CO61" s="161"/>
      <c r="CP61" s="155"/>
      <c r="CQ61" s="155"/>
      <c r="CR61" s="154"/>
      <c r="CS61" s="154"/>
      <c r="CT61" s="154"/>
      <c r="CU61" s="154"/>
      <c r="CV61" s="154"/>
      <c r="CW61" s="154"/>
      <c r="CX61" s="154"/>
      <c r="CY61" s="154"/>
      <c r="CZ61" s="154"/>
      <c r="DA61" s="154"/>
    </row>
    <row r="62" spans="88:105">
      <c r="CJ62" s="161"/>
      <c r="CK62" s="161"/>
      <c r="CL62" s="161"/>
      <c r="CM62" s="161"/>
      <c r="CN62" s="161"/>
      <c r="CO62" s="161"/>
      <c r="CP62" s="155"/>
      <c r="CQ62" s="155"/>
      <c r="CR62" s="154"/>
      <c r="CS62" s="154"/>
      <c r="CT62" s="154"/>
      <c r="CU62" s="154"/>
      <c r="CV62" s="154"/>
      <c r="CW62" s="154"/>
      <c r="CX62" s="154"/>
      <c r="CY62" s="154"/>
      <c r="CZ62" s="154"/>
      <c r="DA62" s="154"/>
    </row>
    <row r="63" spans="88:105">
      <c r="CJ63" s="161"/>
      <c r="CK63" s="161"/>
      <c r="CL63" s="161"/>
      <c r="CM63" s="161"/>
      <c r="CN63" s="161"/>
      <c r="CO63" s="161"/>
      <c r="CP63" s="155"/>
      <c r="CQ63" s="155"/>
      <c r="CR63" s="154"/>
      <c r="CS63" s="154"/>
      <c r="CT63" s="154"/>
      <c r="CU63" s="154"/>
      <c r="CV63" s="154"/>
      <c r="CW63" s="154"/>
      <c r="CX63" s="154"/>
      <c r="CY63" s="154"/>
      <c r="CZ63" s="154"/>
      <c r="DA63" s="154"/>
    </row>
    <row r="64" spans="88:105">
      <c r="CJ64" s="161"/>
      <c r="CK64" s="161"/>
      <c r="CL64" s="161"/>
      <c r="CM64" s="161"/>
      <c r="CN64" s="161"/>
      <c r="CO64" s="161"/>
      <c r="CP64" s="155"/>
      <c r="CQ64" s="155"/>
      <c r="CR64" s="154"/>
      <c r="CS64" s="154"/>
      <c r="CT64" s="154"/>
      <c r="CU64" s="154"/>
      <c r="CV64" s="154"/>
      <c r="CW64" s="154"/>
      <c r="CX64" s="154"/>
      <c r="CY64" s="154"/>
      <c r="CZ64" s="154"/>
      <c r="DA64" s="154"/>
    </row>
    <row r="65" spans="88:105">
      <c r="CJ65" s="161"/>
      <c r="CK65" s="161"/>
      <c r="CL65" s="161"/>
      <c r="CM65" s="161"/>
      <c r="CN65" s="161"/>
      <c r="CO65" s="161"/>
      <c r="CP65" s="155"/>
      <c r="CQ65" s="155"/>
      <c r="CR65" s="154"/>
      <c r="CS65" s="154"/>
      <c r="CT65" s="154"/>
      <c r="CU65" s="154"/>
      <c r="CV65" s="154"/>
      <c r="CW65" s="154"/>
      <c r="CX65" s="154"/>
      <c r="CY65" s="154"/>
      <c r="CZ65" s="154"/>
      <c r="DA65" s="154"/>
    </row>
    <row r="66" spans="88:105">
      <c r="CJ66" s="161"/>
      <c r="CK66" s="161"/>
      <c r="CL66" s="161"/>
      <c r="CM66" s="161"/>
      <c r="CN66" s="161"/>
      <c r="CO66" s="161"/>
      <c r="CP66" s="155"/>
      <c r="CQ66" s="155"/>
      <c r="CR66" s="154"/>
      <c r="CS66" s="154"/>
      <c r="CT66" s="154"/>
      <c r="CU66" s="154"/>
      <c r="CV66" s="154"/>
      <c r="CW66" s="154"/>
      <c r="CX66" s="154"/>
      <c r="CY66" s="154"/>
      <c r="CZ66" s="154"/>
      <c r="DA66" s="154"/>
    </row>
    <row r="67" spans="88:105">
      <c r="CJ67" s="161"/>
      <c r="CK67" s="161"/>
      <c r="CL67" s="161"/>
      <c r="CM67" s="161"/>
      <c r="CN67" s="161"/>
      <c r="CO67" s="161"/>
      <c r="CP67" s="155"/>
      <c r="CQ67" s="155"/>
      <c r="CR67" s="154"/>
      <c r="CS67" s="154"/>
      <c r="CT67" s="154"/>
      <c r="CU67" s="154"/>
      <c r="CV67" s="154"/>
      <c r="CW67" s="154"/>
      <c r="CX67" s="154"/>
      <c r="CY67" s="154"/>
      <c r="CZ67" s="154"/>
      <c r="DA67" s="154"/>
    </row>
    <row r="68" spans="88:105">
      <c r="CJ68" s="161"/>
      <c r="CK68" s="161"/>
      <c r="CL68" s="161"/>
      <c r="CM68" s="161"/>
      <c r="CN68" s="161"/>
      <c r="CO68" s="161"/>
      <c r="CP68" s="155"/>
      <c r="CQ68" s="155"/>
      <c r="CR68" s="154"/>
      <c r="CS68" s="154"/>
      <c r="CT68" s="154"/>
      <c r="CU68" s="154"/>
      <c r="CV68" s="154"/>
      <c r="CW68" s="154"/>
      <c r="CX68" s="154"/>
      <c r="CY68" s="154"/>
      <c r="CZ68" s="154"/>
      <c r="DA68" s="154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C8" zoomScale="26" zoomScaleNormal="26" workbookViewId="0">
      <selection activeCell="BR16" sqref="BR1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hidden="1" customWidth="1"/>
    <col min="14" max="14" width="22.1796875" hidden="1" customWidth="1"/>
    <col min="15" max="15" width="39.81640625" hidden="1" customWidth="1"/>
    <col min="16" max="16" width="38.54296875" hidden="1" customWidth="1"/>
    <col min="17" max="17" width="15.81640625" hidden="1" customWidth="1"/>
    <col min="18" max="19" width="39" hidden="1" customWidth="1"/>
    <col min="20" max="20" width="156.81640625" hidden="1" customWidth="1"/>
    <col min="21" max="21" width="30" hidden="1" customWidth="1"/>
    <col min="22" max="22" width="22.1796875" hidden="1" customWidth="1"/>
    <col min="23" max="23" width="39.7265625" hidden="1" customWidth="1"/>
    <col min="24" max="24" width="39" hidden="1" customWidth="1"/>
    <col min="25" max="25" width="15.81640625" hidden="1" customWidth="1"/>
    <col min="26" max="26" width="39" hidden="1" customWidth="1"/>
    <col min="27" max="27" width="26.26953125" hidden="1" customWidth="1"/>
    <col min="28" max="28" width="39" hidden="1" customWidth="1"/>
    <col min="29" max="29" width="37.26953125" hidden="1" customWidth="1"/>
    <col min="30" max="30" width="31.54296875" hidden="1" customWidth="1"/>
    <col min="31" max="31" width="150.54296875" hidden="1" customWidth="1"/>
    <col min="32" max="32" width="31.54296875" hidden="1" customWidth="1"/>
    <col min="33" max="33" width="39.81640625" hidden="1" customWidth="1"/>
    <col min="34" max="34" width="37.81640625" hidden="1" customWidth="1"/>
    <col min="35" max="35" width="36.81640625" hidden="1" customWidth="1"/>
    <col min="36" max="36" width="37.81640625" hidden="1" customWidth="1"/>
    <col min="37" max="37" width="30" hidden="1" customWidth="1"/>
    <col min="38" max="38" width="35.81640625" hidden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hidden="1" customWidth="1"/>
    <col min="46" max="46" width="36.81640625" hidden="1" customWidth="1"/>
    <col min="47" max="47" width="37.81640625" hidden="1" customWidth="1"/>
    <col min="48" max="48" width="31.1796875" hidden="1" customWidth="1"/>
    <col min="49" max="51" width="40.453125" hidden="1" customWidth="1"/>
    <col min="52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62" customWidth="1"/>
    <col min="94" max="105" width="35.453125" style="153" customWidth="1"/>
  </cols>
  <sheetData>
    <row r="1" spans="1:105" s="124" customFormat="1" ht="68.900000000000006" customHeight="1">
      <c r="A1" s="131"/>
      <c r="B1" s="134"/>
      <c r="C1" s="134"/>
      <c r="D1" s="131"/>
      <c r="E1" s="132"/>
      <c r="F1" s="131"/>
      <c r="G1" s="131"/>
      <c r="H1" s="133"/>
      <c r="I1" s="131"/>
      <c r="J1" s="131"/>
      <c r="K1" s="131"/>
      <c r="L1" s="131"/>
      <c r="M1" s="131"/>
      <c r="N1" s="133"/>
      <c r="O1" s="133"/>
      <c r="P1" s="133"/>
      <c r="Q1" s="133"/>
      <c r="R1" s="133"/>
      <c r="S1" s="134"/>
      <c r="T1" s="133"/>
      <c r="U1" s="133"/>
      <c r="V1" s="133"/>
      <c r="W1" s="133"/>
      <c r="X1" s="133"/>
      <c r="Y1" s="133"/>
      <c r="Z1" s="133"/>
      <c r="AA1" s="133"/>
      <c r="AB1" s="134"/>
      <c r="AC1" s="133"/>
      <c r="AD1" s="133"/>
      <c r="AE1" s="133"/>
      <c r="AF1" s="123"/>
      <c r="AG1" s="133"/>
      <c r="AH1" s="133"/>
      <c r="AI1" s="133"/>
      <c r="AJ1" s="133"/>
      <c r="AK1" s="133"/>
      <c r="AL1" s="131"/>
      <c r="AM1" s="133"/>
      <c r="AN1" s="131"/>
      <c r="AO1" s="131"/>
      <c r="AP1" s="133"/>
      <c r="AR1" s="134"/>
      <c r="AS1" s="134"/>
      <c r="AT1" s="134"/>
      <c r="AU1" s="134"/>
      <c r="AV1" s="134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</row>
    <row r="2" spans="1:105" s="124" customFormat="1" ht="68.900000000000006" customHeight="1">
      <c r="A2" s="131"/>
      <c r="B2" s="134"/>
      <c r="C2" s="134"/>
      <c r="D2" s="131"/>
      <c r="E2" s="132"/>
      <c r="F2" s="131"/>
      <c r="G2" s="131"/>
      <c r="H2" s="133"/>
      <c r="I2" s="131"/>
      <c r="J2" s="131"/>
      <c r="K2" s="131"/>
      <c r="L2" s="131"/>
      <c r="M2" s="131"/>
      <c r="N2" s="133"/>
      <c r="O2" s="133"/>
      <c r="P2" s="133"/>
      <c r="Q2" s="133"/>
      <c r="R2" s="133"/>
      <c r="S2" s="134"/>
      <c r="T2" s="133"/>
      <c r="U2" s="133"/>
      <c r="V2" s="133"/>
      <c r="W2" s="133"/>
      <c r="X2" s="133"/>
      <c r="Y2" s="133"/>
      <c r="Z2" s="133"/>
      <c r="AA2" s="133"/>
      <c r="AB2" s="134"/>
      <c r="AC2" s="133"/>
      <c r="AD2" s="133"/>
      <c r="AE2" s="133"/>
      <c r="AF2" s="123"/>
      <c r="AG2" s="133"/>
      <c r="AH2" s="133"/>
      <c r="AI2" s="133"/>
      <c r="AJ2" s="133"/>
      <c r="AK2" s="133"/>
      <c r="AL2" s="131"/>
      <c r="AM2" s="133"/>
      <c r="AN2" s="131"/>
      <c r="AO2" s="131"/>
      <c r="AP2" s="133"/>
      <c r="AR2" s="134"/>
      <c r="AS2" s="134"/>
      <c r="AT2" s="134"/>
      <c r="AU2" s="134"/>
      <c r="AV2" s="134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21"/>
      <c r="BL2" s="121"/>
      <c r="CJ2" s="121"/>
      <c r="CK2" s="121"/>
      <c r="CL2" s="121"/>
      <c r="CM2" s="121"/>
      <c r="CN2" s="121"/>
      <c r="CO2" s="121"/>
      <c r="CP2" s="121"/>
      <c r="CQ2" s="121"/>
      <c r="CR2" s="121"/>
      <c r="CS2" s="121"/>
      <c r="CT2" s="121"/>
      <c r="CU2" s="121"/>
      <c r="CV2" s="121"/>
      <c r="CW2" s="121"/>
      <c r="CX2" s="121"/>
      <c r="CY2" s="121"/>
      <c r="CZ2" s="121"/>
      <c r="DA2" s="121"/>
    </row>
    <row r="3" spans="1:105" s="124" customFormat="1" ht="68.900000000000006" customHeight="1">
      <c r="A3" s="131"/>
      <c r="B3" s="134"/>
      <c r="C3" s="134"/>
      <c r="D3" s="131"/>
      <c r="E3" s="132"/>
      <c r="F3" s="131"/>
      <c r="G3" s="131"/>
      <c r="H3" s="133"/>
      <c r="I3" s="131"/>
      <c r="J3" s="131"/>
      <c r="K3" s="131"/>
      <c r="L3" s="131"/>
      <c r="M3" s="131"/>
      <c r="N3" s="133"/>
      <c r="O3" s="133"/>
      <c r="P3" s="133"/>
      <c r="Q3" s="133"/>
      <c r="R3" s="133"/>
      <c r="S3" s="134"/>
      <c r="T3" s="133"/>
      <c r="U3" s="133"/>
      <c r="V3" s="133"/>
      <c r="W3" s="133"/>
      <c r="X3" s="133"/>
      <c r="Y3" s="133"/>
      <c r="Z3" s="133"/>
      <c r="AA3" s="133"/>
      <c r="AB3" s="134"/>
      <c r="AC3" s="133"/>
      <c r="AD3" s="133"/>
      <c r="AE3" s="133"/>
      <c r="AF3" s="123"/>
      <c r="AG3" s="133"/>
      <c r="AH3" s="133"/>
      <c r="AI3" s="133"/>
      <c r="AJ3" s="133"/>
      <c r="AK3" s="133"/>
      <c r="AL3" s="131"/>
      <c r="AM3" s="133"/>
      <c r="AN3" s="131"/>
      <c r="AO3" s="131"/>
      <c r="AP3" s="133"/>
      <c r="AR3" s="134"/>
      <c r="AS3" s="134"/>
      <c r="AT3" s="134"/>
      <c r="AU3" s="134"/>
      <c r="AV3" s="134"/>
      <c r="BA3" s="121"/>
      <c r="BB3" s="121"/>
      <c r="BC3" s="121"/>
      <c r="BD3" s="121"/>
      <c r="BE3" s="121"/>
      <c r="BF3" s="121"/>
      <c r="BG3" s="121"/>
      <c r="BH3" s="121"/>
      <c r="BI3" s="121"/>
      <c r="BJ3" s="121"/>
      <c r="BK3" s="121"/>
      <c r="BL3" s="121"/>
      <c r="CJ3" s="121"/>
      <c r="CK3" s="121"/>
      <c r="CL3" s="121"/>
      <c r="CM3" s="121"/>
      <c r="CN3" s="121"/>
      <c r="CO3" s="121"/>
      <c r="CP3" s="121"/>
      <c r="CQ3" s="121"/>
      <c r="CR3" s="121"/>
      <c r="CS3" s="121"/>
      <c r="CT3" s="121"/>
      <c r="CU3" s="121"/>
      <c r="CV3" s="121"/>
      <c r="CW3" s="121"/>
      <c r="CX3" s="121"/>
      <c r="CY3" s="121"/>
      <c r="CZ3" s="121"/>
      <c r="DA3" s="121"/>
    </row>
    <row r="4" spans="1:105" s="124" customFormat="1" ht="68.900000000000006" customHeight="1">
      <c r="A4" s="131"/>
      <c r="B4" s="134"/>
      <c r="C4" s="134"/>
      <c r="D4" s="131"/>
      <c r="E4" s="132"/>
      <c r="F4" s="131"/>
      <c r="G4" s="131"/>
      <c r="H4" s="133"/>
      <c r="I4" s="131"/>
      <c r="J4" s="131"/>
      <c r="K4" s="131"/>
      <c r="L4" s="131"/>
      <c r="M4" s="131"/>
      <c r="N4" s="133"/>
      <c r="O4" s="133"/>
      <c r="P4" s="133"/>
      <c r="Q4" s="133"/>
      <c r="R4" s="133"/>
      <c r="S4" s="134"/>
      <c r="T4" s="133"/>
      <c r="U4" s="133"/>
      <c r="V4" s="133"/>
      <c r="W4" s="133"/>
      <c r="X4" s="133"/>
      <c r="Y4" s="133"/>
      <c r="Z4" s="133"/>
      <c r="AA4" s="133"/>
      <c r="AB4" s="134"/>
      <c r="AC4" s="133"/>
      <c r="AD4" s="133"/>
      <c r="AE4" s="133"/>
      <c r="AF4" s="123"/>
      <c r="AG4" s="133"/>
      <c r="AH4" s="133"/>
      <c r="AI4" s="133"/>
      <c r="AJ4" s="133"/>
      <c r="AK4" s="133"/>
      <c r="AL4" s="131"/>
      <c r="AM4" s="133"/>
      <c r="AN4" s="131"/>
      <c r="AO4" s="131"/>
      <c r="AP4" s="133"/>
      <c r="AR4" s="134"/>
      <c r="AS4" s="134"/>
      <c r="AT4" s="134"/>
      <c r="AU4" s="134"/>
      <c r="AV4" s="134"/>
      <c r="BA4" s="121"/>
      <c r="BB4" s="121"/>
      <c r="BC4" s="121"/>
      <c r="BD4" s="121"/>
      <c r="BE4" s="121"/>
      <c r="BF4" s="121"/>
      <c r="BG4" s="121"/>
      <c r="BH4" s="121"/>
      <c r="BI4" s="121"/>
      <c r="BJ4" s="121"/>
      <c r="BK4" s="121"/>
      <c r="BL4" s="121"/>
      <c r="CJ4" s="121"/>
      <c r="CK4" s="121"/>
      <c r="CL4" s="121"/>
      <c r="CM4" s="121"/>
      <c r="CN4" s="121"/>
      <c r="CO4" s="121"/>
      <c r="CP4" s="121"/>
      <c r="CQ4" s="121"/>
      <c r="CR4" s="121"/>
      <c r="CS4" s="121"/>
      <c r="CT4" s="121"/>
      <c r="CU4" s="121"/>
      <c r="CV4" s="121"/>
      <c r="CW4" s="121"/>
      <c r="CX4" s="121"/>
      <c r="CY4" s="121"/>
      <c r="CZ4" s="121"/>
      <c r="DA4" s="121"/>
    </row>
    <row r="5" spans="1:105" s="124" customFormat="1" ht="68.900000000000006" customHeight="1">
      <c r="A5" s="131"/>
      <c r="B5" s="134"/>
      <c r="C5" s="134"/>
      <c r="D5" s="131"/>
      <c r="E5" s="132"/>
      <c r="F5" s="131"/>
      <c r="G5" s="131"/>
      <c r="H5" s="133"/>
      <c r="I5" s="131"/>
      <c r="J5" s="131"/>
      <c r="K5" s="131"/>
      <c r="L5" s="131"/>
      <c r="M5" s="131"/>
      <c r="N5" s="133"/>
      <c r="O5" s="133"/>
      <c r="P5" s="133"/>
      <c r="Q5" s="133"/>
      <c r="R5" s="133"/>
      <c r="S5" s="134"/>
      <c r="T5" s="133"/>
      <c r="U5" s="133"/>
      <c r="V5" s="133"/>
      <c r="W5" s="133"/>
      <c r="X5" s="133"/>
      <c r="Y5" s="133"/>
      <c r="Z5" s="133"/>
      <c r="AA5" s="133"/>
      <c r="AB5" s="134"/>
      <c r="AC5" s="133"/>
      <c r="AD5" s="133"/>
      <c r="AE5" s="133"/>
      <c r="AF5" s="123"/>
      <c r="AG5" s="133"/>
      <c r="AH5" s="133"/>
      <c r="AI5" s="133"/>
      <c r="AJ5" s="133"/>
      <c r="AK5" s="133"/>
      <c r="AL5" s="131"/>
      <c r="AM5" s="133"/>
      <c r="AN5" s="131"/>
      <c r="AO5" s="131"/>
      <c r="AP5" s="133"/>
      <c r="AR5" s="134"/>
      <c r="AS5" s="134"/>
      <c r="AT5" s="134"/>
      <c r="AU5" s="134"/>
      <c r="AV5" s="134"/>
      <c r="BA5" s="121"/>
      <c r="BB5" s="121"/>
      <c r="BC5" s="121"/>
      <c r="BD5" s="121"/>
      <c r="BE5" s="121"/>
      <c r="BF5" s="121"/>
      <c r="BG5" s="121"/>
      <c r="BH5" s="121"/>
      <c r="BI5" s="121"/>
      <c r="BJ5" s="121"/>
      <c r="BK5" s="121"/>
      <c r="BL5" s="121"/>
      <c r="CJ5" s="121"/>
      <c r="CK5" s="121"/>
      <c r="CL5" s="121"/>
      <c r="CM5" s="121"/>
      <c r="CN5" s="121"/>
      <c r="CO5" s="121"/>
      <c r="CP5" s="121"/>
      <c r="CQ5" s="121"/>
      <c r="CR5" s="121"/>
      <c r="CS5" s="121"/>
      <c r="CT5" s="121"/>
      <c r="CU5" s="121"/>
      <c r="CV5" s="121"/>
      <c r="CW5" s="121"/>
      <c r="CX5" s="121"/>
      <c r="CY5" s="121"/>
      <c r="CZ5" s="121"/>
      <c r="DA5" s="121"/>
    </row>
    <row r="6" spans="1:105" s="124" customFormat="1" ht="68.900000000000006" customHeight="1">
      <c r="A6" s="131"/>
      <c r="B6" s="134"/>
      <c r="C6" s="134"/>
      <c r="D6" s="131"/>
      <c r="E6" s="132"/>
      <c r="F6" s="131"/>
      <c r="G6" s="131"/>
      <c r="H6" s="133"/>
      <c r="I6" s="131"/>
      <c r="J6" s="131"/>
      <c r="K6" s="131"/>
      <c r="L6" s="131"/>
      <c r="M6" s="131"/>
      <c r="N6" s="133"/>
      <c r="O6" s="133"/>
      <c r="P6" s="133"/>
      <c r="Q6" s="133"/>
      <c r="R6" s="133"/>
      <c r="S6" s="134"/>
      <c r="T6" s="133"/>
      <c r="U6" s="133"/>
      <c r="V6" s="133"/>
      <c r="W6" s="133"/>
      <c r="X6" s="133"/>
      <c r="Y6" s="133"/>
      <c r="Z6" s="133"/>
      <c r="AA6" s="133"/>
      <c r="AB6" s="134"/>
      <c r="AC6" s="133"/>
      <c r="AD6" s="133"/>
      <c r="AE6" s="133"/>
      <c r="AF6" s="123"/>
      <c r="AG6" s="133"/>
      <c r="AH6" s="133"/>
      <c r="AI6" s="133"/>
      <c r="AJ6" s="133"/>
      <c r="AK6" s="133"/>
      <c r="AL6" s="131"/>
      <c r="AM6" s="133"/>
      <c r="AN6" s="131"/>
      <c r="AO6" s="131"/>
      <c r="AP6" s="133"/>
      <c r="AR6" s="134"/>
      <c r="AS6" s="134"/>
      <c r="AT6" s="134"/>
      <c r="AU6" s="134"/>
      <c r="AV6" s="134"/>
      <c r="BA6" s="121"/>
      <c r="BB6" s="121"/>
      <c r="BC6" s="121"/>
      <c r="BD6" s="121"/>
      <c r="BE6" s="121"/>
      <c r="BF6" s="121"/>
      <c r="BG6" s="121"/>
      <c r="BH6" s="121"/>
      <c r="BI6" s="121"/>
      <c r="BJ6" s="121"/>
      <c r="BK6" s="121"/>
      <c r="BL6" s="121"/>
      <c r="CJ6" s="121"/>
      <c r="CK6" s="121"/>
      <c r="CL6" s="121"/>
      <c r="CM6" s="121"/>
      <c r="CN6" s="121"/>
      <c r="CO6" s="121"/>
      <c r="CP6" s="121"/>
      <c r="CQ6" s="121"/>
      <c r="CR6" s="121"/>
      <c r="CS6" s="121"/>
      <c r="CT6" s="121"/>
      <c r="CU6" s="121"/>
      <c r="CV6" s="121"/>
      <c r="CW6" s="121"/>
      <c r="CX6" s="121"/>
      <c r="CY6" s="121"/>
      <c r="CZ6" s="121"/>
      <c r="DA6" s="121"/>
    </row>
    <row r="7" spans="1:105" s="124" customFormat="1" ht="68.900000000000006" customHeight="1">
      <c r="A7" s="131"/>
      <c r="B7" s="134"/>
      <c r="C7" s="134"/>
      <c r="D7" s="131"/>
      <c r="E7" s="132"/>
      <c r="F7" s="131"/>
      <c r="G7" s="131"/>
      <c r="H7" s="133"/>
      <c r="I7" s="131"/>
      <c r="J7" s="131"/>
      <c r="K7" s="131"/>
      <c r="L7" s="131"/>
      <c r="M7" s="131"/>
      <c r="N7" s="133"/>
      <c r="O7" s="133"/>
      <c r="P7" s="133"/>
      <c r="Q7" s="133"/>
      <c r="R7" s="133"/>
      <c r="S7" s="134"/>
      <c r="T7" s="133"/>
      <c r="U7" s="133"/>
      <c r="V7" s="133"/>
      <c r="W7" s="133"/>
      <c r="X7" s="133"/>
      <c r="Y7" s="133"/>
      <c r="Z7" s="133"/>
      <c r="AA7" s="133"/>
      <c r="AB7" s="134"/>
      <c r="AC7" s="133"/>
      <c r="AD7" s="133"/>
      <c r="AE7" s="133"/>
      <c r="AF7" s="123"/>
      <c r="AG7" s="133"/>
      <c r="AH7" s="133"/>
      <c r="AI7" s="133"/>
      <c r="AJ7" s="133"/>
      <c r="AK7" s="133"/>
      <c r="AL7" s="131"/>
      <c r="AM7" s="133"/>
      <c r="AN7" s="131"/>
      <c r="AO7" s="131"/>
      <c r="AP7" s="133"/>
      <c r="AR7" s="134"/>
      <c r="AS7" s="134"/>
      <c r="AT7" s="134"/>
      <c r="AU7" s="134"/>
      <c r="AV7" s="134"/>
      <c r="BA7" s="121"/>
      <c r="BB7" s="121"/>
      <c r="BC7" s="121"/>
      <c r="BD7" s="121"/>
      <c r="BE7" s="121"/>
      <c r="BF7" s="121"/>
      <c r="BG7" s="121"/>
      <c r="BH7" s="121"/>
      <c r="BI7" s="121"/>
      <c r="BJ7" s="121"/>
      <c r="BK7" s="121"/>
      <c r="BL7" s="121"/>
      <c r="CJ7" s="121"/>
      <c r="CK7" s="121"/>
      <c r="CL7" s="121"/>
      <c r="CM7" s="121"/>
      <c r="CN7" s="121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</row>
    <row r="8" spans="1:105" s="124" customFormat="1" ht="68.900000000000006" customHeight="1">
      <c r="A8" s="131"/>
      <c r="B8" s="134"/>
      <c r="C8" s="134"/>
      <c r="D8" s="131"/>
      <c r="E8" s="132"/>
      <c r="F8" s="131"/>
      <c r="G8" s="131"/>
      <c r="H8" s="133"/>
      <c r="I8" s="131"/>
      <c r="J8" s="131"/>
      <c r="K8" s="131"/>
      <c r="L8" s="131"/>
      <c r="M8" s="131"/>
      <c r="N8" s="133"/>
      <c r="O8" s="133"/>
      <c r="P8" s="133"/>
      <c r="Q8" s="133"/>
      <c r="R8" s="133"/>
      <c r="S8" s="134"/>
      <c r="T8" s="133"/>
      <c r="U8" s="133"/>
      <c r="V8" s="133"/>
      <c r="W8" s="133"/>
      <c r="X8" s="133"/>
      <c r="Y8" s="133"/>
      <c r="Z8" s="133"/>
      <c r="AA8" s="133"/>
      <c r="AB8" s="134"/>
      <c r="AC8" s="133"/>
      <c r="AD8" s="133"/>
      <c r="AE8" s="133"/>
      <c r="AF8" s="123"/>
      <c r="AG8" s="133"/>
      <c r="AH8" s="133"/>
      <c r="AI8" s="133"/>
      <c r="AJ8" s="133"/>
      <c r="AK8" s="133"/>
      <c r="AL8" s="131"/>
      <c r="AM8" s="133"/>
      <c r="AN8" s="131"/>
      <c r="AO8" s="131"/>
      <c r="AP8" s="133"/>
      <c r="AR8" s="134"/>
      <c r="AS8" s="134"/>
      <c r="AT8" s="134"/>
      <c r="AU8" s="134"/>
      <c r="AV8" s="134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</row>
    <row r="9" spans="1:105" s="124" customFormat="1" ht="68.900000000000006" customHeight="1">
      <c r="A9" s="131"/>
      <c r="B9" s="134"/>
      <c r="C9" s="134"/>
      <c r="D9" s="131"/>
      <c r="E9" s="132"/>
      <c r="F9" s="131"/>
      <c r="G9" s="131"/>
      <c r="H9" s="133"/>
      <c r="I9" s="131"/>
      <c r="J9" s="131"/>
      <c r="K9" s="131"/>
      <c r="L9" s="131"/>
      <c r="M9" s="131"/>
      <c r="N9" s="133"/>
      <c r="O9" s="133"/>
      <c r="P9" s="133"/>
      <c r="Q9" s="133"/>
      <c r="R9" s="133"/>
      <c r="S9" s="134"/>
      <c r="T9" s="133"/>
      <c r="U9" s="133"/>
      <c r="V9" s="133"/>
      <c r="W9" s="133"/>
      <c r="X9" s="133"/>
      <c r="Y9" s="133"/>
      <c r="Z9" s="133"/>
      <c r="AA9" s="133"/>
      <c r="AB9" s="134"/>
      <c r="AC9" s="133"/>
      <c r="AD9" s="133"/>
      <c r="AE9" s="133"/>
      <c r="AF9" s="123"/>
      <c r="AG9" s="133"/>
      <c r="AH9" s="133"/>
      <c r="AI9" s="133"/>
      <c r="AJ9" s="133"/>
      <c r="AK9" s="133"/>
      <c r="AL9" s="131"/>
      <c r="AM9" s="133"/>
      <c r="AN9" s="131"/>
      <c r="AO9" s="131"/>
      <c r="AP9" s="133"/>
      <c r="AR9" s="134"/>
      <c r="AS9" s="134"/>
      <c r="AT9" s="134"/>
      <c r="AU9" s="134"/>
      <c r="AV9" s="134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1"/>
      <c r="CY9" s="121"/>
      <c r="CZ9" s="121"/>
      <c r="DA9" s="121"/>
    </row>
    <row r="10" spans="1:105" s="124" customFormat="1" ht="68.900000000000006" customHeight="1">
      <c r="A10" s="131"/>
      <c r="B10" s="134"/>
      <c r="C10" s="134"/>
      <c r="D10" s="131"/>
      <c r="E10" s="132"/>
      <c r="F10" s="131"/>
      <c r="G10" s="131"/>
      <c r="H10" s="133"/>
      <c r="I10" s="131"/>
      <c r="J10" s="131"/>
      <c r="K10" s="131"/>
      <c r="L10" s="131"/>
      <c r="M10" s="131"/>
      <c r="N10" s="133"/>
      <c r="O10" s="133"/>
      <c r="P10" s="133"/>
      <c r="Q10" s="133"/>
      <c r="R10" s="133"/>
      <c r="S10" s="134"/>
      <c r="T10" s="133"/>
      <c r="U10" s="133"/>
      <c r="V10" s="133"/>
      <c r="W10" s="133"/>
      <c r="X10" s="133"/>
      <c r="Y10" s="133"/>
      <c r="Z10" s="133"/>
      <c r="AA10" s="133"/>
      <c r="AB10" s="134"/>
      <c r="AC10" s="133"/>
      <c r="AD10" s="133"/>
      <c r="AE10" s="133"/>
      <c r="AF10" s="123"/>
      <c r="AG10" s="133"/>
      <c r="AH10" s="133"/>
      <c r="AI10" s="133"/>
      <c r="AJ10" s="133"/>
      <c r="AK10" s="133"/>
      <c r="AL10" s="131"/>
      <c r="AM10" s="133"/>
      <c r="AN10" s="131"/>
      <c r="AO10" s="131"/>
      <c r="AP10" s="133"/>
      <c r="AR10" s="134"/>
      <c r="AS10" s="134"/>
      <c r="AT10" s="134"/>
      <c r="AU10" s="134"/>
      <c r="AV10" s="134"/>
      <c r="BA10" s="121"/>
      <c r="BB10" s="121"/>
      <c r="BC10" s="121"/>
      <c r="BD10" s="121"/>
      <c r="BE10" s="121"/>
      <c r="BF10" s="121"/>
      <c r="BG10" s="121"/>
      <c r="BH10" s="121"/>
      <c r="BI10" s="121"/>
      <c r="BJ10" s="121"/>
      <c r="BK10" s="121"/>
      <c r="BL10" s="121"/>
      <c r="CJ10" s="121"/>
      <c r="CK10" s="121"/>
      <c r="CL10" s="121"/>
      <c r="CM10" s="121"/>
      <c r="CN10" s="121"/>
      <c r="CO10" s="121"/>
      <c r="CP10" s="121"/>
      <c r="CQ10" s="121"/>
      <c r="CR10" s="121"/>
      <c r="CS10" s="121"/>
      <c r="CT10" s="121"/>
      <c r="CU10" s="121"/>
      <c r="CV10" s="121"/>
      <c r="CW10" s="121"/>
      <c r="CX10" s="121"/>
      <c r="CY10" s="121"/>
      <c r="CZ10" s="121"/>
      <c r="DA10" s="121"/>
    </row>
    <row r="11" spans="1:105" s="124" customFormat="1" ht="68.900000000000006" customHeight="1">
      <c r="A11" s="131"/>
      <c r="B11" s="134"/>
      <c r="C11" s="134"/>
      <c r="D11" s="131"/>
      <c r="E11" s="132"/>
      <c r="F11" s="131"/>
      <c r="G11" s="131"/>
      <c r="H11" s="133"/>
      <c r="I11" s="131"/>
      <c r="J11" s="131"/>
      <c r="K11" s="131"/>
      <c r="L11" s="131"/>
      <c r="M11" s="131"/>
      <c r="N11" s="133"/>
      <c r="O11" s="133"/>
      <c r="P11" s="133"/>
      <c r="Q11" s="133"/>
      <c r="R11" s="133"/>
      <c r="S11" s="134"/>
      <c r="T11" s="133"/>
      <c r="U11" s="133"/>
      <c r="V11" s="133"/>
      <c r="W11" s="133"/>
      <c r="X11" s="133"/>
      <c r="Y11" s="133"/>
      <c r="Z11" s="133"/>
      <c r="AA11" s="133"/>
      <c r="AB11" s="134"/>
      <c r="AC11" s="133"/>
      <c r="AD11" s="133"/>
      <c r="AE11" s="133"/>
      <c r="AF11" s="123"/>
      <c r="AG11" s="133"/>
      <c r="AH11" s="133"/>
      <c r="AI11" s="133"/>
      <c r="AJ11" s="133"/>
      <c r="AK11" s="133"/>
      <c r="AL11" s="131"/>
      <c r="AM11" s="133"/>
      <c r="AN11" s="131"/>
      <c r="AO11" s="131"/>
      <c r="AP11" s="133"/>
      <c r="AR11" s="134"/>
      <c r="AS11" s="134"/>
      <c r="AT11" s="134"/>
      <c r="AU11" s="134"/>
      <c r="AV11" s="134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1"/>
      <c r="CY11" s="121"/>
      <c r="CZ11" s="121"/>
      <c r="DA11" s="121"/>
    </row>
    <row r="12" spans="1:105" s="124" customFormat="1" ht="68.900000000000006" customHeight="1">
      <c r="A12" s="131"/>
      <c r="B12" s="134"/>
      <c r="C12" s="134"/>
      <c r="D12" s="131"/>
      <c r="E12" s="132"/>
      <c r="F12" s="131"/>
      <c r="G12" s="131"/>
      <c r="H12" s="133"/>
      <c r="I12" s="131"/>
      <c r="J12" s="131"/>
      <c r="K12" s="131"/>
      <c r="L12" s="131"/>
      <c r="M12" s="131"/>
      <c r="N12" s="133"/>
      <c r="O12" s="133"/>
      <c r="P12" s="133"/>
      <c r="Q12" s="133"/>
      <c r="R12" s="133"/>
      <c r="S12" s="134"/>
      <c r="T12" s="133"/>
      <c r="U12" s="133"/>
      <c r="V12" s="133"/>
      <c r="W12" s="133"/>
      <c r="X12" s="133"/>
      <c r="Y12" s="133"/>
      <c r="Z12" s="133"/>
      <c r="AA12" s="133"/>
      <c r="AB12" s="134"/>
      <c r="AC12" s="133"/>
      <c r="AD12" s="133"/>
      <c r="AE12" s="133"/>
      <c r="AF12" s="123"/>
      <c r="AG12" s="133"/>
      <c r="AH12" s="133"/>
      <c r="AI12" s="133"/>
      <c r="AJ12" s="133"/>
      <c r="AK12" s="133"/>
      <c r="AL12" s="131"/>
      <c r="AM12" s="133"/>
      <c r="AN12" s="131"/>
      <c r="AO12" s="131"/>
      <c r="AP12" s="133"/>
      <c r="AR12" s="134"/>
      <c r="AS12" s="134"/>
      <c r="AT12" s="134"/>
      <c r="AU12" s="134"/>
      <c r="AV12" s="134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</row>
    <row r="13" spans="1:105" s="124" customFormat="1" ht="68.900000000000006" customHeight="1">
      <c r="A13" s="131"/>
      <c r="B13" s="134"/>
      <c r="C13" s="134"/>
      <c r="D13" s="131"/>
      <c r="E13" s="132"/>
      <c r="F13" s="131"/>
      <c r="G13" s="131"/>
      <c r="H13" s="133"/>
      <c r="I13" s="131"/>
      <c r="J13" s="131"/>
      <c r="K13" s="131"/>
      <c r="L13" s="131"/>
      <c r="M13" s="131"/>
      <c r="N13" s="133"/>
      <c r="O13" s="133"/>
      <c r="P13" s="133"/>
      <c r="Q13" s="133"/>
      <c r="R13" s="133"/>
      <c r="S13" s="134"/>
      <c r="T13" s="133"/>
      <c r="U13" s="133"/>
      <c r="V13" s="133"/>
      <c r="W13" s="133"/>
      <c r="X13" s="133"/>
      <c r="Y13" s="133"/>
      <c r="Z13" s="133"/>
      <c r="AA13" s="133"/>
      <c r="AB13" s="134"/>
      <c r="AC13" s="133"/>
      <c r="AD13" s="133"/>
      <c r="AE13" s="133"/>
      <c r="AF13" s="123"/>
      <c r="AG13" s="133"/>
      <c r="AH13" s="133"/>
      <c r="AI13" s="133"/>
      <c r="AJ13" s="133"/>
      <c r="AK13" s="133"/>
      <c r="AL13" s="131"/>
      <c r="AM13" s="133"/>
      <c r="AN13" s="131"/>
      <c r="AO13" s="131"/>
      <c r="AP13" s="133"/>
      <c r="AR13" s="134"/>
      <c r="AS13" s="134"/>
      <c r="AT13" s="134"/>
      <c r="AU13" s="134"/>
      <c r="AV13" s="134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</row>
    <row r="14" spans="1:105" s="124" customFormat="1" ht="68.900000000000006" customHeight="1">
      <c r="A14" s="131"/>
      <c r="B14" s="134"/>
      <c r="C14" s="134"/>
      <c r="D14" s="131"/>
      <c r="E14" s="132"/>
      <c r="F14" s="131"/>
      <c r="G14" s="131"/>
      <c r="H14" s="133"/>
      <c r="I14" s="131"/>
      <c r="J14" s="131"/>
      <c r="K14" s="131"/>
      <c r="L14" s="131"/>
      <c r="M14" s="131"/>
      <c r="N14" s="133"/>
      <c r="O14" s="133"/>
      <c r="P14" s="133"/>
      <c r="Q14" s="133"/>
      <c r="R14" s="133"/>
      <c r="S14" s="134"/>
      <c r="T14" s="133"/>
      <c r="U14" s="133"/>
      <c r="V14" s="133"/>
      <c r="W14" s="133"/>
      <c r="X14" s="133"/>
      <c r="Y14" s="133"/>
      <c r="Z14" s="133"/>
      <c r="AA14" s="133"/>
      <c r="AB14" s="134"/>
      <c r="AC14" s="133"/>
      <c r="AD14" s="133"/>
      <c r="AE14" s="133"/>
      <c r="AF14" s="123"/>
      <c r="AG14" s="133"/>
      <c r="AH14" s="133"/>
      <c r="AI14" s="133"/>
      <c r="AJ14" s="133"/>
      <c r="AK14" s="133"/>
      <c r="AL14" s="131"/>
      <c r="AM14" s="133"/>
      <c r="AN14" s="131"/>
      <c r="AO14" s="131"/>
      <c r="AP14" s="133"/>
      <c r="AR14" s="134"/>
      <c r="AS14" s="134"/>
      <c r="AT14" s="134"/>
      <c r="AU14" s="134"/>
      <c r="AV14" s="134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CJ14" s="523" t="s">
        <v>0</v>
      </c>
      <c r="CK14" s="524"/>
      <c r="CL14" s="524"/>
      <c r="CM14" s="524"/>
      <c r="CN14" s="524"/>
      <c r="CO14" s="524"/>
      <c r="CP14" s="524"/>
      <c r="CQ14" s="524"/>
      <c r="CR14" s="524"/>
      <c r="CS14" s="524"/>
      <c r="CT14" s="524"/>
      <c r="CU14" s="524"/>
      <c r="CV14" s="524"/>
      <c r="CW14" s="524"/>
      <c r="CX14" s="524"/>
      <c r="CY14" s="524"/>
      <c r="CZ14" s="524"/>
      <c r="DA14" s="524"/>
    </row>
    <row r="15" spans="1:105" ht="68.900000000000006" customHeight="1">
      <c r="A15" s="127"/>
      <c r="B15" s="130"/>
      <c r="C15" s="130"/>
      <c r="D15" s="127"/>
      <c r="E15" s="128"/>
      <c r="F15" s="127"/>
      <c r="G15" s="127"/>
      <c r="H15" s="129"/>
      <c r="I15" s="127"/>
      <c r="J15" s="127"/>
      <c r="K15" s="127"/>
      <c r="L15" s="127"/>
      <c r="M15" s="127"/>
      <c r="N15" s="129"/>
      <c r="O15" s="129"/>
      <c r="P15" s="129"/>
      <c r="Q15" s="129"/>
      <c r="R15" s="129"/>
      <c r="S15" s="130"/>
      <c r="T15" s="129"/>
      <c r="U15" s="129"/>
      <c r="V15" s="129"/>
      <c r="W15" s="129"/>
      <c r="X15" s="129"/>
      <c r="Y15" s="129"/>
      <c r="Z15" s="129"/>
      <c r="AA15" s="129"/>
      <c r="AB15" s="130"/>
      <c r="AC15" s="129"/>
      <c r="AD15" s="129"/>
      <c r="AE15" s="129"/>
      <c r="AF15" s="120"/>
      <c r="AG15" s="129"/>
      <c r="AH15" s="129"/>
      <c r="AI15" s="129"/>
      <c r="AJ15" s="129"/>
      <c r="AK15" s="129"/>
      <c r="AL15" s="127"/>
      <c r="AM15" s="129"/>
      <c r="AN15" s="127"/>
      <c r="AO15" s="127"/>
      <c r="AP15" s="129"/>
      <c r="AR15" s="130"/>
      <c r="AS15" s="130"/>
      <c r="AT15" s="130"/>
      <c r="AU15" s="130"/>
      <c r="AV15" s="130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CJ15" s="206" t="s">
        <v>1</v>
      </c>
      <c r="CK15" s="206"/>
      <c r="CL15" s="206" t="s">
        <v>2</v>
      </c>
      <c r="CM15" s="206"/>
      <c r="CN15" s="206" t="s">
        <v>3</v>
      </c>
      <c r="CO15" s="206"/>
      <c r="CP15" s="206" t="s">
        <v>4</v>
      </c>
      <c r="CQ15" s="206"/>
      <c r="CR15" s="206" t="s">
        <v>5</v>
      </c>
      <c r="CS15" s="206"/>
      <c r="CT15" s="206" t="s">
        <v>6</v>
      </c>
      <c r="CU15" s="206"/>
      <c r="CV15" s="206" t="s">
        <v>7</v>
      </c>
      <c r="CW15" s="206"/>
      <c r="CX15" s="206" t="s">
        <v>8</v>
      </c>
      <c r="CY15" s="206"/>
      <c r="CZ15" s="206" t="s">
        <v>9</v>
      </c>
      <c r="DA15" s="206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293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678</v>
      </c>
      <c r="U16" s="12" t="s">
        <v>41</v>
      </c>
      <c r="V16" s="12" t="s">
        <v>23</v>
      </c>
      <c r="W16" s="12" t="s">
        <v>24</v>
      </c>
      <c r="X16" s="12" t="s">
        <v>679</v>
      </c>
      <c r="Y16" s="12" t="s">
        <v>26</v>
      </c>
      <c r="Z16" s="12" t="s">
        <v>27</v>
      </c>
      <c r="AA16" s="12" t="s">
        <v>628</v>
      </c>
      <c r="AB16" s="13" t="s">
        <v>28</v>
      </c>
      <c r="AC16" s="12" t="s">
        <v>680</v>
      </c>
      <c r="AD16" s="12" t="s">
        <v>29</v>
      </c>
      <c r="AE16" s="12" t="s">
        <v>681</v>
      </c>
      <c r="AF16" s="2" t="s">
        <v>30</v>
      </c>
      <c r="AG16" s="12" t="s">
        <v>682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292</v>
      </c>
      <c r="AM16" s="12" t="s">
        <v>36</v>
      </c>
      <c r="AN16" s="10" t="s">
        <v>683</v>
      </c>
      <c r="AO16" s="10" t="s">
        <v>299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300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70" t="s">
        <v>38</v>
      </c>
      <c r="BS16" s="1" t="s">
        <v>39</v>
      </c>
      <c r="BT16" s="1" t="s">
        <v>53</v>
      </c>
      <c r="CJ16" s="207" t="s">
        <v>54</v>
      </c>
      <c r="CK16" s="207" t="s">
        <v>55</v>
      </c>
      <c r="CL16" s="207" t="s">
        <v>54</v>
      </c>
      <c r="CM16" s="207" t="s">
        <v>55</v>
      </c>
      <c r="CN16" s="207" t="s">
        <v>54</v>
      </c>
      <c r="CO16" s="207" t="s">
        <v>55</v>
      </c>
      <c r="CP16" s="207" t="s">
        <v>54</v>
      </c>
      <c r="CQ16" s="207" t="s">
        <v>55</v>
      </c>
      <c r="CR16" s="207" t="s">
        <v>54</v>
      </c>
      <c r="CS16" s="207" t="s">
        <v>55</v>
      </c>
      <c r="CT16" s="207" t="s">
        <v>54</v>
      </c>
      <c r="CU16" s="207" t="s">
        <v>55</v>
      </c>
      <c r="CV16" s="207" t="s">
        <v>54</v>
      </c>
      <c r="CW16" s="207" t="s">
        <v>55</v>
      </c>
      <c r="CX16" s="207" t="s">
        <v>54</v>
      </c>
      <c r="CY16" s="207" t="s">
        <v>55</v>
      </c>
      <c r="CZ16" s="207" t="s">
        <v>54</v>
      </c>
      <c r="DA16" s="207" t="s">
        <v>55</v>
      </c>
    </row>
    <row r="17" spans="1:105" ht="183.65" customHeight="1">
      <c r="A17" s="51">
        <v>1</v>
      </c>
      <c r="B17" s="51" t="s">
        <v>684</v>
      </c>
      <c r="C17" s="51" t="s">
        <v>684</v>
      </c>
      <c r="D17" s="6" t="s">
        <v>685</v>
      </c>
      <c r="E17" s="48">
        <v>7503057496145</v>
      </c>
      <c r="F17" s="48" t="s">
        <v>686</v>
      </c>
      <c r="G17" s="49" t="s">
        <v>687</v>
      </c>
      <c r="H17" s="70" t="s">
        <v>60</v>
      </c>
      <c r="I17" s="51" t="s">
        <v>688</v>
      </c>
      <c r="J17" s="51" t="s">
        <v>689</v>
      </c>
      <c r="K17" s="51" t="s">
        <v>57</v>
      </c>
      <c r="L17" s="84">
        <v>2</v>
      </c>
      <c r="M17" s="85" t="s">
        <v>690</v>
      </c>
      <c r="N17" s="86"/>
      <c r="O17" s="53" t="s">
        <v>691</v>
      </c>
      <c r="P17" s="51"/>
      <c r="Q17" s="49" t="s">
        <v>692</v>
      </c>
      <c r="R17" s="51" t="s">
        <v>692</v>
      </c>
      <c r="S17" s="51" t="s">
        <v>692</v>
      </c>
      <c r="T17" s="79" t="s">
        <v>693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694</v>
      </c>
      <c r="AD17" s="57">
        <v>70</v>
      </c>
      <c r="AE17" s="58" t="s">
        <v>695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542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71"/>
      <c r="BS17" s="166"/>
      <c r="BT17" s="161"/>
      <c r="CJ17" s="208">
        <v>45809</v>
      </c>
      <c r="CK17" s="208">
        <v>45809</v>
      </c>
      <c r="CL17" s="161"/>
      <c r="CM17" s="161"/>
      <c r="CN17" s="161"/>
      <c r="CO17" s="161"/>
      <c r="CP17" s="155"/>
      <c r="CQ17" s="155"/>
      <c r="CR17" s="154"/>
      <c r="CS17" s="154"/>
      <c r="CT17" s="154"/>
      <c r="CU17" s="154"/>
      <c r="CV17" s="154"/>
      <c r="CW17" s="154"/>
      <c r="CX17" s="154"/>
      <c r="CY17" s="154"/>
      <c r="CZ17" s="154"/>
      <c r="DA17" s="154"/>
    </row>
    <row r="18" spans="1:105" ht="183.65" customHeight="1">
      <c r="A18" s="51">
        <v>2</v>
      </c>
      <c r="B18" s="51" t="s">
        <v>684</v>
      </c>
      <c r="C18" s="51" t="s">
        <v>684</v>
      </c>
      <c r="D18" s="6" t="s">
        <v>685</v>
      </c>
      <c r="E18" s="48">
        <v>7503057496152</v>
      </c>
      <c r="F18" s="48" t="s">
        <v>696</v>
      </c>
      <c r="G18" s="49" t="s">
        <v>697</v>
      </c>
      <c r="H18" s="70" t="s">
        <v>60</v>
      </c>
      <c r="I18" s="51" t="s">
        <v>688</v>
      </c>
      <c r="J18" s="51" t="s">
        <v>689</v>
      </c>
      <c r="K18" s="51" t="s">
        <v>57</v>
      </c>
      <c r="L18" s="84">
        <v>2</v>
      </c>
      <c r="M18" s="85" t="s">
        <v>690</v>
      </c>
      <c r="N18" s="86"/>
      <c r="O18" s="53" t="s">
        <v>698</v>
      </c>
      <c r="P18" s="51"/>
      <c r="Q18" s="49" t="s">
        <v>692</v>
      </c>
      <c r="R18" s="51" t="s">
        <v>692</v>
      </c>
      <c r="S18" s="51" t="s">
        <v>692</v>
      </c>
      <c r="T18" s="79" t="s">
        <v>699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694</v>
      </c>
      <c r="AD18" s="57">
        <v>70</v>
      </c>
      <c r="AE18" s="58" t="s">
        <v>700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542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1"/>
      <c r="CK18" s="161"/>
      <c r="CL18" s="161"/>
      <c r="CM18" s="161"/>
      <c r="CN18" s="161"/>
      <c r="CO18" s="161"/>
      <c r="CP18" s="155"/>
      <c r="CQ18" s="155"/>
      <c r="CR18" s="154"/>
      <c r="CS18" s="154"/>
      <c r="CT18" s="154"/>
      <c r="CU18" s="154"/>
      <c r="CV18" s="154"/>
      <c r="CW18" s="154"/>
      <c r="CX18" s="154"/>
      <c r="CY18" s="154"/>
      <c r="CZ18" s="154"/>
      <c r="DA18" s="154"/>
    </row>
    <row r="19" spans="1:105" ht="183.65" customHeight="1">
      <c r="A19" s="51">
        <v>3</v>
      </c>
      <c r="B19" s="51" t="s">
        <v>684</v>
      </c>
      <c r="C19" s="51" t="s">
        <v>684</v>
      </c>
      <c r="D19" s="6" t="s">
        <v>685</v>
      </c>
      <c r="E19" s="48">
        <v>7503057496169</v>
      </c>
      <c r="F19" s="48" t="s">
        <v>701</v>
      </c>
      <c r="G19" s="49" t="s">
        <v>702</v>
      </c>
      <c r="H19" s="70" t="s">
        <v>60</v>
      </c>
      <c r="I19" s="51" t="s">
        <v>646</v>
      </c>
      <c r="J19" s="51" t="s">
        <v>689</v>
      </c>
      <c r="K19" s="51" t="s">
        <v>57</v>
      </c>
      <c r="L19" s="84">
        <v>2</v>
      </c>
      <c r="M19" s="85" t="s">
        <v>703</v>
      </c>
      <c r="N19" s="86"/>
      <c r="O19" s="88" t="s">
        <v>704</v>
      </c>
      <c r="P19" s="51"/>
      <c r="Q19" s="49" t="s">
        <v>692</v>
      </c>
      <c r="R19" s="51" t="s">
        <v>692</v>
      </c>
      <c r="S19" s="51" t="s">
        <v>692</v>
      </c>
      <c r="T19" s="89" t="s">
        <v>705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706</v>
      </c>
      <c r="AD19" s="57">
        <v>89</v>
      </c>
      <c r="AE19" s="58" t="s">
        <v>707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542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1"/>
      <c r="CK19" s="161"/>
      <c r="CL19" s="161"/>
      <c r="CM19" s="161"/>
      <c r="CN19" s="161"/>
      <c r="CO19" s="161"/>
      <c r="CP19" s="155"/>
      <c r="CQ19" s="155"/>
      <c r="CR19" s="154"/>
      <c r="CS19" s="154"/>
      <c r="CT19" s="154"/>
      <c r="CU19" s="154"/>
      <c r="CV19" s="154"/>
      <c r="CW19" s="154"/>
      <c r="CX19" s="154"/>
      <c r="CY19" s="154"/>
      <c r="CZ19" s="154"/>
      <c r="DA19" s="154"/>
    </row>
    <row r="20" spans="1:105" ht="183.65" customHeight="1">
      <c r="A20" s="51">
        <v>4</v>
      </c>
      <c r="B20" s="51" t="s">
        <v>684</v>
      </c>
      <c r="C20" s="51" t="s">
        <v>684</v>
      </c>
      <c r="D20" s="6" t="s">
        <v>685</v>
      </c>
      <c r="E20" s="48">
        <v>7503057496176</v>
      </c>
      <c r="F20" s="48" t="s">
        <v>708</v>
      </c>
      <c r="G20" s="49" t="s">
        <v>709</v>
      </c>
      <c r="H20" s="70" t="s">
        <v>60</v>
      </c>
      <c r="I20" s="51" t="s">
        <v>710</v>
      </c>
      <c r="J20" s="51" t="s">
        <v>689</v>
      </c>
      <c r="K20" s="51" t="s">
        <v>57</v>
      </c>
      <c r="L20" s="84">
        <v>2</v>
      </c>
      <c r="M20" s="85" t="s">
        <v>711</v>
      </c>
      <c r="N20" s="90"/>
      <c r="O20" s="56" t="s">
        <v>712</v>
      </c>
      <c r="P20" s="51"/>
      <c r="Q20" s="49" t="s">
        <v>692</v>
      </c>
      <c r="R20" s="51" t="s">
        <v>692</v>
      </c>
      <c r="S20" s="51" t="s">
        <v>692</v>
      </c>
      <c r="T20" s="79" t="s">
        <v>713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694</v>
      </c>
      <c r="AD20" s="57">
        <v>59</v>
      </c>
      <c r="AE20" s="58" t="s">
        <v>714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542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1"/>
      <c r="CK20" s="161"/>
      <c r="CL20" s="161"/>
      <c r="CM20" s="161"/>
      <c r="CN20" s="161"/>
      <c r="CO20" s="161"/>
      <c r="CP20" s="155"/>
      <c r="CQ20" s="155"/>
      <c r="CR20" s="154"/>
      <c r="CS20" s="154"/>
      <c r="CT20" s="154"/>
      <c r="CU20" s="154"/>
      <c r="CV20" s="154"/>
      <c r="CW20" s="154"/>
      <c r="CX20" s="154"/>
      <c r="CY20" s="154"/>
      <c r="CZ20" s="154"/>
      <c r="DA20" s="154"/>
    </row>
    <row r="21" spans="1:105" ht="183.65" customHeight="1">
      <c r="A21" s="51">
        <v>5</v>
      </c>
      <c r="B21" s="51" t="s">
        <v>684</v>
      </c>
      <c r="C21" s="51" t="s">
        <v>684</v>
      </c>
      <c r="D21" s="6" t="s">
        <v>685</v>
      </c>
      <c r="E21" s="47">
        <v>7503057496190</v>
      </c>
      <c r="F21" s="48" t="s">
        <v>715</v>
      </c>
      <c r="G21" s="49" t="s">
        <v>716</v>
      </c>
      <c r="H21" s="70" t="s">
        <v>60</v>
      </c>
      <c r="I21" s="51" t="s">
        <v>717</v>
      </c>
      <c r="J21" s="51" t="s">
        <v>689</v>
      </c>
      <c r="K21" s="51" t="s">
        <v>57</v>
      </c>
      <c r="L21" s="84">
        <v>2</v>
      </c>
      <c r="M21" s="85" t="s">
        <v>718</v>
      </c>
      <c r="N21" s="51"/>
      <c r="O21" s="53" t="s">
        <v>719</v>
      </c>
      <c r="P21" s="51"/>
      <c r="Q21" s="49" t="s">
        <v>692</v>
      </c>
      <c r="R21" s="51" t="s">
        <v>692</v>
      </c>
      <c r="S21" s="51" t="s">
        <v>692</v>
      </c>
      <c r="T21" s="79" t="s">
        <v>720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721</v>
      </c>
      <c r="AD21" s="57">
        <v>149</v>
      </c>
      <c r="AE21" s="58" t="s">
        <v>722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542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1"/>
      <c r="CK21" s="161"/>
      <c r="CL21" s="161"/>
      <c r="CM21" s="161"/>
      <c r="CN21" s="161"/>
      <c r="CO21" s="161"/>
      <c r="CP21" s="155"/>
      <c r="CQ21" s="155"/>
      <c r="CR21" s="154"/>
      <c r="CS21" s="154"/>
      <c r="CT21" s="154"/>
      <c r="CU21" s="154"/>
      <c r="CV21" s="154"/>
      <c r="CW21" s="154"/>
      <c r="CX21" s="154"/>
      <c r="CY21" s="154"/>
      <c r="CZ21" s="154"/>
      <c r="DA21" s="154"/>
    </row>
    <row r="22" spans="1:105" ht="183.65" customHeight="1">
      <c r="A22" s="51">
        <v>11</v>
      </c>
      <c r="B22" s="51" t="s">
        <v>684</v>
      </c>
      <c r="C22" s="51" t="s">
        <v>684</v>
      </c>
      <c r="D22" s="6" t="s">
        <v>685</v>
      </c>
      <c r="E22" s="47">
        <v>7503057496268</v>
      </c>
      <c r="F22" s="48" t="s">
        <v>723</v>
      </c>
      <c r="G22" s="49" t="s">
        <v>724</v>
      </c>
      <c r="H22" s="50" t="s">
        <v>60</v>
      </c>
      <c r="I22" s="51" t="s">
        <v>526</v>
      </c>
      <c r="J22" s="51" t="s">
        <v>689</v>
      </c>
      <c r="K22" s="49" t="s">
        <v>309</v>
      </c>
      <c r="L22" s="52">
        <v>2</v>
      </c>
      <c r="M22" s="49" t="s">
        <v>692</v>
      </c>
      <c r="N22" s="51"/>
      <c r="O22" s="53" t="s">
        <v>725</v>
      </c>
      <c r="P22" s="51"/>
      <c r="Q22" s="49" t="s">
        <v>726</v>
      </c>
      <c r="R22" s="49" t="s">
        <v>727</v>
      </c>
      <c r="S22" s="51" t="s">
        <v>60</v>
      </c>
      <c r="T22" s="51" t="s">
        <v>692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728</v>
      </c>
      <c r="AD22" s="57">
        <v>39</v>
      </c>
      <c r="AE22" s="58" t="s">
        <v>729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506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1"/>
      <c r="CK22" s="161"/>
      <c r="CL22" s="161"/>
      <c r="CM22" s="161"/>
      <c r="CN22" s="161"/>
      <c r="CO22" s="161"/>
      <c r="CP22" s="155"/>
      <c r="CQ22" s="155"/>
      <c r="CR22" s="154"/>
      <c r="CS22" s="154"/>
      <c r="CT22" s="154"/>
      <c r="CU22" s="154"/>
      <c r="CV22" s="154"/>
      <c r="CW22" s="154"/>
      <c r="CX22" s="154"/>
      <c r="CY22" s="154"/>
      <c r="CZ22" s="154"/>
      <c r="DA22" s="154"/>
    </row>
    <row r="23" spans="1:105">
      <c r="CJ23" s="161"/>
      <c r="CK23" s="161"/>
      <c r="CL23" s="161"/>
      <c r="CM23" s="161"/>
      <c r="CN23" s="161"/>
      <c r="CO23" s="161"/>
      <c r="CP23" s="155"/>
      <c r="CQ23" s="155"/>
      <c r="CR23" s="154"/>
      <c r="CS23" s="154"/>
      <c r="CT23" s="154"/>
      <c r="CU23" s="154"/>
      <c r="CV23" s="154"/>
      <c r="CW23" s="154"/>
      <c r="CX23" s="154"/>
      <c r="CY23" s="154"/>
      <c r="CZ23" s="154"/>
      <c r="DA23" s="154"/>
    </row>
    <row r="24" spans="1:105">
      <c r="CJ24" s="161"/>
      <c r="CK24" s="161"/>
      <c r="CL24" s="161"/>
      <c r="CM24" s="161"/>
      <c r="CN24" s="161"/>
      <c r="CO24" s="161"/>
      <c r="CP24" s="155"/>
      <c r="CQ24" s="155"/>
      <c r="CR24" s="154"/>
      <c r="CS24" s="154"/>
      <c r="CT24" s="154"/>
      <c r="CU24" s="154"/>
      <c r="CV24" s="154"/>
      <c r="CW24" s="154"/>
      <c r="CX24" s="154"/>
      <c r="CY24" s="154"/>
      <c r="CZ24" s="154"/>
      <c r="DA24" s="154"/>
    </row>
    <row r="25" spans="1:105">
      <c r="CJ25" s="161"/>
      <c r="CK25" s="161"/>
      <c r="CL25" s="161"/>
      <c r="CM25" s="161"/>
      <c r="CN25" s="161"/>
      <c r="CO25" s="161"/>
      <c r="CP25" s="155"/>
      <c r="CQ25" s="155"/>
      <c r="CR25" s="154"/>
      <c r="CS25" s="154"/>
      <c r="CT25" s="154"/>
      <c r="CU25" s="154"/>
      <c r="CV25" s="154"/>
      <c r="CW25" s="154"/>
      <c r="CX25" s="154"/>
      <c r="CY25" s="154"/>
      <c r="CZ25" s="154"/>
      <c r="DA25" s="154"/>
    </row>
    <row r="26" spans="1:105">
      <c r="CJ26" s="161"/>
      <c r="CK26" s="161"/>
      <c r="CL26" s="161"/>
      <c r="CM26" s="161"/>
      <c r="CN26" s="161"/>
      <c r="CO26" s="161"/>
      <c r="CP26" s="155"/>
      <c r="CQ26" s="155"/>
      <c r="CR26" s="154"/>
      <c r="CS26" s="154"/>
      <c r="CT26" s="154"/>
      <c r="CU26" s="154"/>
      <c r="CV26" s="154"/>
      <c r="CW26" s="154"/>
      <c r="CX26" s="154"/>
      <c r="CY26" s="154"/>
      <c r="CZ26" s="154"/>
      <c r="DA26" s="154"/>
    </row>
    <row r="27" spans="1:105">
      <c r="CJ27" s="161"/>
      <c r="CK27" s="161"/>
      <c r="CL27" s="161"/>
      <c r="CM27" s="161"/>
      <c r="CN27" s="161"/>
      <c r="CO27" s="161"/>
      <c r="CP27" s="155"/>
      <c r="CQ27" s="155"/>
      <c r="CR27" s="154"/>
      <c r="CS27" s="154"/>
      <c r="CT27" s="154"/>
      <c r="CU27" s="154"/>
      <c r="CV27" s="154"/>
      <c r="CW27" s="154"/>
      <c r="CX27" s="154"/>
      <c r="CY27" s="154"/>
      <c r="CZ27" s="154"/>
      <c r="DA27" s="154"/>
    </row>
    <row r="28" spans="1:105">
      <c r="CJ28" s="161"/>
      <c r="CK28" s="161"/>
      <c r="CL28" s="161"/>
      <c r="CM28" s="161"/>
      <c r="CN28" s="161"/>
      <c r="CO28" s="161"/>
      <c r="CP28" s="155"/>
      <c r="CQ28" s="155"/>
      <c r="CR28" s="154"/>
      <c r="CS28" s="154"/>
      <c r="CT28" s="154"/>
      <c r="CU28" s="154"/>
      <c r="CV28" s="154"/>
      <c r="CW28" s="154"/>
      <c r="CX28" s="154"/>
      <c r="CY28" s="154"/>
      <c r="CZ28" s="154"/>
      <c r="DA28" s="154"/>
    </row>
    <row r="29" spans="1:105">
      <c r="CJ29" s="161"/>
      <c r="CK29" s="161"/>
      <c r="CL29" s="161"/>
      <c r="CM29" s="161"/>
      <c r="CN29" s="161"/>
      <c r="CO29" s="161"/>
      <c r="CP29" s="155"/>
      <c r="CQ29" s="155"/>
      <c r="CR29" s="154"/>
      <c r="CS29" s="154"/>
      <c r="CT29" s="154"/>
      <c r="CU29" s="154"/>
      <c r="CV29" s="154"/>
      <c r="CW29" s="154"/>
      <c r="CX29" s="154"/>
      <c r="CY29" s="154"/>
      <c r="CZ29" s="154"/>
      <c r="DA29" s="154"/>
    </row>
    <row r="30" spans="1:105">
      <c r="CJ30" s="161"/>
      <c r="CK30" s="161"/>
      <c r="CL30" s="161"/>
      <c r="CM30" s="161"/>
      <c r="CN30" s="161"/>
      <c r="CO30" s="161"/>
      <c r="CP30" s="155"/>
      <c r="CQ30" s="155"/>
      <c r="CR30" s="154"/>
      <c r="CS30" s="154"/>
      <c r="CT30" s="154"/>
      <c r="CU30" s="154"/>
      <c r="CV30" s="154"/>
      <c r="CW30" s="154"/>
      <c r="CX30" s="154"/>
      <c r="CY30" s="154"/>
      <c r="CZ30" s="154"/>
      <c r="DA30" s="154"/>
    </row>
    <row r="31" spans="1:105">
      <c r="CJ31" s="161"/>
      <c r="CK31" s="161"/>
      <c r="CL31" s="161"/>
      <c r="CM31" s="161"/>
      <c r="CN31" s="161"/>
      <c r="CO31" s="161"/>
      <c r="CP31" s="155"/>
      <c r="CQ31" s="155"/>
      <c r="CR31" s="154"/>
      <c r="CS31" s="154"/>
      <c r="CT31" s="154"/>
      <c r="CU31" s="154"/>
      <c r="CV31" s="154"/>
      <c r="CW31" s="154"/>
      <c r="CX31" s="154"/>
      <c r="CY31" s="154"/>
      <c r="CZ31" s="154"/>
      <c r="DA31" s="154"/>
    </row>
    <row r="32" spans="1:105">
      <c r="CJ32" s="161"/>
      <c r="CK32" s="161"/>
      <c r="CL32" s="161"/>
      <c r="CM32" s="161"/>
      <c r="CN32" s="161"/>
      <c r="CO32" s="161"/>
      <c r="CP32" s="155"/>
      <c r="CQ32" s="155"/>
      <c r="CR32" s="154"/>
      <c r="CS32" s="154"/>
      <c r="CT32" s="154"/>
      <c r="CU32" s="154"/>
      <c r="CV32" s="154"/>
      <c r="CW32" s="154"/>
      <c r="CX32" s="154"/>
      <c r="CY32" s="154"/>
      <c r="CZ32" s="154"/>
      <c r="DA32" s="154"/>
    </row>
    <row r="33" spans="88:105">
      <c r="CJ33" s="161"/>
      <c r="CK33" s="161"/>
      <c r="CL33" s="161"/>
      <c r="CM33" s="161"/>
      <c r="CN33" s="161"/>
      <c r="CO33" s="161"/>
      <c r="CP33" s="155"/>
      <c r="CQ33" s="155"/>
      <c r="CR33" s="154"/>
      <c r="CS33" s="154"/>
      <c r="CT33" s="154"/>
      <c r="CU33" s="154"/>
      <c r="CV33" s="154"/>
      <c r="CW33" s="154"/>
      <c r="CX33" s="154"/>
      <c r="CY33" s="154"/>
      <c r="CZ33" s="154"/>
      <c r="DA33" s="154"/>
    </row>
    <row r="34" spans="88:105">
      <c r="CJ34" s="161"/>
      <c r="CK34" s="161"/>
      <c r="CL34" s="161"/>
      <c r="CM34" s="161"/>
      <c r="CN34" s="161"/>
      <c r="CO34" s="161"/>
      <c r="CP34" s="155"/>
      <c r="CQ34" s="155"/>
      <c r="CR34" s="154"/>
      <c r="CS34" s="154"/>
      <c r="CT34" s="154"/>
      <c r="CU34" s="154"/>
      <c r="CV34" s="154"/>
      <c r="CW34" s="154"/>
      <c r="CX34" s="154"/>
      <c r="CY34" s="154"/>
      <c r="CZ34" s="154"/>
      <c r="DA34" s="154"/>
    </row>
    <row r="35" spans="88:105">
      <c r="CJ35" s="161"/>
      <c r="CK35" s="161"/>
      <c r="CL35" s="161"/>
      <c r="CM35" s="161"/>
      <c r="CN35" s="161"/>
      <c r="CO35" s="161"/>
      <c r="CP35" s="155"/>
      <c r="CQ35" s="155"/>
      <c r="CR35" s="154"/>
      <c r="CS35" s="154"/>
      <c r="CT35" s="154"/>
      <c r="CU35" s="154"/>
      <c r="CV35" s="154"/>
      <c r="CW35" s="154"/>
      <c r="CX35" s="154"/>
      <c r="CY35" s="154"/>
      <c r="CZ35" s="154"/>
      <c r="DA35" s="154"/>
    </row>
    <row r="36" spans="88:105">
      <c r="CJ36" s="161"/>
      <c r="CK36" s="161"/>
      <c r="CL36" s="161"/>
      <c r="CM36" s="161"/>
      <c r="CN36" s="161"/>
      <c r="CO36" s="161"/>
      <c r="CP36" s="155"/>
      <c r="CQ36" s="155"/>
      <c r="CR36" s="154"/>
      <c r="CS36" s="154"/>
      <c r="CT36" s="154"/>
      <c r="CU36" s="154"/>
      <c r="CV36" s="154"/>
      <c r="CW36" s="154"/>
      <c r="CX36" s="154"/>
      <c r="CY36" s="154"/>
      <c r="CZ36" s="154"/>
      <c r="DA36" s="154"/>
    </row>
    <row r="37" spans="88:105">
      <c r="CJ37" s="161"/>
      <c r="CK37" s="161"/>
      <c r="CL37" s="161"/>
      <c r="CM37" s="161"/>
      <c r="CN37" s="161"/>
      <c r="CO37" s="161"/>
      <c r="CP37" s="155"/>
      <c r="CQ37" s="155"/>
      <c r="CR37" s="154"/>
      <c r="CS37" s="154"/>
      <c r="CT37" s="154"/>
      <c r="CU37" s="154"/>
      <c r="CV37" s="154"/>
      <c r="CW37" s="154"/>
      <c r="CX37" s="154"/>
      <c r="CY37" s="154"/>
      <c r="CZ37" s="154"/>
      <c r="DA37" s="154"/>
    </row>
    <row r="38" spans="88:105">
      <c r="CJ38" s="161"/>
      <c r="CK38" s="161"/>
      <c r="CL38" s="161"/>
      <c r="CM38" s="161"/>
      <c r="CN38" s="161"/>
      <c r="CO38" s="161"/>
      <c r="CP38" s="155"/>
      <c r="CQ38" s="155"/>
      <c r="CR38" s="154"/>
      <c r="CS38" s="154"/>
      <c r="CT38" s="154"/>
      <c r="CU38" s="154"/>
      <c r="CV38" s="154"/>
      <c r="CW38" s="154"/>
      <c r="CX38" s="154"/>
      <c r="CY38" s="154"/>
      <c r="CZ38" s="154"/>
      <c r="DA38" s="154"/>
    </row>
    <row r="39" spans="88:105">
      <c r="CJ39" s="161"/>
      <c r="CK39" s="161"/>
      <c r="CL39" s="161"/>
      <c r="CM39" s="161"/>
      <c r="CN39" s="161"/>
      <c r="CO39" s="161"/>
      <c r="CP39" s="155"/>
      <c r="CQ39" s="155"/>
      <c r="CR39" s="154"/>
      <c r="CS39" s="154"/>
      <c r="CT39" s="154"/>
      <c r="CU39" s="154"/>
      <c r="CV39" s="154"/>
      <c r="CW39" s="154"/>
      <c r="CX39" s="154"/>
      <c r="CY39" s="154"/>
      <c r="CZ39" s="154"/>
      <c r="DA39" s="154"/>
    </row>
    <row r="40" spans="88:105">
      <c r="CJ40" s="161"/>
      <c r="CK40" s="161"/>
      <c r="CL40" s="161"/>
      <c r="CM40" s="161"/>
      <c r="CN40" s="161"/>
      <c r="CO40" s="161"/>
      <c r="CP40" s="155"/>
      <c r="CQ40" s="155"/>
      <c r="CR40" s="154"/>
      <c r="CS40" s="154"/>
      <c r="CT40" s="154"/>
      <c r="CU40" s="154"/>
      <c r="CV40" s="154"/>
      <c r="CW40" s="154"/>
      <c r="CX40" s="154"/>
      <c r="CY40" s="154"/>
      <c r="CZ40" s="154"/>
      <c r="DA40" s="154"/>
    </row>
    <row r="41" spans="88:105">
      <c r="CJ41" s="161"/>
      <c r="CK41" s="161"/>
      <c r="CL41" s="161"/>
      <c r="CM41" s="161"/>
      <c r="CN41" s="161"/>
      <c r="CO41" s="161"/>
      <c r="CP41" s="155"/>
      <c r="CQ41" s="155"/>
      <c r="CR41" s="154"/>
      <c r="CS41" s="154"/>
      <c r="CT41" s="154"/>
      <c r="CU41" s="154"/>
      <c r="CV41" s="154"/>
      <c r="CW41" s="154"/>
      <c r="CX41" s="154"/>
      <c r="CY41" s="154"/>
      <c r="CZ41" s="154"/>
      <c r="DA41" s="154"/>
    </row>
    <row r="42" spans="88:105">
      <c r="CJ42" s="161"/>
      <c r="CK42" s="161"/>
      <c r="CL42" s="161"/>
      <c r="CM42" s="161"/>
      <c r="CN42" s="161"/>
      <c r="CO42" s="161"/>
      <c r="CP42" s="155"/>
      <c r="CQ42" s="155"/>
      <c r="CR42" s="154"/>
      <c r="CS42" s="154"/>
      <c r="CT42" s="154"/>
      <c r="CU42" s="154"/>
      <c r="CV42" s="154"/>
      <c r="CW42" s="154"/>
      <c r="CX42" s="154"/>
      <c r="CY42" s="154"/>
      <c r="CZ42" s="154"/>
      <c r="DA42" s="154"/>
    </row>
    <row r="43" spans="88:105">
      <c r="CJ43" s="161"/>
      <c r="CK43" s="161"/>
      <c r="CL43" s="161"/>
      <c r="CM43" s="161"/>
      <c r="CN43" s="161"/>
      <c r="CO43" s="161"/>
      <c r="CP43" s="155"/>
      <c r="CQ43" s="155"/>
      <c r="CR43" s="154"/>
      <c r="CS43" s="154"/>
      <c r="CT43" s="154"/>
      <c r="CU43" s="154"/>
      <c r="CV43" s="154"/>
      <c r="CW43" s="154"/>
      <c r="CX43" s="154"/>
      <c r="CY43" s="154"/>
      <c r="CZ43" s="154"/>
      <c r="DA43" s="154"/>
    </row>
    <row r="44" spans="88:105">
      <c r="CJ44" s="161"/>
      <c r="CK44" s="161"/>
      <c r="CL44" s="161"/>
      <c r="CM44" s="161"/>
      <c r="CN44" s="161"/>
      <c r="CO44" s="161"/>
      <c r="CP44" s="155"/>
      <c r="CQ44" s="155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</row>
    <row r="45" spans="88:105">
      <c r="CJ45" s="161"/>
      <c r="CK45" s="161"/>
      <c r="CL45" s="161"/>
      <c r="CM45" s="161"/>
      <c r="CN45" s="161"/>
      <c r="CO45" s="161"/>
      <c r="CP45" s="155"/>
      <c r="CQ45" s="155"/>
      <c r="CR45" s="154"/>
      <c r="CS45" s="154"/>
      <c r="CT45" s="154"/>
      <c r="CU45" s="154"/>
      <c r="CV45" s="154"/>
      <c r="CW45" s="154"/>
      <c r="CX45" s="154"/>
      <c r="CY45" s="154"/>
      <c r="CZ45" s="154"/>
      <c r="DA45" s="154"/>
    </row>
    <row r="46" spans="88:105">
      <c r="CJ46" s="161"/>
      <c r="CK46" s="161"/>
      <c r="CL46" s="161"/>
      <c r="CM46" s="161"/>
      <c r="CN46" s="161"/>
      <c r="CO46" s="161"/>
      <c r="CP46" s="155"/>
      <c r="CQ46" s="155"/>
      <c r="CR46" s="154"/>
      <c r="CS46" s="154"/>
      <c r="CT46" s="154"/>
      <c r="CU46" s="154"/>
      <c r="CV46" s="154"/>
      <c r="CW46" s="154"/>
      <c r="CX46" s="154"/>
      <c r="CY46" s="154"/>
      <c r="CZ46" s="154"/>
      <c r="DA46" s="154"/>
    </row>
    <row r="47" spans="88:105">
      <c r="CJ47" s="161"/>
      <c r="CK47" s="161"/>
      <c r="CL47" s="161"/>
      <c r="CM47" s="161"/>
      <c r="CN47" s="161"/>
      <c r="CO47" s="161"/>
      <c r="CP47" s="155"/>
      <c r="CQ47" s="155"/>
      <c r="CR47" s="154"/>
      <c r="CS47" s="154"/>
      <c r="CT47" s="154"/>
      <c r="CU47" s="154"/>
      <c r="CV47" s="154"/>
      <c r="CW47" s="154"/>
      <c r="CX47" s="154"/>
      <c r="CY47" s="154"/>
      <c r="CZ47" s="154"/>
      <c r="DA47" s="154"/>
    </row>
    <row r="48" spans="88:105">
      <c r="CJ48" s="161"/>
      <c r="CK48" s="161"/>
      <c r="CL48" s="161"/>
      <c r="CM48" s="161"/>
      <c r="CN48" s="161"/>
      <c r="CO48" s="161"/>
      <c r="CP48" s="155"/>
      <c r="CQ48" s="155"/>
      <c r="CR48" s="154"/>
      <c r="CS48" s="154"/>
      <c r="CT48" s="154"/>
      <c r="CU48" s="154"/>
      <c r="CV48" s="154"/>
      <c r="CW48" s="154"/>
      <c r="CX48" s="154"/>
      <c r="CY48" s="154"/>
      <c r="CZ48" s="154"/>
      <c r="DA48" s="154"/>
    </row>
    <row r="49" spans="88:105">
      <c r="CJ49" s="161"/>
      <c r="CK49" s="161"/>
      <c r="CL49" s="161"/>
      <c r="CM49" s="161"/>
      <c r="CN49" s="161"/>
      <c r="CO49" s="161"/>
      <c r="CP49" s="155"/>
      <c r="CQ49" s="155"/>
      <c r="CR49" s="154"/>
      <c r="CS49" s="154"/>
      <c r="CT49" s="154"/>
      <c r="CU49" s="154"/>
      <c r="CV49" s="154"/>
      <c r="CW49" s="154"/>
      <c r="CX49" s="154"/>
      <c r="CY49" s="154"/>
      <c r="CZ49" s="154"/>
      <c r="DA49" s="154"/>
    </row>
    <row r="50" spans="88:105">
      <c r="CJ50" s="161"/>
      <c r="CK50" s="161"/>
      <c r="CL50" s="161"/>
      <c r="CM50" s="161"/>
      <c r="CN50" s="161"/>
      <c r="CO50" s="161"/>
      <c r="CP50" s="155"/>
      <c r="CQ50" s="155"/>
      <c r="CR50" s="154"/>
      <c r="CS50" s="154"/>
      <c r="CT50" s="154"/>
      <c r="CU50" s="154"/>
      <c r="CV50" s="154"/>
      <c r="CW50" s="154"/>
      <c r="CX50" s="154"/>
      <c r="CY50" s="154"/>
      <c r="CZ50" s="154"/>
      <c r="DA50" s="154"/>
    </row>
    <row r="51" spans="88:105">
      <c r="CJ51" s="161"/>
      <c r="CK51" s="161"/>
      <c r="CL51" s="161"/>
      <c r="CM51" s="161"/>
      <c r="CN51" s="161"/>
      <c r="CO51" s="161"/>
      <c r="CP51" s="155"/>
      <c r="CQ51" s="155"/>
      <c r="CR51" s="154"/>
      <c r="CS51" s="154"/>
      <c r="CT51" s="154"/>
      <c r="CU51" s="154"/>
      <c r="CV51" s="154"/>
      <c r="CW51" s="154"/>
      <c r="CX51" s="154"/>
      <c r="CY51" s="154"/>
      <c r="CZ51" s="154"/>
      <c r="DA51" s="154"/>
    </row>
    <row r="52" spans="88:105">
      <c r="CJ52" s="161"/>
      <c r="CK52" s="161"/>
      <c r="CL52" s="161"/>
      <c r="CM52" s="161"/>
      <c r="CN52" s="161"/>
      <c r="CO52" s="161"/>
      <c r="CP52" s="155"/>
      <c r="CQ52" s="155"/>
      <c r="CR52" s="154"/>
      <c r="CS52" s="154"/>
      <c r="CT52" s="154"/>
      <c r="CU52" s="154"/>
      <c r="CV52" s="154"/>
      <c r="CW52" s="154"/>
      <c r="CX52" s="154"/>
      <c r="CY52" s="154"/>
      <c r="CZ52" s="154"/>
      <c r="DA52" s="154"/>
    </row>
    <row r="53" spans="88:105">
      <c r="CJ53" s="161"/>
      <c r="CK53" s="161"/>
      <c r="CL53" s="161"/>
      <c r="CM53" s="161"/>
      <c r="CN53" s="161"/>
      <c r="CO53" s="161"/>
      <c r="CP53" s="155"/>
      <c r="CQ53" s="155"/>
      <c r="CR53" s="154"/>
      <c r="CS53" s="154"/>
      <c r="CT53" s="154"/>
      <c r="CU53" s="154"/>
      <c r="CV53" s="154"/>
      <c r="CW53" s="154"/>
      <c r="CX53" s="154"/>
      <c r="CY53" s="154"/>
      <c r="CZ53" s="154"/>
      <c r="DA53" s="154"/>
    </row>
    <row r="54" spans="88:105">
      <c r="CJ54" s="161"/>
      <c r="CK54" s="161"/>
      <c r="CL54" s="161"/>
      <c r="CM54" s="161"/>
      <c r="CN54" s="161"/>
      <c r="CO54" s="161"/>
      <c r="CP54" s="155"/>
      <c r="CQ54" s="155"/>
      <c r="CR54" s="154"/>
      <c r="CS54" s="154"/>
      <c r="CT54" s="154"/>
      <c r="CU54" s="154"/>
      <c r="CV54" s="154"/>
      <c r="CW54" s="154"/>
      <c r="CX54" s="154"/>
      <c r="CY54" s="154"/>
      <c r="CZ54" s="154"/>
      <c r="DA54" s="154"/>
    </row>
    <row r="55" spans="88:105">
      <c r="CJ55" s="161"/>
      <c r="CK55" s="161"/>
      <c r="CL55" s="161"/>
      <c r="CM55" s="161"/>
      <c r="CN55" s="161"/>
      <c r="CO55" s="161"/>
      <c r="CP55" s="155"/>
      <c r="CQ55" s="155"/>
      <c r="CR55" s="154"/>
      <c r="CS55" s="154"/>
      <c r="CT55" s="154"/>
      <c r="CU55" s="154"/>
      <c r="CV55" s="154"/>
      <c r="CW55" s="154"/>
      <c r="CX55" s="154"/>
      <c r="CY55" s="154"/>
      <c r="CZ55" s="154"/>
      <c r="DA55" s="154"/>
    </row>
    <row r="56" spans="88:105">
      <c r="CJ56" s="161"/>
      <c r="CK56" s="161"/>
      <c r="CL56" s="161"/>
      <c r="CM56" s="161"/>
      <c r="CN56" s="161"/>
      <c r="CO56" s="161"/>
      <c r="CP56" s="155"/>
      <c r="CQ56" s="155"/>
      <c r="CR56" s="154"/>
      <c r="CS56" s="154"/>
      <c r="CT56" s="154"/>
      <c r="CU56" s="154"/>
      <c r="CV56" s="154"/>
      <c r="CW56" s="154"/>
      <c r="CX56" s="154"/>
      <c r="CY56" s="154"/>
      <c r="CZ56" s="154"/>
      <c r="DA56" s="154"/>
    </row>
    <row r="57" spans="88:105">
      <c r="CJ57" s="161"/>
      <c r="CK57" s="161"/>
      <c r="CL57" s="161"/>
      <c r="CM57" s="161"/>
      <c r="CN57" s="161"/>
      <c r="CO57" s="161"/>
      <c r="CP57" s="155"/>
      <c r="CQ57" s="155"/>
      <c r="CR57" s="154"/>
      <c r="CS57" s="154"/>
      <c r="CT57" s="154"/>
      <c r="CU57" s="154"/>
      <c r="CV57" s="154"/>
      <c r="CW57" s="154"/>
      <c r="CX57" s="154"/>
      <c r="CY57" s="154"/>
      <c r="CZ57" s="154"/>
      <c r="DA57" s="154"/>
    </row>
    <row r="58" spans="88:105">
      <c r="CJ58" s="161"/>
      <c r="CK58" s="161"/>
      <c r="CL58" s="161"/>
      <c r="CM58" s="161"/>
      <c r="CN58" s="161"/>
      <c r="CO58" s="161"/>
      <c r="CP58" s="155"/>
      <c r="CQ58" s="155"/>
      <c r="CR58" s="154"/>
      <c r="CS58" s="154"/>
      <c r="CT58" s="154"/>
      <c r="CU58" s="154"/>
      <c r="CV58" s="154"/>
      <c r="CW58" s="154"/>
      <c r="CX58" s="154"/>
      <c r="CY58" s="154"/>
      <c r="CZ58" s="154"/>
      <c r="DA58" s="154"/>
    </row>
    <row r="59" spans="88:105">
      <c r="CJ59" s="161"/>
      <c r="CK59" s="161"/>
      <c r="CL59" s="161"/>
      <c r="CM59" s="161"/>
      <c r="CN59" s="161"/>
      <c r="CO59" s="161"/>
      <c r="CP59" s="155"/>
      <c r="CQ59" s="155"/>
      <c r="CR59" s="154"/>
      <c r="CS59" s="154"/>
      <c r="CT59" s="154"/>
      <c r="CU59" s="154"/>
      <c r="CV59" s="154"/>
      <c r="CW59" s="154"/>
      <c r="CX59" s="154"/>
      <c r="CY59" s="154"/>
      <c r="CZ59" s="154"/>
      <c r="DA59" s="154"/>
    </row>
    <row r="60" spans="88:105">
      <c r="CJ60" s="161"/>
      <c r="CK60" s="161"/>
      <c r="CL60" s="161"/>
      <c r="CM60" s="161"/>
      <c r="CN60" s="161"/>
      <c r="CO60" s="161"/>
      <c r="CP60" s="155"/>
      <c r="CQ60" s="155"/>
      <c r="CR60" s="154"/>
      <c r="CS60" s="154"/>
      <c r="CT60" s="154"/>
      <c r="CU60" s="154"/>
      <c r="CV60" s="154"/>
      <c r="CW60" s="154"/>
      <c r="CX60" s="154"/>
      <c r="CY60" s="154"/>
      <c r="CZ60" s="154"/>
      <c r="DA60" s="154"/>
    </row>
    <row r="61" spans="88:105">
      <c r="CJ61" s="161"/>
      <c r="CK61" s="161"/>
      <c r="CL61" s="161"/>
      <c r="CM61" s="161"/>
      <c r="CN61" s="161"/>
      <c r="CO61" s="161"/>
      <c r="CP61" s="155"/>
      <c r="CQ61" s="155"/>
      <c r="CR61" s="154"/>
      <c r="CS61" s="154"/>
      <c r="CT61" s="154"/>
      <c r="CU61" s="154"/>
      <c r="CV61" s="154"/>
      <c r="CW61" s="154"/>
      <c r="CX61" s="154"/>
      <c r="CY61" s="154"/>
      <c r="CZ61" s="154"/>
      <c r="DA61" s="154"/>
    </row>
    <row r="62" spans="88:105">
      <c r="CJ62" s="161"/>
      <c r="CK62" s="161"/>
      <c r="CL62" s="161"/>
      <c r="CM62" s="161"/>
      <c r="CN62" s="161"/>
      <c r="CO62" s="161"/>
      <c r="CP62" s="155"/>
      <c r="CQ62" s="155"/>
      <c r="CR62" s="154"/>
      <c r="CS62" s="154"/>
      <c r="CT62" s="154"/>
      <c r="CU62" s="154"/>
      <c r="CV62" s="154"/>
      <c r="CW62" s="154"/>
      <c r="CX62" s="154"/>
      <c r="CY62" s="154"/>
      <c r="CZ62" s="154"/>
      <c r="DA62" s="154"/>
    </row>
    <row r="63" spans="88:105">
      <c r="CJ63" s="161"/>
      <c r="CK63" s="161"/>
      <c r="CL63" s="161"/>
      <c r="CM63" s="161"/>
      <c r="CN63" s="161"/>
      <c r="CO63" s="161"/>
      <c r="CP63" s="155"/>
      <c r="CQ63" s="155"/>
      <c r="CR63" s="154"/>
      <c r="CS63" s="154"/>
      <c r="CT63" s="154"/>
      <c r="CU63" s="154"/>
      <c r="CV63" s="154"/>
      <c r="CW63" s="154"/>
      <c r="CX63" s="154"/>
      <c r="CY63" s="154"/>
      <c r="CZ63" s="154"/>
      <c r="DA63" s="154"/>
    </row>
    <row r="64" spans="88:105">
      <c r="CJ64" s="161"/>
      <c r="CK64" s="161"/>
      <c r="CL64" s="161"/>
      <c r="CM64" s="161"/>
      <c r="CN64" s="161"/>
      <c r="CO64" s="161"/>
      <c r="CP64" s="155"/>
      <c r="CQ64" s="155"/>
      <c r="CR64" s="154"/>
      <c r="CS64" s="154"/>
      <c r="CT64" s="154"/>
      <c r="CU64" s="154"/>
      <c r="CV64" s="154"/>
      <c r="CW64" s="154"/>
      <c r="CX64" s="154"/>
      <c r="CY64" s="154"/>
      <c r="CZ64" s="154"/>
      <c r="DA64" s="154"/>
    </row>
    <row r="65" spans="88:105">
      <c r="CJ65" s="161"/>
      <c r="CK65" s="161"/>
      <c r="CL65" s="161"/>
      <c r="CM65" s="161"/>
      <c r="CN65" s="161"/>
      <c r="CO65" s="161"/>
      <c r="CP65" s="155"/>
      <c r="CQ65" s="155"/>
      <c r="CR65" s="154"/>
      <c r="CS65" s="154"/>
      <c r="CT65" s="154"/>
      <c r="CU65" s="154"/>
      <c r="CV65" s="154"/>
      <c r="CW65" s="154"/>
      <c r="CX65" s="154"/>
      <c r="CY65" s="154"/>
      <c r="CZ65" s="154"/>
      <c r="DA65" s="154"/>
    </row>
    <row r="66" spans="88:105">
      <c r="CJ66" s="161"/>
      <c r="CK66" s="161"/>
      <c r="CL66" s="161"/>
      <c r="CM66" s="161"/>
      <c r="CN66" s="161"/>
      <c r="CO66" s="161"/>
      <c r="CP66" s="155"/>
      <c r="CQ66" s="155"/>
      <c r="CR66" s="154"/>
      <c r="CS66" s="154"/>
      <c r="CT66" s="154"/>
      <c r="CU66" s="154"/>
      <c r="CV66" s="154"/>
      <c r="CW66" s="154"/>
      <c r="CX66" s="154"/>
      <c r="CY66" s="154"/>
      <c r="CZ66" s="154"/>
      <c r="DA66" s="154"/>
    </row>
    <row r="67" spans="88:105">
      <c r="CJ67" s="161"/>
      <c r="CK67" s="161"/>
      <c r="CL67" s="161"/>
      <c r="CM67" s="161"/>
      <c r="CN67" s="161"/>
      <c r="CO67" s="161"/>
      <c r="CP67" s="155"/>
      <c r="CQ67" s="155"/>
      <c r="CR67" s="154"/>
      <c r="CS67" s="154"/>
      <c r="CT67" s="154"/>
      <c r="CU67" s="154"/>
      <c r="CV67" s="154"/>
      <c r="CW67" s="154"/>
      <c r="CX67" s="154"/>
      <c r="CY67" s="154"/>
      <c r="CZ67" s="154"/>
      <c r="DA67" s="154"/>
    </row>
    <row r="68" spans="88:105">
      <c r="CJ68" s="161"/>
      <c r="CK68" s="161"/>
      <c r="CL68" s="161"/>
      <c r="CM68" s="161"/>
      <c r="CN68" s="161"/>
      <c r="CO68" s="161"/>
      <c r="CP68" s="155"/>
      <c r="CQ68" s="155"/>
      <c r="CR68" s="154"/>
      <c r="CS68" s="154"/>
      <c r="CT68" s="154"/>
      <c r="CU68" s="154"/>
      <c r="CV68" s="154"/>
      <c r="CW68" s="154"/>
      <c r="CX68" s="154"/>
      <c r="CY68" s="154"/>
      <c r="CZ68" s="154"/>
      <c r="DA68" s="154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16" zoomScale="40" zoomScaleNormal="40" workbookViewId="0">
      <pane xSplit="6" topLeftCell="AQ1" activePane="topRight" state="frozen"/>
      <selection activeCell="A17" sqref="A17"/>
      <selection pane="topRight" activeCell="BL72" sqref="BL16:BL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hidden="1" customWidth="1"/>
    <col min="13" max="13" width="22.1796875" hidden="1" customWidth="1"/>
    <col min="14" max="14" width="43.453125" hidden="1" customWidth="1"/>
    <col min="15" max="15" width="38.54296875" hidden="1" customWidth="1"/>
    <col min="16" max="16" width="50" hidden="1" customWidth="1"/>
    <col min="17" max="17" width="41.54296875" hidden="1" customWidth="1"/>
    <col min="18" max="18" width="40.7265625" hidden="1" customWidth="1"/>
    <col min="19" max="19" width="56.7265625" hidden="1" customWidth="1"/>
    <col min="20" max="20" width="41.453125" hidden="1" customWidth="1"/>
    <col min="21" max="21" width="22.1796875" hidden="1" customWidth="1"/>
    <col min="22" max="22" width="39.7265625" hidden="1" customWidth="1"/>
    <col min="23" max="23" width="39" hidden="1" customWidth="1"/>
    <col min="24" max="24" width="26.26953125" hidden="1" customWidth="1"/>
    <col min="25" max="25" width="41.54296875" hidden="1" customWidth="1"/>
    <col min="26" max="26" width="26.26953125" hidden="1" customWidth="1"/>
    <col min="27" max="27" width="40.7265625" hidden="1" customWidth="1"/>
    <col min="28" max="28" width="41.81640625" hidden="1" customWidth="1"/>
    <col min="29" max="29" width="31.54296875" hidden="1" customWidth="1"/>
    <col min="30" max="30" width="59.81640625" hidden="1" customWidth="1"/>
    <col min="31" max="31" width="40.81640625" hidden="1" customWidth="1"/>
    <col min="32" max="32" width="39.81640625" hidden="1" customWidth="1"/>
    <col min="33" max="33" width="37.81640625" hidden="1" customWidth="1"/>
    <col min="34" max="34" width="36.81640625" hidden="1" customWidth="1"/>
    <col min="35" max="35" width="37.81640625" hidden="1" customWidth="1"/>
    <col min="36" max="36" width="30" hidden="1" customWidth="1"/>
    <col min="37" max="37" width="31.1796875" hidden="1" customWidth="1"/>
    <col min="38" max="38" width="39.81640625" hidden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hidden="1" customWidth="1"/>
    <col min="45" max="45" width="37.81640625" hidden="1" customWidth="1"/>
    <col min="46" max="46" width="36.81640625" hidden="1" customWidth="1"/>
    <col min="47" max="47" width="37.81640625" hidden="1" customWidth="1"/>
    <col min="48" max="48" width="31.1796875" hidden="1" customWidth="1"/>
    <col min="49" max="49" width="7.81640625" hidden="1" customWidth="1"/>
    <col min="50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24" customWidth="1"/>
    <col min="70" max="72" width="36.81640625" customWidth="1"/>
    <col min="88" max="93" width="35.453125" style="162" customWidth="1"/>
    <col min="94" max="105" width="35.453125" style="153" customWidth="1"/>
  </cols>
  <sheetData>
    <row r="1" spans="1:105" s="124" customFormat="1" ht="32.5">
      <c r="A1" s="8"/>
      <c r="B1" s="9" t="s">
        <v>13</v>
      </c>
      <c r="C1" s="125" t="s">
        <v>276</v>
      </c>
      <c r="D1" s="132"/>
      <c r="E1" s="131"/>
      <c r="F1" s="131"/>
      <c r="G1" s="133"/>
      <c r="H1" s="131"/>
      <c r="I1" s="131"/>
      <c r="J1" s="131"/>
      <c r="K1" s="131"/>
      <c r="L1" s="131"/>
      <c r="M1" s="133"/>
      <c r="N1" s="133"/>
      <c r="O1" s="133"/>
      <c r="P1" s="133"/>
      <c r="Q1" s="133"/>
      <c r="R1" s="134"/>
      <c r="S1" s="133"/>
      <c r="T1" s="133"/>
      <c r="U1" s="133"/>
      <c r="V1" s="133"/>
      <c r="W1" s="133"/>
      <c r="X1" s="133"/>
      <c r="Y1" s="133"/>
      <c r="Z1" s="133"/>
      <c r="AA1" s="134"/>
      <c r="AB1" s="133"/>
      <c r="AC1" s="133"/>
      <c r="AD1" s="133"/>
      <c r="AE1" s="123"/>
      <c r="AF1" s="133"/>
      <c r="AG1" s="133"/>
      <c r="AH1" s="133"/>
      <c r="AI1" s="133"/>
      <c r="AJ1" s="133"/>
      <c r="AK1" s="131"/>
      <c r="AL1" s="133"/>
      <c r="AM1" s="131"/>
      <c r="AN1" s="131"/>
      <c r="AO1" s="133"/>
      <c r="AP1" s="133"/>
      <c r="AR1" s="134"/>
      <c r="AS1" s="134"/>
      <c r="AT1" s="134"/>
      <c r="AU1" s="134"/>
      <c r="AV1" s="134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BM1" s="121"/>
      <c r="BN1" s="121"/>
      <c r="BO1" s="121"/>
      <c r="BP1" s="121"/>
      <c r="BQ1" s="121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</row>
    <row r="2" spans="1:105" s="124" customFormat="1" ht="32.5">
      <c r="A2" s="522" t="s">
        <v>689</v>
      </c>
      <c r="B2" s="522"/>
      <c r="C2" s="14"/>
      <c r="D2" s="132"/>
      <c r="E2" s="131"/>
      <c r="F2" s="131"/>
      <c r="G2" s="133"/>
      <c r="H2" s="131"/>
      <c r="I2" s="131"/>
      <c r="J2" s="131"/>
      <c r="K2" s="131"/>
      <c r="L2" s="131"/>
      <c r="M2" s="133"/>
      <c r="N2" s="133"/>
      <c r="O2" s="133"/>
      <c r="P2" s="133"/>
      <c r="Q2" s="133"/>
      <c r="R2" s="134"/>
      <c r="S2" s="133"/>
      <c r="T2" s="133"/>
      <c r="U2" s="133"/>
      <c r="V2" s="133"/>
      <c r="W2" s="133"/>
      <c r="X2" s="133"/>
      <c r="Y2" s="133"/>
      <c r="Z2" s="133"/>
      <c r="AA2" s="134"/>
      <c r="AB2" s="133"/>
      <c r="AC2" s="133"/>
      <c r="AD2" s="133"/>
      <c r="AE2" s="123"/>
      <c r="AF2" s="133"/>
      <c r="AG2" s="133"/>
      <c r="AH2" s="133"/>
      <c r="AI2" s="133"/>
      <c r="AJ2" s="133"/>
      <c r="AK2" s="131"/>
      <c r="AL2" s="133"/>
      <c r="AM2" s="131"/>
      <c r="AN2" s="131"/>
      <c r="AO2" s="133"/>
      <c r="AP2" s="133"/>
      <c r="AR2" s="134"/>
      <c r="AS2" s="134"/>
      <c r="AT2" s="134"/>
      <c r="AU2" s="134"/>
      <c r="AV2" s="134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21"/>
      <c r="BL2" s="121"/>
      <c r="BM2" s="121"/>
      <c r="BN2" s="121"/>
      <c r="BO2" s="121"/>
      <c r="BP2" s="121"/>
      <c r="BQ2" s="121"/>
      <c r="CJ2" s="121"/>
      <c r="CK2" s="121"/>
      <c r="CL2" s="121"/>
      <c r="CM2" s="121"/>
      <c r="CN2" s="121"/>
      <c r="CO2" s="121"/>
      <c r="CP2" s="121"/>
      <c r="CQ2" s="121"/>
      <c r="CR2" s="121"/>
      <c r="CS2" s="121"/>
      <c r="CT2" s="121"/>
      <c r="CU2" s="121"/>
      <c r="CV2" s="121"/>
      <c r="CW2" s="121"/>
      <c r="CX2" s="121"/>
      <c r="CY2" s="121"/>
      <c r="CZ2" s="121"/>
      <c r="DA2" s="121"/>
    </row>
    <row r="3" spans="1:105" s="124" customFormat="1" ht="32.5">
      <c r="A3" s="7" t="s">
        <v>282</v>
      </c>
      <c r="B3" s="41">
        <v>46101</v>
      </c>
      <c r="C3" s="126">
        <v>46112</v>
      </c>
      <c r="D3" s="132"/>
      <c r="E3" s="131"/>
      <c r="F3" s="131"/>
      <c r="G3" s="133"/>
      <c r="H3" s="131"/>
      <c r="I3" s="131"/>
      <c r="J3" s="131"/>
      <c r="K3" s="131"/>
      <c r="L3" s="131"/>
      <c r="M3" s="133"/>
      <c r="N3" s="133"/>
      <c r="O3" s="133"/>
      <c r="P3" s="133"/>
      <c r="Q3" s="133"/>
      <c r="R3" s="134"/>
      <c r="S3" s="133"/>
      <c r="T3" s="133"/>
      <c r="U3" s="133"/>
      <c r="V3" s="133"/>
      <c r="W3" s="133"/>
      <c r="X3" s="133"/>
      <c r="Y3" s="133"/>
      <c r="Z3" s="133"/>
      <c r="AA3" s="134"/>
      <c r="AB3" s="133"/>
      <c r="AC3" s="133"/>
      <c r="AD3" s="133"/>
      <c r="AE3" s="123"/>
      <c r="AF3" s="133"/>
      <c r="AG3" s="133"/>
      <c r="AH3" s="133"/>
      <c r="AI3" s="133"/>
      <c r="AJ3" s="133"/>
      <c r="AK3" s="131"/>
      <c r="AL3" s="133"/>
      <c r="AM3" s="131"/>
      <c r="AN3" s="131"/>
      <c r="AO3" s="133"/>
      <c r="AP3" s="133"/>
      <c r="AR3" s="134"/>
      <c r="AS3" s="134"/>
      <c r="AT3" s="134"/>
      <c r="AU3" s="134"/>
      <c r="AV3" s="134"/>
      <c r="BA3" s="121"/>
      <c r="BB3" s="121"/>
      <c r="BC3" s="121"/>
      <c r="BD3" s="121"/>
      <c r="BE3" s="121"/>
      <c r="BF3" s="121"/>
      <c r="BG3" s="121"/>
      <c r="BH3" s="121"/>
      <c r="BI3" s="121"/>
      <c r="BJ3" s="121"/>
      <c r="BK3" s="121"/>
      <c r="BL3" s="121"/>
      <c r="BM3" s="121"/>
      <c r="BN3" s="121"/>
      <c r="BO3" s="121"/>
      <c r="BP3" s="121"/>
      <c r="BQ3" s="121"/>
      <c r="CJ3" s="121"/>
      <c r="CK3" s="121"/>
      <c r="CL3" s="121"/>
      <c r="CM3" s="121"/>
      <c r="CN3" s="121"/>
      <c r="CO3" s="121"/>
      <c r="CP3" s="121"/>
      <c r="CQ3" s="121"/>
      <c r="CR3" s="121"/>
      <c r="CS3" s="121"/>
      <c r="CT3" s="121"/>
      <c r="CU3" s="121"/>
      <c r="CV3" s="121"/>
      <c r="CW3" s="121"/>
      <c r="CX3" s="121"/>
      <c r="CY3" s="121"/>
      <c r="CZ3" s="121"/>
      <c r="DA3" s="121"/>
    </row>
    <row r="4" spans="1:105" s="124" customFormat="1" ht="32.5">
      <c r="A4" s="23"/>
      <c r="B4" s="24"/>
      <c r="C4" s="139">
        <v>46118</v>
      </c>
      <c r="D4" s="132"/>
      <c r="E4" s="131"/>
      <c r="F4" s="131"/>
      <c r="G4" s="133"/>
      <c r="H4" s="131"/>
      <c r="I4" s="131"/>
      <c r="J4" s="131"/>
      <c r="K4" s="131"/>
      <c r="L4" s="131"/>
      <c r="M4" s="133"/>
      <c r="N4" s="133"/>
      <c r="O4" s="133"/>
      <c r="P4" s="133"/>
      <c r="Q4" s="133"/>
      <c r="R4" s="134"/>
      <c r="S4" s="133"/>
      <c r="T4" s="133"/>
      <c r="U4" s="133"/>
      <c r="V4" s="133"/>
      <c r="W4" s="133"/>
      <c r="X4" s="133"/>
      <c r="Y4" s="133"/>
      <c r="Z4" s="133"/>
      <c r="AA4" s="134"/>
      <c r="AB4" s="133"/>
      <c r="AC4" s="133"/>
      <c r="AD4" s="133"/>
      <c r="AE4" s="123"/>
      <c r="AF4" s="133"/>
      <c r="AG4" s="133"/>
      <c r="AH4" s="133"/>
      <c r="AI4" s="133"/>
      <c r="AJ4" s="133"/>
      <c r="AK4" s="131"/>
      <c r="AL4" s="133"/>
      <c r="AM4" s="131"/>
      <c r="AN4" s="131"/>
      <c r="AO4" s="133"/>
      <c r="AP4" s="133"/>
      <c r="AR4" s="134"/>
      <c r="AS4" s="134"/>
      <c r="AT4" s="134"/>
      <c r="AU4" s="134"/>
      <c r="AV4" s="134"/>
      <c r="BA4" s="121"/>
      <c r="BB4" s="121"/>
      <c r="BC4" s="121"/>
      <c r="BD4" s="121"/>
      <c r="BE4" s="121"/>
      <c r="BF4" s="121"/>
      <c r="BG4" s="121"/>
      <c r="BH4" s="121"/>
      <c r="BI4" s="121"/>
      <c r="BJ4" s="121"/>
      <c r="BK4" s="121"/>
      <c r="BL4" s="121"/>
      <c r="BM4" s="121"/>
      <c r="BN4" s="121"/>
      <c r="BO4" s="121"/>
      <c r="BP4" s="121"/>
      <c r="BQ4" s="121"/>
      <c r="CJ4" s="121"/>
      <c r="CK4" s="121"/>
      <c r="CL4" s="121"/>
      <c r="CM4" s="121"/>
      <c r="CN4" s="121"/>
      <c r="CO4" s="121"/>
      <c r="CP4" s="121"/>
      <c r="CQ4" s="121"/>
      <c r="CR4" s="121"/>
      <c r="CS4" s="121"/>
      <c r="CT4" s="121"/>
      <c r="CU4" s="121"/>
      <c r="CV4" s="121"/>
      <c r="CW4" s="121"/>
      <c r="CX4" s="121"/>
      <c r="CY4" s="121"/>
      <c r="CZ4" s="121"/>
      <c r="DA4" s="121"/>
    </row>
    <row r="5" spans="1:105" s="124" customFormat="1" ht="32.5">
      <c r="A5" s="42" t="s">
        <v>730</v>
      </c>
      <c r="B5" s="43">
        <f>B3</f>
        <v>46101</v>
      </c>
      <c r="C5" s="44">
        <v>46135</v>
      </c>
      <c r="D5" s="132"/>
      <c r="E5" s="131"/>
      <c r="F5" s="131"/>
      <c r="G5" s="133"/>
      <c r="H5" s="131"/>
      <c r="I5" s="131"/>
      <c r="J5" s="131"/>
      <c r="K5" s="131"/>
      <c r="L5" s="131"/>
      <c r="M5" s="133"/>
      <c r="N5" s="133"/>
      <c r="O5" s="133"/>
      <c r="P5" s="133"/>
      <c r="Q5" s="133"/>
      <c r="R5" s="134"/>
      <c r="S5" s="133"/>
      <c r="T5" s="133"/>
      <c r="U5" s="133"/>
      <c r="V5" s="133"/>
      <c r="W5" s="133"/>
      <c r="X5" s="133"/>
      <c r="Y5" s="133"/>
      <c r="Z5" s="133"/>
      <c r="AA5" s="134"/>
      <c r="AB5" s="133"/>
      <c r="AC5" s="133"/>
      <c r="AD5" s="133"/>
      <c r="AE5" s="123"/>
      <c r="AF5" s="133"/>
      <c r="AG5" s="133"/>
      <c r="AH5" s="133"/>
      <c r="AI5" s="133"/>
      <c r="AJ5" s="133"/>
      <c r="AK5" s="131"/>
      <c r="AL5" s="133"/>
      <c r="AM5" s="131"/>
      <c r="AN5" s="131"/>
      <c r="AO5" s="133"/>
      <c r="AP5" s="133"/>
      <c r="AR5" s="134"/>
      <c r="AS5" s="134"/>
      <c r="AT5" s="134"/>
      <c r="AU5" s="134"/>
      <c r="AV5" s="134"/>
      <c r="BA5" s="121"/>
      <c r="BB5" s="121"/>
      <c r="BC5" s="121"/>
      <c r="BD5" s="121"/>
      <c r="BE5" s="121"/>
      <c r="BF5" s="121"/>
      <c r="BG5" s="121"/>
      <c r="BH5" s="121"/>
      <c r="BI5" s="121"/>
      <c r="BJ5" s="121"/>
      <c r="BK5" s="121"/>
      <c r="BL5" s="121"/>
      <c r="BM5" s="121"/>
      <c r="BN5" s="121"/>
      <c r="BO5" s="121"/>
      <c r="BP5" s="121"/>
      <c r="BQ5" s="121"/>
      <c r="CJ5" s="121"/>
      <c r="CK5" s="121"/>
      <c r="CL5" s="121"/>
      <c r="CM5" s="121"/>
      <c r="CN5" s="121"/>
      <c r="CO5" s="121"/>
      <c r="CP5" s="121"/>
      <c r="CQ5" s="121"/>
      <c r="CR5" s="121"/>
      <c r="CS5" s="121"/>
      <c r="CT5" s="121"/>
      <c r="CU5" s="121"/>
      <c r="CV5" s="121"/>
      <c r="CW5" s="121"/>
      <c r="CX5" s="121"/>
      <c r="CY5" s="121"/>
      <c r="CZ5" s="121"/>
      <c r="DA5" s="121"/>
    </row>
    <row r="6" spans="1:105" s="124" customFormat="1" ht="32.5">
      <c r="A6" s="7" t="s">
        <v>284</v>
      </c>
      <c r="B6" s="15">
        <f>+B3+40</f>
        <v>46141</v>
      </c>
      <c r="C6" s="141">
        <f>C5+50</f>
        <v>46185</v>
      </c>
      <c r="D6" s="132"/>
      <c r="E6" s="131"/>
      <c r="F6" s="131"/>
      <c r="G6" s="133"/>
      <c r="H6" s="131"/>
      <c r="I6" s="131"/>
      <c r="J6" s="131"/>
      <c r="K6" s="131"/>
      <c r="L6" s="131"/>
      <c r="M6" s="133"/>
      <c r="N6" s="133"/>
      <c r="O6" s="133"/>
      <c r="P6" s="133"/>
      <c r="Q6" s="133"/>
      <c r="R6" s="134"/>
      <c r="S6" s="133"/>
      <c r="T6" s="133"/>
      <c r="U6" s="133"/>
      <c r="V6" s="133"/>
      <c r="W6" s="133"/>
      <c r="X6" s="133"/>
      <c r="Y6" s="133"/>
      <c r="Z6" s="133"/>
      <c r="AA6" s="134"/>
      <c r="AB6" s="133"/>
      <c r="AC6" s="133"/>
      <c r="AD6" s="133"/>
      <c r="AE6" s="123"/>
      <c r="AF6" s="133"/>
      <c r="AG6" s="133"/>
      <c r="AH6" s="133"/>
      <c r="AI6" s="133"/>
      <c r="AJ6" s="133"/>
      <c r="AK6" s="131"/>
      <c r="AL6" s="133"/>
      <c r="AM6" s="131"/>
      <c r="AN6" s="131"/>
      <c r="AO6" s="133"/>
      <c r="AP6" s="133"/>
      <c r="AR6" s="134"/>
      <c r="AS6" s="134"/>
      <c r="AT6" s="134"/>
      <c r="AU6" s="134"/>
      <c r="AV6" s="134"/>
      <c r="BA6" s="121"/>
      <c r="BB6" s="121"/>
      <c r="BC6" s="121"/>
      <c r="BD6" s="121"/>
      <c r="BE6" s="121"/>
      <c r="BF6" s="121"/>
      <c r="BG6" s="121"/>
      <c r="BH6" s="121"/>
      <c r="BI6" s="121"/>
      <c r="BJ6" s="121"/>
      <c r="BK6" s="121"/>
      <c r="BL6" s="121"/>
      <c r="BM6" s="121"/>
      <c r="BN6" s="121"/>
      <c r="BO6" s="121"/>
      <c r="BP6" s="121"/>
      <c r="BQ6" s="121"/>
      <c r="CJ6" s="121"/>
      <c r="CK6" s="121"/>
      <c r="CL6" s="121"/>
      <c r="CM6" s="121"/>
      <c r="CN6" s="121"/>
      <c r="CO6" s="121"/>
      <c r="CP6" s="121"/>
      <c r="CQ6" s="121"/>
      <c r="CR6" s="121"/>
      <c r="CS6" s="121"/>
      <c r="CT6" s="121"/>
      <c r="CU6" s="121"/>
      <c r="CV6" s="121"/>
      <c r="CW6" s="121"/>
      <c r="CX6" s="121"/>
      <c r="CY6" s="121"/>
      <c r="CZ6" s="121"/>
      <c r="DA6" s="121"/>
    </row>
    <row r="7" spans="1:105" s="124" customFormat="1" ht="32.5">
      <c r="A7" s="7" t="s">
        <v>283</v>
      </c>
      <c r="B7" s="15">
        <f>+B6+45</f>
        <v>46186</v>
      </c>
      <c r="C7" s="126">
        <f>+C6+45</f>
        <v>46230</v>
      </c>
      <c r="D7" s="132"/>
      <c r="E7" s="131"/>
      <c r="F7" s="131"/>
      <c r="G7" s="133"/>
      <c r="H7" s="131"/>
      <c r="I7" s="131"/>
      <c r="J7" s="131"/>
      <c r="K7" s="131"/>
      <c r="L7" s="131"/>
      <c r="M7" s="133"/>
      <c r="N7" s="133"/>
      <c r="O7" s="133"/>
      <c r="P7" s="133"/>
      <c r="Q7" s="133"/>
      <c r="R7" s="134"/>
      <c r="S7" s="133"/>
      <c r="T7" s="133"/>
      <c r="U7" s="133"/>
      <c r="V7" s="133"/>
      <c r="W7" s="133"/>
      <c r="X7" s="133"/>
      <c r="Y7" s="133"/>
      <c r="Z7" s="133"/>
      <c r="AA7" s="134"/>
      <c r="AB7" s="133"/>
      <c r="AC7" s="133"/>
      <c r="AD7" s="133"/>
      <c r="AE7" s="123"/>
      <c r="AF7" s="133"/>
      <c r="AG7" s="133"/>
      <c r="AH7" s="133"/>
      <c r="AI7" s="133"/>
      <c r="AJ7" s="133"/>
      <c r="AK7" s="131"/>
      <c r="AL7" s="133"/>
      <c r="AM7" s="131"/>
      <c r="AN7" s="131"/>
      <c r="AO7" s="133"/>
      <c r="AP7" s="133"/>
      <c r="AR7" s="134"/>
      <c r="AS7" s="134"/>
      <c r="AT7" s="134"/>
      <c r="AU7" s="134"/>
      <c r="AV7" s="134"/>
      <c r="BA7" s="121"/>
      <c r="BB7" s="121"/>
      <c r="BC7" s="121"/>
      <c r="BD7" s="121"/>
      <c r="BE7" s="121"/>
      <c r="BF7" s="121"/>
      <c r="BG7" s="121"/>
      <c r="BH7" s="121"/>
      <c r="BI7" s="121"/>
      <c r="BJ7" s="121"/>
      <c r="BK7" s="121"/>
      <c r="BL7" s="121"/>
      <c r="BM7" s="121"/>
      <c r="BN7" s="121"/>
      <c r="BO7" s="121"/>
      <c r="BP7" s="121"/>
      <c r="BQ7" s="121"/>
      <c r="CJ7" s="121"/>
      <c r="CK7" s="121"/>
      <c r="CL7" s="121"/>
      <c r="CM7" s="121"/>
      <c r="CN7" s="121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</row>
    <row r="8" spans="1:105" s="124" customFormat="1" ht="32.5">
      <c r="A8" s="7" t="s">
        <v>285</v>
      </c>
      <c r="B8" s="15">
        <f>+B6+65</f>
        <v>46206</v>
      </c>
      <c r="C8" s="126">
        <f>+C6+65</f>
        <v>46250</v>
      </c>
      <c r="D8" s="132"/>
      <c r="E8" s="131"/>
      <c r="F8" s="131"/>
      <c r="G8" s="133"/>
      <c r="H8" s="131"/>
      <c r="I8" s="131"/>
      <c r="J8" s="131"/>
      <c r="K8" s="131"/>
      <c r="L8" s="131"/>
      <c r="M8" s="133"/>
      <c r="N8" s="133"/>
      <c r="O8" s="133"/>
      <c r="P8" s="133"/>
      <c r="Q8" s="133"/>
      <c r="R8" s="134"/>
      <c r="S8" s="133"/>
      <c r="T8" s="133"/>
      <c r="U8" s="133"/>
      <c r="V8" s="133"/>
      <c r="W8" s="133"/>
      <c r="X8" s="133"/>
      <c r="Y8" s="133"/>
      <c r="Z8" s="133"/>
      <c r="AA8" s="134"/>
      <c r="AB8" s="133"/>
      <c r="AC8" s="133"/>
      <c r="AD8" s="133"/>
      <c r="AE8" s="123"/>
      <c r="AF8" s="133"/>
      <c r="AG8" s="133"/>
      <c r="AH8" s="133"/>
      <c r="AI8" s="133"/>
      <c r="AJ8" s="133"/>
      <c r="AK8" s="131"/>
      <c r="AL8" s="133"/>
      <c r="AM8" s="131"/>
      <c r="AN8" s="131"/>
      <c r="AO8" s="133"/>
      <c r="AP8" s="133"/>
      <c r="AR8" s="134"/>
      <c r="AS8" s="134"/>
      <c r="AT8" s="134"/>
      <c r="AU8" s="134"/>
      <c r="AV8" s="134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</row>
    <row r="9" spans="1:105" s="124" customFormat="1" ht="32.5">
      <c r="A9" s="135" t="s">
        <v>286</v>
      </c>
      <c r="B9" s="136">
        <f>+B8+7</f>
        <v>46213</v>
      </c>
      <c r="C9" s="142">
        <f>+C8+7</f>
        <v>46257</v>
      </c>
      <c r="D9" s="132"/>
      <c r="E9" s="131"/>
      <c r="F9" s="131"/>
      <c r="G9" s="133"/>
      <c r="H9" s="131"/>
      <c r="I9" s="131"/>
      <c r="J9" s="131"/>
      <c r="K9" s="131"/>
      <c r="L9" s="131"/>
      <c r="M9" s="133"/>
      <c r="N9" s="133"/>
      <c r="O9" s="133"/>
      <c r="P9" s="133"/>
      <c r="Q9" s="133"/>
      <c r="R9" s="134"/>
      <c r="S9" s="133"/>
      <c r="T9" s="133"/>
      <c r="U9" s="133"/>
      <c r="V9" s="133"/>
      <c r="W9" s="133"/>
      <c r="X9" s="133"/>
      <c r="Y9" s="133"/>
      <c r="Z9" s="133"/>
      <c r="AA9" s="134"/>
      <c r="AB9" s="133"/>
      <c r="AC9" s="133"/>
      <c r="AD9" s="133"/>
      <c r="AE9" s="123"/>
      <c r="AF9" s="133"/>
      <c r="AG9" s="133"/>
      <c r="AH9" s="133"/>
      <c r="AI9" s="133"/>
      <c r="AJ9" s="133"/>
      <c r="AK9" s="131"/>
      <c r="AL9" s="133"/>
      <c r="AM9" s="131"/>
      <c r="AN9" s="131"/>
      <c r="AO9" s="133"/>
      <c r="AP9" s="133"/>
      <c r="AR9" s="134"/>
      <c r="AS9" s="134"/>
      <c r="AT9" s="134"/>
      <c r="AU9" s="134"/>
      <c r="AV9" s="134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1"/>
      <c r="CY9" s="121"/>
      <c r="CZ9" s="121"/>
      <c r="DA9" s="121"/>
    </row>
    <row r="10" spans="1:105" s="124" customFormat="1" ht="32.5">
      <c r="A10" s="134"/>
      <c r="B10" s="134"/>
      <c r="C10" s="131"/>
      <c r="D10" s="132"/>
      <c r="E10" s="131"/>
      <c r="F10" s="131"/>
      <c r="G10" s="133"/>
      <c r="H10" s="131"/>
      <c r="I10" s="131"/>
      <c r="J10" s="131"/>
      <c r="K10" s="131"/>
      <c r="L10" s="131"/>
      <c r="M10" s="133"/>
      <c r="N10" s="133"/>
      <c r="O10" s="133"/>
      <c r="P10" s="133"/>
      <c r="Q10" s="133"/>
      <c r="R10" s="134"/>
      <c r="S10" s="133"/>
      <c r="T10" s="133"/>
      <c r="U10" s="133"/>
      <c r="V10" s="133"/>
      <c r="W10" s="133"/>
      <c r="X10" s="133"/>
      <c r="Y10" s="133"/>
      <c r="Z10" s="133"/>
      <c r="AA10" s="134"/>
      <c r="AB10" s="133"/>
      <c r="AC10" s="133"/>
      <c r="AD10" s="133"/>
      <c r="AE10" s="123"/>
      <c r="AF10" s="133"/>
      <c r="AG10" s="133"/>
      <c r="AH10" s="133"/>
      <c r="AI10" s="133"/>
      <c r="AJ10" s="133"/>
      <c r="AK10" s="131"/>
      <c r="AL10" s="133"/>
      <c r="AM10" s="131"/>
      <c r="AN10" s="131"/>
      <c r="AO10" s="133"/>
      <c r="AP10" s="133"/>
      <c r="AR10" s="134"/>
      <c r="AS10" s="134"/>
      <c r="AT10" s="134"/>
      <c r="AU10" s="134"/>
      <c r="AV10" s="134"/>
      <c r="BA10" s="121"/>
      <c r="BB10" s="121"/>
      <c r="BC10" s="121"/>
      <c r="BD10" s="121"/>
      <c r="BE10" s="121"/>
      <c r="BF10" s="121"/>
      <c r="BG10" s="121"/>
      <c r="BH10" s="121"/>
      <c r="BI10" s="121"/>
      <c r="BJ10" s="121"/>
      <c r="BK10" s="121"/>
      <c r="BL10" s="121"/>
      <c r="BM10" s="121"/>
      <c r="BN10" s="121"/>
      <c r="BO10" s="121"/>
      <c r="BP10" s="121"/>
      <c r="BQ10" s="121"/>
      <c r="CJ10" s="121"/>
      <c r="CK10" s="121"/>
      <c r="CL10" s="121"/>
      <c r="CM10" s="121"/>
      <c r="CN10" s="121"/>
      <c r="CO10" s="121"/>
      <c r="CP10" s="121"/>
      <c r="CQ10" s="121"/>
      <c r="CR10" s="121"/>
      <c r="CS10" s="121"/>
      <c r="CT10" s="121"/>
      <c r="CU10" s="121"/>
      <c r="CV10" s="121"/>
      <c r="CW10" s="121"/>
      <c r="CX10" s="121"/>
      <c r="CY10" s="121"/>
      <c r="CZ10" s="121"/>
      <c r="DA10" s="121"/>
    </row>
    <row r="11" spans="1:105" s="124" customFormat="1" ht="32.5">
      <c r="A11" s="134"/>
      <c r="B11" s="134"/>
      <c r="C11" s="131"/>
      <c r="D11" s="132"/>
      <c r="E11" s="131"/>
      <c r="F11" s="131"/>
      <c r="G11" s="133"/>
      <c r="H11" s="131"/>
      <c r="I11" s="131"/>
      <c r="J11" s="131"/>
      <c r="K11" s="131"/>
      <c r="L11" s="131"/>
      <c r="M11" s="133"/>
      <c r="N11" s="133"/>
      <c r="O11" s="133"/>
      <c r="P11" s="133"/>
      <c r="Q11" s="133"/>
      <c r="R11" s="134"/>
      <c r="S11" s="133"/>
      <c r="T11" s="133"/>
      <c r="U11" s="133"/>
      <c r="V11" s="133"/>
      <c r="W11" s="133"/>
      <c r="X11" s="133"/>
      <c r="Y11" s="133"/>
      <c r="Z11" s="133"/>
      <c r="AA11" s="134"/>
      <c r="AB11" s="133"/>
      <c r="AC11" s="133"/>
      <c r="AD11" s="133"/>
      <c r="AE11" s="123"/>
      <c r="AF11" s="133"/>
      <c r="AG11" s="133"/>
      <c r="AH11" s="133"/>
      <c r="AI11" s="133"/>
      <c r="AJ11" s="133"/>
      <c r="AK11" s="131"/>
      <c r="AL11" s="133"/>
      <c r="AM11" s="131"/>
      <c r="AN11" s="131"/>
      <c r="AO11" s="133"/>
      <c r="AP11" s="133"/>
      <c r="AR11" s="134"/>
      <c r="AS11" s="134"/>
      <c r="AT11" s="134"/>
      <c r="AU11" s="134"/>
      <c r="AV11" s="134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21"/>
      <c r="BQ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1"/>
      <c r="CY11" s="121"/>
      <c r="CZ11" s="121"/>
      <c r="DA11" s="121"/>
    </row>
    <row r="12" spans="1:105" s="124" customFormat="1" ht="32.5">
      <c r="A12" s="134"/>
      <c r="B12" s="134"/>
      <c r="C12" s="131"/>
      <c r="D12" s="132"/>
      <c r="E12" s="131"/>
      <c r="F12" s="131"/>
      <c r="G12" s="133"/>
      <c r="H12" s="131"/>
      <c r="I12" s="131"/>
      <c r="J12" s="131"/>
      <c r="K12" s="131"/>
      <c r="L12" s="131"/>
      <c r="M12" s="133"/>
      <c r="N12" s="133"/>
      <c r="O12" s="133"/>
      <c r="P12" s="133"/>
      <c r="Q12" s="133"/>
      <c r="R12" s="134"/>
      <c r="S12" s="133"/>
      <c r="T12" s="133"/>
      <c r="U12" s="133"/>
      <c r="V12" s="133"/>
      <c r="W12" s="133"/>
      <c r="X12" s="133"/>
      <c r="Y12" s="133"/>
      <c r="Z12" s="133"/>
      <c r="AA12" s="134"/>
      <c r="AB12" s="133"/>
      <c r="AC12" s="133"/>
      <c r="AD12" s="133"/>
      <c r="AE12" s="123"/>
      <c r="AF12" s="133"/>
      <c r="AG12" s="133"/>
      <c r="AH12" s="133"/>
      <c r="AI12" s="133"/>
      <c r="AJ12" s="133"/>
      <c r="AK12" s="131"/>
      <c r="AL12" s="133"/>
      <c r="AM12" s="131"/>
      <c r="AN12" s="131"/>
      <c r="AO12" s="133"/>
      <c r="AP12" s="133"/>
      <c r="AR12" s="134"/>
      <c r="AS12" s="134"/>
      <c r="AT12" s="134"/>
      <c r="AU12" s="134"/>
      <c r="AV12" s="134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</row>
    <row r="13" spans="1:105" s="124" customFormat="1" ht="32.5">
      <c r="A13" s="134"/>
      <c r="B13" s="134"/>
      <c r="C13" s="131"/>
      <c r="D13" s="132"/>
      <c r="E13" s="131"/>
      <c r="F13" s="131"/>
      <c r="G13" s="133"/>
      <c r="H13" s="131"/>
      <c r="I13" s="131"/>
      <c r="J13" s="131"/>
      <c r="K13" s="131"/>
      <c r="L13" s="131"/>
      <c r="M13" s="133"/>
      <c r="N13" s="133"/>
      <c r="O13" s="133"/>
      <c r="P13" s="133"/>
      <c r="Q13" s="133"/>
      <c r="R13" s="134"/>
      <c r="S13" s="133"/>
      <c r="T13" s="133"/>
      <c r="U13" s="133"/>
      <c r="V13" s="133"/>
      <c r="W13" s="133"/>
      <c r="X13" s="133"/>
      <c r="Y13" s="133"/>
      <c r="Z13" s="133"/>
      <c r="AA13" s="134"/>
      <c r="AB13" s="133"/>
      <c r="AC13" s="133"/>
      <c r="AD13" s="133"/>
      <c r="AE13" s="123"/>
      <c r="AF13" s="133"/>
      <c r="AG13" s="133"/>
      <c r="AH13" s="133"/>
      <c r="AI13" s="133"/>
      <c r="AJ13" s="133"/>
      <c r="AK13" s="131"/>
      <c r="AL13" s="133"/>
      <c r="AM13" s="131"/>
      <c r="AN13" s="131"/>
      <c r="AO13" s="133"/>
      <c r="AP13" s="133"/>
      <c r="AR13" s="134"/>
      <c r="AS13" s="134"/>
      <c r="AT13" s="134"/>
      <c r="AU13" s="134"/>
      <c r="AV13" s="134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  <c r="BM13" s="121"/>
      <c r="BN13" s="121"/>
      <c r="BO13" s="121"/>
      <c r="BP13" s="121"/>
      <c r="BQ13" s="121"/>
    </row>
    <row r="14" spans="1:105" s="124" customFormat="1" ht="35.15" customHeight="1">
      <c r="A14" s="134"/>
      <c r="B14" s="134"/>
      <c r="C14" s="131"/>
      <c r="D14" s="132"/>
      <c r="E14" s="131"/>
      <c r="F14" s="131"/>
      <c r="G14" s="133"/>
      <c r="H14" s="131"/>
      <c r="I14" s="131"/>
      <c r="J14" s="131"/>
      <c r="K14" s="131"/>
      <c r="L14" s="131"/>
      <c r="M14" s="133"/>
      <c r="N14" s="133"/>
      <c r="O14" s="133"/>
      <c r="P14" s="133"/>
      <c r="Q14" s="133"/>
      <c r="R14" s="134"/>
      <c r="S14" s="133"/>
      <c r="T14" s="133"/>
      <c r="U14" s="133"/>
      <c r="V14" s="133"/>
      <c r="W14" s="133"/>
      <c r="X14" s="133"/>
      <c r="Y14" s="133"/>
      <c r="Z14" s="133"/>
      <c r="AA14" s="134"/>
      <c r="AB14" s="133"/>
      <c r="AC14" s="133"/>
      <c r="AD14" s="133"/>
      <c r="AE14" s="123"/>
      <c r="AF14" s="133"/>
      <c r="AG14" s="133"/>
      <c r="AH14" s="133"/>
      <c r="AI14" s="133"/>
      <c r="AJ14" s="133"/>
      <c r="AK14" s="131"/>
      <c r="AL14" s="133"/>
      <c r="AM14" s="131"/>
      <c r="AN14" s="131"/>
      <c r="AO14" s="133"/>
      <c r="AP14" s="133"/>
      <c r="AR14" s="134"/>
      <c r="AS14" s="134"/>
      <c r="AT14" s="134"/>
      <c r="AU14" s="134"/>
      <c r="AV14" s="134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1"/>
      <c r="CJ14" s="523" t="s">
        <v>0</v>
      </c>
      <c r="CK14" s="524"/>
      <c r="CL14" s="524"/>
      <c r="CM14" s="524"/>
      <c r="CN14" s="524"/>
      <c r="CO14" s="524"/>
      <c r="CP14" s="524"/>
      <c r="CQ14" s="524"/>
      <c r="CR14" s="524"/>
      <c r="CS14" s="524"/>
      <c r="CT14" s="524"/>
      <c r="CU14" s="524"/>
      <c r="CV14" s="524"/>
      <c r="CW14" s="524"/>
      <c r="CX14" s="524"/>
      <c r="CY14" s="524"/>
      <c r="CZ14" s="524"/>
      <c r="DA14" s="524"/>
    </row>
    <row r="15" spans="1:105" s="124" customFormat="1" ht="56">
      <c r="A15" s="134"/>
      <c r="B15" s="134"/>
      <c r="C15" s="131"/>
      <c r="D15" s="132"/>
      <c r="E15" s="131"/>
      <c r="F15" s="131"/>
      <c r="G15" s="133"/>
      <c r="H15" s="131"/>
      <c r="I15" s="131"/>
      <c r="J15" s="131"/>
      <c r="K15" s="131"/>
      <c r="L15" s="131"/>
      <c r="M15" s="133"/>
      <c r="N15" s="133"/>
      <c r="O15" s="133"/>
      <c r="P15" s="133"/>
      <c r="Q15" s="133"/>
      <c r="R15" s="134"/>
      <c r="S15" s="133"/>
      <c r="T15" s="133"/>
      <c r="U15" s="133"/>
      <c r="V15" s="133"/>
      <c r="W15" s="133"/>
      <c r="X15" s="133"/>
      <c r="Y15" s="133"/>
      <c r="Z15" s="133"/>
      <c r="AA15" s="134"/>
      <c r="AB15" s="133"/>
      <c r="AC15" s="133"/>
      <c r="AD15" s="133"/>
      <c r="AE15" s="123"/>
      <c r="AF15" s="133"/>
      <c r="AG15" s="133"/>
      <c r="AH15" s="133"/>
      <c r="AI15" s="133"/>
      <c r="AJ15" s="133"/>
      <c r="AK15" s="131"/>
      <c r="AL15" s="133"/>
      <c r="AM15" s="131"/>
      <c r="AN15" s="131"/>
      <c r="AO15" s="133"/>
      <c r="AP15" s="133"/>
      <c r="AR15" s="134"/>
      <c r="AS15" s="134"/>
      <c r="AT15" s="134"/>
      <c r="AU15" s="134"/>
      <c r="AV15" s="134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CJ15" s="206" t="s">
        <v>1</v>
      </c>
      <c r="CK15" s="206"/>
      <c r="CL15" s="206" t="s">
        <v>2</v>
      </c>
      <c r="CM15" s="206"/>
      <c r="CN15" s="206" t="s">
        <v>3</v>
      </c>
      <c r="CO15" s="206"/>
      <c r="CP15" s="206" t="s">
        <v>4</v>
      </c>
      <c r="CQ15" s="206"/>
      <c r="CR15" s="206" t="s">
        <v>5</v>
      </c>
      <c r="CS15" s="206"/>
      <c r="CT15" s="206" t="s">
        <v>6</v>
      </c>
      <c r="CU15" s="206"/>
      <c r="CV15" s="206" t="s">
        <v>7</v>
      </c>
      <c r="CW15" s="206"/>
      <c r="CX15" s="206" t="s">
        <v>8</v>
      </c>
      <c r="CY15" s="206"/>
      <c r="CZ15" s="206" t="s">
        <v>9</v>
      </c>
      <c r="DA15" s="206"/>
    </row>
    <row r="16" spans="1:105" ht="130">
      <c r="A16" s="130" t="s">
        <v>11</v>
      </c>
      <c r="B16" s="130" t="s">
        <v>12</v>
      </c>
      <c r="C16" s="127" t="s">
        <v>13</v>
      </c>
      <c r="D16" s="128" t="s">
        <v>14</v>
      </c>
      <c r="E16" s="127" t="s">
        <v>15</v>
      </c>
      <c r="F16" s="127" t="s">
        <v>16</v>
      </c>
      <c r="G16" s="129" t="s">
        <v>17</v>
      </c>
      <c r="H16" s="127" t="s">
        <v>18</v>
      </c>
      <c r="I16" s="127" t="s">
        <v>19</v>
      </c>
      <c r="J16" s="127" t="s">
        <v>20</v>
      </c>
      <c r="K16" s="127" t="s">
        <v>21</v>
      </c>
      <c r="L16" s="127" t="s">
        <v>293</v>
      </c>
      <c r="M16" s="129" t="s">
        <v>23</v>
      </c>
      <c r="N16" s="129" t="s">
        <v>24</v>
      </c>
      <c r="O16" s="129" t="s">
        <v>25</v>
      </c>
      <c r="P16" s="129" t="s">
        <v>26</v>
      </c>
      <c r="Q16" s="129" t="s">
        <v>27</v>
      </c>
      <c r="R16" s="130" t="s">
        <v>28</v>
      </c>
      <c r="S16" s="129" t="s">
        <v>678</v>
      </c>
      <c r="T16" s="129" t="s">
        <v>41</v>
      </c>
      <c r="U16" s="129" t="s">
        <v>23</v>
      </c>
      <c r="V16" s="129" t="s">
        <v>24</v>
      </c>
      <c r="W16" s="129" t="s">
        <v>679</v>
      </c>
      <c r="X16" s="129" t="s">
        <v>26</v>
      </c>
      <c r="Y16" s="129" t="s">
        <v>27</v>
      </c>
      <c r="Z16" s="129" t="s">
        <v>628</v>
      </c>
      <c r="AA16" s="130" t="s">
        <v>28</v>
      </c>
      <c r="AB16" s="129" t="s">
        <v>680</v>
      </c>
      <c r="AC16" s="129" t="s">
        <v>29</v>
      </c>
      <c r="AD16" s="129" t="s">
        <v>681</v>
      </c>
      <c r="AE16" s="120" t="s">
        <v>30</v>
      </c>
      <c r="AF16" s="129" t="s">
        <v>682</v>
      </c>
      <c r="AG16" s="129" t="s">
        <v>31</v>
      </c>
      <c r="AH16" s="129" t="s">
        <v>32</v>
      </c>
      <c r="AI16" s="129" t="s">
        <v>33</v>
      </c>
      <c r="AJ16" s="129" t="s">
        <v>34</v>
      </c>
      <c r="AK16" s="127" t="s">
        <v>292</v>
      </c>
      <c r="AL16" s="129" t="s">
        <v>36</v>
      </c>
      <c r="AM16" s="127" t="s">
        <v>683</v>
      </c>
      <c r="AN16" s="127" t="s">
        <v>299</v>
      </c>
      <c r="AO16" s="129" t="s">
        <v>38</v>
      </c>
      <c r="AP16" s="204" t="s">
        <v>39</v>
      </c>
      <c r="AR16" s="130" t="s">
        <v>30</v>
      </c>
      <c r="AS16" s="130" t="s">
        <v>31</v>
      </c>
      <c r="AT16" s="130" t="s">
        <v>32</v>
      </c>
      <c r="AU16" s="130" t="s">
        <v>33</v>
      </c>
      <c r="AV16" s="130" t="s">
        <v>300</v>
      </c>
      <c r="BA16" s="118" t="s">
        <v>40</v>
      </c>
      <c r="BB16" s="118" t="s">
        <v>41</v>
      </c>
      <c r="BC16" s="118" t="s">
        <v>42</v>
      </c>
      <c r="BD16" s="118" t="s">
        <v>43</v>
      </c>
      <c r="BE16" s="118" t="s">
        <v>44</v>
      </c>
      <c r="BF16" s="118" t="s">
        <v>45</v>
      </c>
      <c r="BG16" s="118" t="s">
        <v>46</v>
      </c>
      <c r="BH16" s="1" t="s">
        <v>47</v>
      </c>
      <c r="BI16" s="118" t="s">
        <v>48</v>
      </c>
      <c r="BJ16" s="118" t="s">
        <v>49</v>
      </c>
      <c r="BK16" s="118" t="s">
        <v>13</v>
      </c>
      <c r="BL16" s="1" t="s">
        <v>50</v>
      </c>
      <c r="BM16" s="121"/>
      <c r="BN16" s="121"/>
      <c r="BO16" s="121"/>
      <c r="BP16" s="121"/>
      <c r="BQ16" s="121"/>
      <c r="BR16" s="170" t="s">
        <v>38</v>
      </c>
      <c r="BS16" s="1" t="s">
        <v>39</v>
      </c>
      <c r="BT16" s="1" t="s">
        <v>53</v>
      </c>
      <c r="CJ16" s="207" t="s">
        <v>54</v>
      </c>
      <c r="CK16" s="207" t="s">
        <v>55</v>
      </c>
      <c r="CL16" s="207" t="s">
        <v>54</v>
      </c>
      <c r="CM16" s="207" t="s">
        <v>55</v>
      </c>
      <c r="CN16" s="207" t="s">
        <v>54</v>
      </c>
      <c r="CO16" s="207" t="s">
        <v>55</v>
      </c>
      <c r="CP16" s="207" t="s">
        <v>54</v>
      </c>
      <c r="CQ16" s="207" t="s">
        <v>55</v>
      </c>
      <c r="CR16" s="207" t="s">
        <v>54</v>
      </c>
      <c r="CS16" s="207" t="s">
        <v>55</v>
      </c>
      <c r="CT16" s="207" t="s">
        <v>54</v>
      </c>
      <c r="CU16" s="207" t="s">
        <v>55</v>
      </c>
      <c r="CV16" s="207" t="s">
        <v>54</v>
      </c>
      <c r="CW16" s="207" t="s">
        <v>55</v>
      </c>
      <c r="CX16" s="207" t="s">
        <v>54</v>
      </c>
      <c r="CY16" s="207" t="s">
        <v>55</v>
      </c>
      <c r="CZ16" s="207" t="s">
        <v>54</v>
      </c>
      <c r="DA16" s="207" t="s">
        <v>55</v>
      </c>
    </row>
    <row r="17" spans="1:105" ht="162.5">
      <c r="A17" s="45">
        <v>46234</v>
      </c>
      <c r="B17" s="46" t="s">
        <v>305</v>
      </c>
      <c r="C17" s="5" t="s">
        <v>163</v>
      </c>
      <c r="D17" s="47">
        <v>7503057496206</v>
      </c>
      <c r="E17" s="48" t="s">
        <v>731</v>
      </c>
      <c r="F17" s="49" t="s">
        <v>732</v>
      </c>
      <c r="G17" s="50" t="s">
        <v>60</v>
      </c>
      <c r="H17" s="51" t="s">
        <v>526</v>
      </c>
      <c r="I17" s="51" t="s">
        <v>689</v>
      </c>
      <c r="J17" s="49" t="s">
        <v>309</v>
      </c>
      <c r="K17" s="52">
        <v>1</v>
      </c>
      <c r="L17" s="49" t="s">
        <v>692</v>
      </c>
      <c r="M17" s="51"/>
      <c r="N17" s="53" t="s">
        <v>733</v>
      </c>
      <c r="O17" s="51"/>
      <c r="P17" s="49" t="s">
        <v>692</v>
      </c>
      <c r="Q17" s="49" t="s">
        <v>692</v>
      </c>
      <c r="R17" s="51" t="s">
        <v>692</v>
      </c>
      <c r="S17" s="54" t="s">
        <v>692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728</v>
      </c>
      <c r="AC17" s="57">
        <v>39</v>
      </c>
      <c r="AD17" s="58" t="s">
        <v>734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506</v>
      </c>
      <c r="AL17" s="51" t="s">
        <v>134</v>
      </c>
      <c r="AM17" s="62">
        <v>12</v>
      </c>
      <c r="AN17" s="19">
        <v>48</v>
      </c>
      <c r="AO17" s="203" t="s">
        <v>735</v>
      </c>
      <c r="AP17" s="205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4">
        <f t="shared" ref="BL17:BL48" si="12">+BK17/BJ17</f>
        <v>0.77777777777777779</v>
      </c>
      <c r="BM17" s="172"/>
      <c r="BN17" s="172"/>
      <c r="BO17" s="172"/>
      <c r="BP17" s="172"/>
      <c r="BQ17" s="172"/>
      <c r="BR17" s="171" t="str">
        <f>+AO17</f>
        <v>En produccion</v>
      </c>
      <c r="BS17" s="166">
        <f>+AP17</f>
        <v>46293</v>
      </c>
      <c r="BT17" s="161" t="s">
        <v>170</v>
      </c>
      <c r="CJ17" s="208">
        <v>45809</v>
      </c>
      <c r="CK17" s="208">
        <v>45809</v>
      </c>
      <c r="CL17" s="161"/>
      <c r="CM17" s="161"/>
      <c r="CN17" s="161"/>
      <c r="CO17" s="161"/>
      <c r="CP17" s="155"/>
      <c r="CQ17" s="155"/>
      <c r="CR17" s="154"/>
      <c r="CS17" s="154"/>
      <c r="CT17" s="154"/>
      <c r="CU17" s="154"/>
      <c r="CV17" s="154"/>
      <c r="CW17" s="154"/>
      <c r="CX17" s="154"/>
      <c r="CY17" s="154"/>
      <c r="CZ17" s="154"/>
      <c r="DA17" s="154"/>
    </row>
    <row r="18" spans="1:105" ht="292.5">
      <c r="A18" s="45">
        <v>46234</v>
      </c>
      <c r="B18" s="46" t="s">
        <v>305</v>
      </c>
      <c r="C18" s="5" t="s">
        <v>163</v>
      </c>
      <c r="D18" s="47">
        <v>7503057496213</v>
      </c>
      <c r="E18" s="48" t="s">
        <v>736</v>
      </c>
      <c r="F18" s="49" t="s">
        <v>737</v>
      </c>
      <c r="G18" s="50" t="s">
        <v>60</v>
      </c>
      <c r="H18" s="51" t="s">
        <v>526</v>
      </c>
      <c r="I18" s="51" t="s">
        <v>689</v>
      </c>
      <c r="J18" s="49" t="s">
        <v>309</v>
      </c>
      <c r="K18" s="52">
        <v>1</v>
      </c>
      <c r="L18" s="49" t="s">
        <v>692</v>
      </c>
      <c r="M18" s="51"/>
      <c r="N18" s="53" t="s">
        <v>738</v>
      </c>
      <c r="O18" s="51"/>
      <c r="P18" s="49" t="s">
        <v>692</v>
      </c>
      <c r="Q18" s="49" t="s">
        <v>692</v>
      </c>
      <c r="R18" s="51" t="s">
        <v>692</v>
      </c>
      <c r="S18" s="51" t="s">
        <v>692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728</v>
      </c>
      <c r="AC18" s="57">
        <v>39</v>
      </c>
      <c r="AD18" s="58" t="s">
        <v>739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506</v>
      </c>
      <c r="AL18" s="51" t="s">
        <v>134</v>
      </c>
      <c r="AM18" s="62">
        <v>12</v>
      </c>
      <c r="AN18" s="19">
        <v>48</v>
      </c>
      <c r="AO18" s="203" t="s">
        <v>735</v>
      </c>
      <c r="AP18" s="205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4">
        <f t="shared" si="12"/>
        <v>0.77777777777777779</v>
      </c>
      <c r="BM18" s="172"/>
      <c r="BN18" s="172"/>
      <c r="BO18" s="172"/>
      <c r="BP18" s="172"/>
      <c r="BQ18" s="172"/>
      <c r="BR18" s="171" t="str">
        <f t="shared" ref="BR18:BR72" si="14">+AO18</f>
        <v>En produccion</v>
      </c>
      <c r="BS18" s="166">
        <f t="shared" ref="BS18:BS49" si="15">+AP18</f>
        <v>46280</v>
      </c>
      <c r="BT18" s="161" t="s">
        <v>170</v>
      </c>
      <c r="CJ18" s="161"/>
      <c r="CK18" s="161"/>
      <c r="CL18" s="161"/>
      <c r="CM18" s="161"/>
      <c r="CN18" s="161"/>
      <c r="CO18" s="161"/>
      <c r="CP18" s="155"/>
      <c r="CQ18" s="155"/>
      <c r="CR18" s="154"/>
      <c r="CS18" s="154"/>
      <c r="CT18" s="154"/>
      <c r="CU18" s="154"/>
      <c r="CV18" s="154"/>
      <c r="CW18" s="154"/>
      <c r="CX18" s="154"/>
      <c r="CY18" s="154"/>
      <c r="CZ18" s="154"/>
      <c r="DA18" s="154"/>
    </row>
    <row r="19" spans="1:105" ht="325" customHeight="1">
      <c r="A19" s="45">
        <v>46234</v>
      </c>
      <c r="B19" s="46" t="s">
        <v>305</v>
      </c>
      <c r="C19" s="5" t="s">
        <v>163</v>
      </c>
      <c r="D19" s="47">
        <v>7503057496220</v>
      </c>
      <c r="E19" s="48" t="s">
        <v>740</v>
      </c>
      <c r="F19" s="49" t="s">
        <v>741</v>
      </c>
      <c r="G19" s="50" t="s">
        <v>60</v>
      </c>
      <c r="H19" s="51" t="s">
        <v>526</v>
      </c>
      <c r="I19" s="51" t="s">
        <v>689</v>
      </c>
      <c r="J19" s="49" t="s">
        <v>309</v>
      </c>
      <c r="K19" s="52">
        <v>1</v>
      </c>
      <c r="L19" s="49" t="s">
        <v>692</v>
      </c>
      <c r="M19" s="51"/>
      <c r="N19" s="53" t="s">
        <v>742</v>
      </c>
      <c r="O19" s="51"/>
      <c r="P19" s="49" t="s">
        <v>692</v>
      </c>
      <c r="Q19" s="49" t="s">
        <v>692</v>
      </c>
      <c r="R19" s="51" t="s">
        <v>692</v>
      </c>
      <c r="S19" s="51" t="s">
        <v>692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728</v>
      </c>
      <c r="AC19" s="57">
        <v>39</v>
      </c>
      <c r="AD19" s="58" t="s">
        <v>743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506</v>
      </c>
      <c r="AL19" s="51" t="s">
        <v>134</v>
      </c>
      <c r="AM19" s="62">
        <v>12</v>
      </c>
      <c r="AN19" s="19">
        <v>48</v>
      </c>
      <c r="AO19" s="203" t="s">
        <v>735</v>
      </c>
      <c r="AP19" s="205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4">
        <f t="shared" si="12"/>
        <v>0.77777777777777779</v>
      </c>
      <c r="BM19" s="172"/>
      <c r="BN19" s="172"/>
      <c r="BO19" s="172"/>
      <c r="BP19" s="172"/>
      <c r="BQ19" s="172"/>
      <c r="BR19" s="171" t="str">
        <f t="shared" si="14"/>
        <v>En produccion</v>
      </c>
      <c r="BS19" s="166">
        <f t="shared" si="15"/>
        <v>46293</v>
      </c>
      <c r="BT19" s="161" t="s">
        <v>170</v>
      </c>
      <c r="CJ19" s="161"/>
      <c r="CK19" s="161"/>
      <c r="CL19" s="161"/>
      <c r="CM19" s="161"/>
      <c r="CN19" s="161"/>
      <c r="CO19" s="161"/>
      <c r="CP19" s="155"/>
      <c r="CQ19" s="155"/>
      <c r="CR19" s="154"/>
      <c r="CS19" s="154"/>
      <c r="CT19" s="154"/>
      <c r="CU19" s="154"/>
      <c r="CV19" s="154"/>
      <c r="CW19" s="154"/>
      <c r="CX19" s="154"/>
      <c r="CY19" s="154"/>
      <c r="CZ19" s="154"/>
      <c r="DA19" s="154"/>
    </row>
    <row r="20" spans="1:105" ht="195">
      <c r="A20" s="45">
        <v>46234</v>
      </c>
      <c r="B20" s="46" t="s">
        <v>305</v>
      </c>
      <c r="C20" s="5" t="s">
        <v>163</v>
      </c>
      <c r="D20" s="47">
        <v>7503057496237</v>
      </c>
      <c r="E20" s="48" t="s">
        <v>744</v>
      </c>
      <c r="F20" s="49" t="s">
        <v>745</v>
      </c>
      <c r="G20" s="50" t="s">
        <v>60</v>
      </c>
      <c r="H20" s="51" t="s">
        <v>526</v>
      </c>
      <c r="I20" s="51" t="s">
        <v>689</v>
      </c>
      <c r="J20" s="49" t="s">
        <v>309</v>
      </c>
      <c r="K20" s="52">
        <v>1</v>
      </c>
      <c r="L20" s="49" t="s">
        <v>692</v>
      </c>
      <c r="M20" s="51"/>
      <c r="N20" s="53" t="s">
        <v>746</v>
      </c>
      <c r="O20" s="51"/>
      <c r="P20" s="49" t="s">
        <v>692</v>
      </c>
      <c r="Q20" s="49" t="s">
        <v>692</v>
      </c>
      <c r="R20" s="51" t="s">
        <v>692</v>
      </c>
      <c r="S20" s="51" t="s">
        <v>692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728</v>
      </c>
      <c r="AC20" s="57">
        <v>39</v>
      </c>
      <c r="AD20" s="58" t="s">
        <v>747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506</v>
      </c>
      <c r="AL20" s="51" t="s">
        <v>134</v>
      </c>
      <c r="AM20" s="62">
        <v>12</v>
      </c>
      <c r="AN20" s="19">
        <v>48</v>
      </c>
      <c r="AO20" s="203" t="s">
        <v>735</v>
      </c>
      <c r="AP20" s="205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1"/>
        <v>7</v>
      </c>
      <c r="BL20" s="4">
        <f t="shared" si="12"/>
        <v>0.77777777777777779</v>
      </c>
      <c r="BM20" s="172"/>
      <c r="BN20" s="172"/>
      <c r="BO20" s="172"/>
      <c r="BP20" s="172"/>
      <c r="BQ20" s="172"/>
      <c r="BR20" s="171" t="str">
        <f t="shared" si="14"/>
        <v>En produccion</v>
      </c>
      <c r="BS20" s="166">
        <f t="shared" si="15"/>
        <v>46284</v>
      </c>
      <c r="BT20" s="161" t="s">
        <v>170</v>
      </c>
      <c r="CJ20" s="161"/>
      <c r="CK20" s="161"/>
      <c r="CL20" s="161"/>
      <c r="CM20" s="161"/>
      <c r="CN20" s="161"/>
      <c r="CO20" s="161"/>
      <c r="CP20" s="155"/>
      <c r="CQ20" s="155"/>
      <c r="CR20" s="154"/>
      <c r="CS20" s="154"/>
      <c r="CT20" s="154"/>
      <c r="CU20" s="154"/>
      <c r="CV20" s="154"/>
      <c r="CW20" s="154"/>
      <c r="CX20" s="154"/>
      <c r="CY20" s="154"/>
      <c r="CZ20" s="154"/>
      <c r="DA20" s="154"/>
    </row>
    <row r="21" spans="1:105" ht="260">
      <c r="A21" s="45">
        <v>46234</v>
      </c>
      <c r="B21" s="46" t="s">
        <v>305</v>
      </c>
      <c r="C21" s="5" t="s">
        <v>163</v>
      </c>
      <c r="D21" s="47">
        <v>7503057496244</v>
      </c>
      <c r="E21" s="48" t="s">
        <v>748</v>
      </c>
      <c r="F21" s="49" t="s">
        <v>749</v>
      </c>
      <c r="G21" s="50" t="s">
        <v>60</v>
      </c>
      <c r="H21" s="51" t="s">
        <v>526</v>
      </c>
      <c r="I21" s="51" t="s">
        <v>689</v>
      </c>
      <c r="J21" s="49" t="s">
        <v>309</v>
      </c>
      <c r="K21" s="52">
        <v>1</v>
      </c>
      <c r="L21" s="49" t="s">
        <v>692</v>
      </c>
      <c r="M21" s="51"/>
      <c r="N21" s="53" t="s">
        <v>750</v>
      </c>
      <c r="O21" s="51"/>
      <c r="P21" s="49" t="s">
        <v>692</v>
      </c>
      <c r="Q21" s="49" t="s">
        <v>692</v>
      </c>
      <c r="R21" s="51" t="s">
        <v>692</v>
      </c>
      <c r="S21" s="51" t="s">
        <v>692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728</v>
      </c>
      <c r="AC21" s="57">
        <v>39</v>
      </c>
      <c r="AD21" s="58" t="s">
        <v>751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506</v>
      </c>
      <c r="AL21" s="51" t="s">
        <v>134</v>
      </c>
      <c r="AM21" s="62">
        <v>12</v>
      </c>
      <c r="AN21" s="19">
        <v>48</v>
      </c>
      <c r="AO21" s="203" t="s">
        <v>735</v>
      </c>
      <c r="AP21" s="205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1"/>
        <v>7</v>
      </c>
      <c r="BL21" s="4">
        <f t="shared" si="12"/>
        <v>0.77777777777777779</v>
      </c>
      <c r="BM21" s="172"/>
      <c r="BN21" s="172"/>
      <c r="BO21" s="172"/>
      <c r="BP21" s="172"/>
      <c r="BQ21" s="172"/>
      <c r="BR21" s="171" t="str">
        <f t="shared" si="14"/>
        <v>En produccion</v>
      </c>
      <c r="BS21" s="166">
        <f t="shared" si="15"/>
        <v>46293</v>
      </c>
      <c r="BT21" s="161" t="s">
        <v>170</v>
      </c>
      <c r="CJ21" s="161"/>
      <c r="CK21" s="161"/>
      <c r="CL21" s="161"/>
      <c r="CM21" s="161"/>
      <c r="CN21" s="161"/>
      <c r="CO21" s="161"/>
      <c r="CP21" s="155"/>
      <c r="CQ21" s="155"/>
      <c r="CR21" s="154"/>
      <c r="CS21" s="154"/>
      <c r="CT21" s="154"/>
      <c r="CU21" s="154"/>
      <c r="CV21" s="154"/>
      <c r="CW21" s="154"/>
      <c r="CX21" s="154"/>
      <c r="CY21" s="154"/>
      <c r="CZ21" s="154"/>
      <c r="DA21" s="154"/>
    </row>
    <row r="22" spans="1:105" ht="195">
      <c r="A22" s="45">
        <v>46234</v>
      </c>
      <c r="B22" s="46" t="s">
        <v>305</v>
      </c>
      <c r="C22" s="5" t="s">
        <v>163</v>
      </c>
      <c r="D22" s="47">
        <v>7503057496275</v>
      </c>
      <c r="E22" s="48" t="s">
        <v>752</v>
      </c>
      <c r="F22" s="49" t="s">
        <v>753</v>
      </c>
      <c r="G22" s="50" t="s">
        <v>60</v>
      </c>
      <c r="H22" s="51" t="s">
        <v>526</v>
      </c>
      <c r="I22" s="51" t="s">
        <v>689</v>
      </c>
      <c r="J22" s="49" t="s">
        <v>309</v>
      </c>
      <c r="K22" s="52">
        <v>1</v>
      </c>
      <c r="L22" s="49" t="s">
        <v>692</v>
      </c>
      <c r="M22" s="51"/>
      <c r="N22" s="53" t="s">
        <v>754</v>
      </c>
      <c r="O22" s="51"/>
      <c r="P22" s="49" t="s">
        <v>692</v>
      </c>
      <c r="Q22" s="49" t="s">
        <v>692</v>
      </c>
      <c r="R22" s="51" t="s">
        <v>692</v>
      </c>
      <c r="S22" s="51" t="s">
        <v>692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415</v>
      </c>
      <c r="AC22" s="57">
        <v>39</v>
      </c>
      <c r="AD22" s="58" t="s">
        <v>755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506</v>
      </c>
      <c r="AL22" s="51" t="s">
        <v>134</v>
      </c>
      <c r="AM22" s="62">
        <v>12</v>
      </c>
      <c r="AN22" s="19">
        <v>48</v>
      </c>
      <c r="AO22" s="203" t="s">
        <v>735</v>
      </c>
      <c r="AP22" s="205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1"/>
        <v>7</v>
      </c>
      <c r="BL22" s="4">
        <f t="shared" si="12"/>
        <v>0.77777777777777779</v>
      </c>
      <c r="BM22" s="172"/>
      <c r="BN22" s="172"/>
      <c r="BO22" s="172"/>
      <c r="BP22" s="172"/>
      <c r="BQ22" s="172"/>
      <c r="BR22" s="171" t="str">
        <f t="shared" si="14"/>
        <v>En produccion</v>
      </c>
      <c r="BS22" s="166">
        <f t="shared" si="15"/>
        <v>46284</v>
      </c>
      <c r="BT22" s="161" t="s">
        <v>170</v>
      </c>
      <c r="CJ22" s="161"/>
      <c r="CK22" s="161"/>
      <c r="CL22" s="161"/>
      <c r="CM22" s="161"/>
      <c r="CN22" s="161"/>
      <c r="CO22" s="161"/>
      <c r="CP22" s="155"/>
      <c r="CQ22" s="155"/>
      <c r="CR22" s="154"/>
      <c r="CS22" s="154"/>
      <c r="CT22" s="154"/>
      <c r="CU22" s="154"/>
      <c r="CV22" s="154"/>
      <c r="CW22" s="154"/>
      <c r="CX22" s="154"/>
      <c r="CY22" s="154"/>
      <c r="CZ22" s="154"/>
      <c r="DA22" s="154"/>
    </row>
    <row r="23" spans="1:105" ht="260">
      <c r="A23" s="45">
        <v>46234</v>
      </c>
      <c r="B23" s="46" t="s">
        <v>305</v>
      </c>
      <c r="C23" s="5" t="s">
        <v>163</v>
      </c>
      <c r="D23" s="47">
        <v>7503057496282</v>
      </c>
      <c r="E23" s="48" t="s">
        <v>756</v>
      </c>
      <c r="F23" s="49" t="s">
        <v>757</v>
      </c>
      <c r="G23" s="50" t="s">
        <v>60</v>
      </c>
      <c r="H23" s="51" t="s">
        <v>526</v>
      </c>
      <c r="I23" s="51" t="s">
        <v>689</v>
      </c>
      <c r="J23" s="49" t="s">
        <v>309</v>
      </c>
      <c r="K23" s="52">
        <v>1</v>
      </c>
      <c r="L23" s="49" t="s">
        <v>692</v>
      </c>
      <c r="M23" s="51"/>
      <c r="N23" s="53" t="s">
        <v>758</v>
      </c>
      <c r="O23" s="51"/>
      <c r="P23" s="49" t="s">
        <v>692</v>
      </c>
      <c r="Q23" s="49" t="s">
        <v>692</v>
      </c>
      <c r="R23" s="51" t="s">
        <v>692</v>
      </c>
      <c r="S23" s="51" t="s">
        <v>692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759</v>
      </c>
      <c r="AC23" s="57">
        <v>39</v>
      </c>
      <c r="AD23" s="58" t="s">
        <v>760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506</v>
      </c>
      <c r="AL23" s="51" t="s">
        <v>134</v>
      </c>
      <c r="AM23" s="62">
        <v>12</v>
      </c>
      <c r="AN23" s="19">
        <v>48</v>
      </c>
      <c r="AO23" s="203" t="s">
        <v>735</v>
      </c>
      <c r="AP23" s="205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1"/>
        <v>7</v>
      </c>
      <c r="BL23" s="4">
        <f t="shared" si="12"/>
        <v>0.77777777777777779</v>
      </c>
      <c r="BM23" s="172"/>
      <c r="BN23" s="172"/>
      <c r="BO23" s="172"/>
      <c r="BP23" s="172"/>
      <c r="BQ23" s="172"/>
      <c r="BR23" s="171" t="str">
        <f t="shared" si="14"/>
        <v>En produccion</v>
      </c>
      <c r="BS23" s="166">
        <f t="shared" si="15"/>
        <v>46284</v>
      </c>
      <c r="BT23" s="161" t="s">
        <v>170</v>
      </c>
      <c r="CJ23" s="161"/>
      <c r="CK23" s="161"/>
      <c r="CL23" s="161"/>
      <c r="CM23" s="161"/>
      <c r="CN23" s="161"/>
      <c r="CO23" s="161"/>
      <c r="CP23" s="155"/>
      <c r="CQ23" s="155"/>
      <c r="CR23" s="154"/>
      <c r="CS23" s="154"/>
      <c r="CT23" s="154"/>
      <c r="CU23" s="154"/>
      <c r="CV23" s="154"/>
      <c r="CW23" s="154"/>
      <c r="CX23" s="154"/>
      <c r="CY23" s="154"/>
      <c r="CZ23" s="154"/>
      <c r="DA23" s="154"/>
    </row>
    <row r="24" spans="1:105" ht="162.5">
      <c r="A24" s="45">
        <v>46234</v>
      </c>
      <c r="B24" s="46" t="s">
        <v>305</v>
      </c>
      <c r="C24" s="5" t="s">
        <v>163</v>
      </c>
      <c r="D24" s="63">
        <v>7503057496299</v>
      </c>
      <c r="E24" s="64" t="s">
        <v>761</v>
      </c>
      <c r="F24" s="49" t="s">
        <v>762</v>
      </c>
      <c r="G24" s="50" t="s">
        <v>60</v>
      </c>
      <c r="H24" s="51" t="s">
        <v>526</v>
      </c>
      <c r="I24" s="65" t="s">
        <v>689</v>
      </c>
      <c r="J24" s="49" t="s">
        <v>309</v>
      </c>
      <c r="K24" s="66">
        <v>1</v>
      </c>
      <c r="L24" s="49" t="s">
        <v>692</v>
      </c>
      <c r="M24" s="51"/>
      <c r="N24" s="53" t="s">
        <v>763</v>
      </c>
      <c r="O24" s="51"/>
      <c r="P24" s="49" t="s">
        <v>692</v>
      </c>
      <c r="Q24" s="49" t="s">
        <v>692</v>
      </c>
      <c r="R24" s="51" t="s">
        <v>692</v>
      </c>
      <c r="S24" s="51" t="s">
        <v>692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764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506</v>
      </c>
      <c r="AL24" s="51" t="s">
        <v>134</v>
      </c>
      <c r="AM24" s="62">
        <v>12</v>
      </c>
      <c r="AN24" s="19">
        <v>48</v>
      </c>
      <c r="AO24" s="203" t="s">
        <v>735</v>
      </c>
      <c r="AP24" s="205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1"/>
        <v>7</v>
      </c>
      <c r="BL24" s="4">
        <f t="shared" si="12"/>
        <v>0.77777777777777779</v>
      </c>
      <c r="BM24" s="172"/>
      <c r="BN24" s="172"/>
      <c r="BO24" s="172"/>
      <c r="BP24" s="172"/>
      <c r="BQ24" s="172"/>
      <c r="BR24" s="171" t="str">
        <f t="shared" si="14"/>
        <v>En produccion</v>
      </c>
      <c r="BS24" s="166">
        <f t="shared" si="15"/>
        <v>46284</v>
      </c>
      <c r="BT24" s="161" t="s">
        <v>170</v>
      </c>
      <c r="CJ24" s="161"/>
      <c r="CK24" s="161"/>
      <c r="CL24" s="161"/>
      <c r="CM24" s="161"/>
      <c r="CN24" s="161"/>
      <c r="CO24" s="161"/>
      <c r="CP24" s="155"/>
      <c r="CQ24" s="155"/>
      <c r="CR24" s="154"/>
      <c r="CS24" s="154"/>
      <c r="CT24" s="154"/>
      <c r="CU24" s="154"/>
      <c r="CV24" s="154"/>
      <c r="CW24" s="154"/>
      <c r="CX24" s="154"/>
      <c r="CY24" s="154"/>
      <c r="CZ24" s="154"/>
      <c r="DA24" s="154"/>
    </row>
    <row r="25" spans="1:105" ht="260.14999999999998" customHeight="1">
      <c r="A25" s="45">
        <v>46234</v>
      </c>
      <c r="B25" s="46" t="s">
        <v>305</v>
      </c>
      <c r="C25" s="5" t="s">
        <v>163</v>
      </c>
      <c r="D25" s="47">
        <v>7503057496305</v>
      </c>
      <c r="E25" s="48" t="s">
        <v>765</v>
      </c>
      <c r="F25" s="49" t="s">
        <v>766</v>
      </c>
      <c r="G25" s="50" t="s">
        <v>60</v>
      </c>
      <c r="H25" s="51" t="s">
        <v>767</v>
      </c>
      <c r="I25" s="51" t="s">
        <v>689</v>
      </c>
      <c r="J25" s="49" t="s">
        <v>309</v>
      </c>
      <c r="K25" s="52">
        <v>1</v>
      </c>
      <c r="L25" s="511" t="s">
        <v>768</v>
      </c>
      <c r="M25" s="51"/>
      <c r="N25" s="53" t="s">
        <v>769</v>
      </c>
      <c r="O25" s="51"/>
      <c r="P25" s="49" t="s">
        <v>692</v>
      </c>
      <c r="Q25" s="49" t="s">
        <v>692</v>
      </c>
      <c r="R25" s="51" t="s">
        <v>692</v>
      </c>
      <c r="S25" s="51" t="s">
        <v>692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770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506</v>
      </c>
      <c r="AL25" s="51" t="s">
        <v>134</v>
      </c>
      <c r="AM25" s="62">
        <v>12</v>
      </c>
      <c r="AN25" s="19">
        <v>48</v>
      </c>
      <c r="AO25" s="203" t="s">
        <v>735</v>
      </c>
      <c r="AP25" s="205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1"/>
        <v>7</v>
      </c>
      <c r="BL25" s="4">
        <f t="shared" si="12"/>
        <v>0.77777777777777779</v>
      </c>
      <c r="BM25" s="172"/>
      <c r="BN25" s="172"/>
      <c r="BO25" s="172"/>
      <c r="BP25" s="172"/>
      <c r="BQ25" s="172"/>
      <c r="BR25" s="171" t="str">
        <f t="shared" si="14"/>
        <v>En produccion</v>
      </c>
      <c r="BS25" s="166">
        <f t="shared" si="15"/>
        <v>46284</v>
      </c>
      <c r="BT25" s="161" t="s">
        <v>170</v>
      </c>
      <c r="CJ25" s="161"/>
      <c r="CK25" s="161"/>
      <c r="CL25" s="161"/>
      <c r="CM25" s="161"/>
      <c r="CN25" s="161"/>
      <c r="CO25" s="161"/>
      <c r="CP25" s="155"/>
      <c r="CQ25" s="155"/>
      <c r="CR25" s="154"/>
      <c r="CS25" s="154"/>
      <c r="CT25" s="154"/>
      <c r="CU25" s="154"/>
      <c r="CV25" s="154"/>
      <c r="CW25" s="154"/>
      <c r="CX25" s="154"/>
      <c r="CY25" s="154"/>
      <c r="CZ25" s="154"/>
      <c r="DA25" s="154"/>
    </row>
    <row r="26" spans="1:105" ht="357.5">
      <c r="A26" s="45">
        <v>46234</v>
      </c>
      <c r="B26" s="46" t="s">
        <v>305</v>
      </c>
      <c r="C26" s="5" t="s">
        <v>163</v>
      </c>
      <c r="D26" s="47">
        <v>7503057496312</v>
      </c>
      <c r="E26" s="48" t="s">
        <v>771</v>
      </c>
      <c r="F26" s="49" t="s">
        <v>772</v>
      </c>
      <c r="G26" s="50" t="s">
        <v>60</v>
      </c>
      <c r="H26" s="51" t="s">
        <v>767</v>
      </c>
      <c r="I26" s="51" t="s">
        <v>689</v>
      </c>
      <c r="J26" s="49" t="s">
        <v>309</v>
      </c>
      <c r="K26" s="52">
        <v>1</v>
      </c>
      <c r="L26" s="511" t="s">
        <v>773</v>
      </c>
      <c r="M26" s="51"/>
      <c r="N26" s="53" t="s">
        <v>774</v>
      </c>
      <c r="O26" s="51"/>
      <c r="P26" s="49" t="s">
        <v>692</v>
      </c>
      <c r="Q26" s="49" t="s">
        <v>692</v>
      </c>
      <c r="R26" s="51" t="s">
        <v>692</v>
      </c>
      <c r="S26" s="51" t="s">
        <v>692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775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506</v>
      </c>
      <c r="AL26" s="51" t="s">
        <v>134</v>
      </c>
      <c r="AM26" s="62">
        <v>12</v>
      </c>
      <c r="AN26" s="19">
        <v>48</v>
      </c>
      <c r="AO26" s="203" t="s">
        <v>735</v>
      </c>
      <c r="AP26" s="205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1"/>
        <v>7</v>
      </c>
      <c r="BL26" s="4">
        <f t="shared" si="12"/>
        <v>0.77777777777777779</v>
      </c>
      <c r="BM26" s="172"/>
      <c r="BN26" s="172"/>
      <c r="BO26" s="172"/>
      <c r="BP26" s="172"/>
      <c r="BQ26" s="172"/>
      <c r="BR26" s="171" t="str">
        <f t="shared" si="14"/>
        <v>En produccion</v>
      </c>
      <c r="BS26" s="166">
        <f t="shared" si="15"/>
        <v>46284</v>
      </c>
      <c r="BT26" s="161" t="s">
        <v>170</v>
      </c>
      <c r="CJ26" s="161"/>
      <c r="CK26" s="161"/>
      <c r="CL26" s="161"/>
      <c r="CM26" s="161"/>
      <c r="CN26" s="161"/>
      <c r="CO26" s="161"/>
      <c r="CP26" s="155"/>
      <c r="CQ26" s="155"/>
      <c r="CR26" s="154"/>
      <c r="CS26" s="154"/>
      <c r="CT26" s="154"/>
      <c r="CU26" s="154"/>
      <c r="CV26" s="154"/>
      <c r="CW26" s="154"/>
      <c r="CX26" s="154"/>
      <c r="CY26" s="154"/>
      <c r="CZ26" s="154"/>
      <c r="DA26" s="154"/>
    </row>
    <row r="27" spans="1:105" ht="292.5">
      <c r="A27" s="45">
        <v>46234</v>
      </c>
      <c r="B27" s="46" t="s">
        <v>305</v>
      </c>
      <c r="C27" s="5" t="s">
        <v>163</v>
      </c>
      <c r="D27" s="47">
        <v>7503057496329</v>
      </c>
      <c r="E27" s="48" t="s">
        <v>776</v>
      </c>
      <c r="F27" s="49" t="s">
        <v>777</v>
      </c>
      <c r="G27" s="50" t="s">
        <v>60</v>
      </c>
      <c r="H27" s="51" t="s">
        <v>526</v>
      </c>
      <c r="I27" s="51" t="s">
        <v>689</v>
      </c>
      <c r="J27" s="49" t="s">
        <v>309</v>
      </c>
      <c r="K27" s="52">
        <v>1</v>
      </c>
      <c r="L27" s="49" t="s">
        <v>692</v>
      </c>
      <c r="M27" s="51"/>
      <c r="N27" s="49" t="s">
        <v>778</v>
      </c>
      <c r="O27" s="51"/>
      <c r="P27" s="49" t="s">
        <v>692</v>
      </c>
      <c r="Q27" s="49" t="s">
        <v>692</v>
      </c>
      <c r="R27" s="51" t="s">
        <v>692</v>
      </c>
      <c r="S27" s="51" t="s">
        <v>692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779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506</v>
      </c>
      <c r="AL27" s="51" t="s">
        <v>134</v>
      </c>
      <c r="AM27" s="62">
        <v>12</v>
      </c>
      <c r="AN27" s="19">
        <v>48</v>
      </c>
      <c r="AO27" s="203" t="s">
        <v>735</v>
      </c>
      <c r="AP27" s="205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1"/>
        <v>7</v>
      </c>
      <c r="BL27" s="4">
        <f t="shared" si="12"/>
        <v>0.77777777777777779</v>
      </c>
      <c r="BM27" s="172"/>
      <c r="BN27" s="172"/>
      <c r="BO27" s="172"/>
      <c r="BP27" s="172"/>
      <c r="BQ27" s="172"/>
      <c r="BR27" s="171" t="str">
        <f t="shared" si="14"/>
        <v>En produccion</v>
      </c>
      <c r="BS27" s="166">
        <f t="shared" si="15"/>
        <v>46293</v>
      </c>
      <c r="BT27" s="161" t="s">
        <v>170</v>
      </c>
      <c r="CJ27" s="161"/>
      <c r="CK27" s="161"/>
      <c r="CL27" s="161"/>
      <c r="CM27" s="161"/>
      <c r="CN27" s="161"/>
      <c r="CO27" s="161"/>
      <c r="CP27" s="155"/>
      <c r="CQ27" s="155"/>
      <c r="CR27" s="154"/>
      <c r="CS27" s="154"/>
      <c r="CT27" s="154"/>
      <c r="CU27" s="154"/>
      <c r="CV27" s="154"/>
      <c r="CW27" s="154"/>
      <c r="CX27" s="154"/>
      <c r="CY27" s="154"/>
      <c r="CZ27" s="154"/>
      <c r="DA27" s="154"/>
    </row>
    <row r="28" spans="1:105" ht="292.5">
      <c r="A28" s="45">
        <v>46234</v>
      </c>
      <c r="B28" s="46" t="s">
        <v>305</v>
      </c>
      <c r="C28" s="5" t="s">
        <v>163</v>
      </c>
      <c r="D28" s="47">
        <v>7503057496336</v>
      </c>
      <c r="E28" s="48" t="s">
        <v>780</v>
      </c>
      <c r="F28" s="49" t="s">
        <v>781</v>
      </c>
      <c r="G28" s="50" t="s">
        <v>60</v>
      </c>
      <c r="H28" s="51" t="s">
        <v>526</v>
      </c>
      <c r="I28" s="51" t="s">
        <v>689</v>
      </c>
      <c r="J28" s="49" t="s">
        <v>309</v>
      </c>
      <c r="K28" s="52">
        <v>1</v>
      </c>
      <c r="L28" s="49" t="s">
        <v>692</v>
      </c>
      <c r="M28" s="51"/>
      <c r="N28" s="49" t="s">
        <v>782</v>
      </c>
      <c r="O28" s="51"/>
      <c r="P28" s="49" t="s">
        <v>692</v>
      </c>
      <c r="Q28" s="49" t="s">
        <v>692</v>
      </c>
      <c r="R28" s="51" t="s">
        <v>692</v>
      </c>
      <c r="S28" s="51" t="s">
        <v>692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783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506</v>
      </c>
      <c r="AL28" s="51" t="s">
        <v>134</v>
      </c>
      <c r="AM28" s="62">
        <v>12</v>
      </c>
      <c r="AN28" s="19">
        <v>48</v>
      </c>
      <c r="AO28" s="203" t="s">
        <v>784</v>
      </c>
      <c r="AP28" s="205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1"/>
        <v>7</v>
      </c>
      <c r="BL28" s="4">
        <f t="shared" si="12"/>
        <v>0.77777777777777779</v>
      </c>
      <c r="BM28" s="172"/>
      <c r="BN28" s="172"/>
      <c r="BO28" s="172"/>
      <c r="BP28" s="172"/>
      <c r="BQ28" s="172"/>
      <c r="BR28" s="171" t="str">
        <f t="shared" si="14"/>
        <v>Pendiente de PP de sachets</v>
      </c>
      <c r="BS28" s="166">
        <f t="shared" si="15"/>
        <v>46312</v>
      </c>
      <c r="BT28" s="161" t="s">
        <v>70</v>
      </c>
      <c r="CJ28" s="161"/>
      <c r="CK28" s="161"/>
      <c r="CL28" s="161"/>
      <c r="CM28" s="161"/>
      <c r="CN28" s="161"/>
      <c r="CO28" s="161"/>
      <c r="CP28" s="155"/>
      <c r="CQ28" s="155"/>
      <c r="CR28" s="154"/>
      <c r="CS28" s="154"/>
      <c r="CT28" s="154"/>
      <c r="CU28" s="154"/>
      <c r="CV28" s="154"/>
      <c r="CW28" s="154"/>
      <c r="CX28" s="154"/>
      <c r="CY28" s="154"/>
      <c r="CZ28" s="154"/>
      <c r="DA28" s="154"/>
    </row>
    <row r="29" spans="1:105" ht="130">
      <c r="A29" s="45">
        <v>46234</v>
      </c>
      <c r="B29" s="46" t="s">
        <v>305</v>
      </c>
      <c r="C29" s="5" t="s">
        <v>163</v>
      </c>
      <c r="D29" s="47">
        <v>7503057496343</v>
      </c>
      <c r="E29" s="48" t="s">
        <v>785</v>
      </c>
      <c r="F29" s="49" t="s">
        <v>786</v>
      </c>
      <c r="G29" s="50" t="s">
        <v>60</v>
      </c>
      <c r="H29" s="51" t="s">
        <v>526</v>
      </c>
      <c r="I29" s="51" t="s">
        <v>689</v>
      </c>
      <c r="J29" s="49" t="s">
        <v>309</v>
      </c>
      <c r="K29" s="52">
        <v>1</v>
      </c>
      <c r="L29" s="49" t="s">
        <v>692</v>
      </c>
      <c r="M29" s="51"/>
      <c r="N29" s="49" t="s">
        <v>787</v>
      </c>
      <c r="O29" s="51"/>
      <c r="P29" s="49" t="s">
        <v>692</v>
      </c>
      <c r="Q29" s="49" t="s">
        <v>692</v>
      </c>
      <c r="R29" s="51" t="s">
        <v>692</v>
      </c>
      <c r="S29" s="51" t="s">
        <v>692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788</v>
      </c>
      <c r="AC29" s="57">
        <v>39</v>
      </c>
      <c r="AD29" s="58" t="s">
        <v>789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506</v>
      </c>
      <c r="AL29" s="51" t="s">
        <v>134</v>
      </c>
      <c r="AM29" s="62">
        <v>12</v>
      </c>
      <c r="AN29" s="19">
        <v>48</v>
      </c>
      <c r="AO29" s="203" t="s">
        <v>784</v>
      </c>
      <c r="AP29" s="205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1"/>
        <v>7</v>
      </c>
      <c r="BL29" s="4">
        <f t="shared" si="12"/>
        <v>0.77777777777777779</v>
      </c>
      <c r="BM29" s="172"/>
      <c r="BN29" s="172"/>
      <c r="BO29" s="172"/>
      <c r="BP29" s="172"/>
      <c r="BQ29" s="172"/>
      <c r="BR29" s="171" t="str">
        <f t="shared" si="14"/>
        <v>Pendiente de PP de sachets</v>
      </c>
      <c r="BS29" s="166">
        <f t="shared" si="15"/>
        <v>46300</v>
      </c>
      <c r="BT29" s="161" t="s">
        <v>70</v>
      </c>
      <c r="CJ29" s="161"/>
      <c r="CK29" s="161"/>
      <c r="CL29" s="161"/>
      <c r="CM29" s="161"/>
      <c r="CN29" s="161"/>
      <c r="CO29" s="161"/>
      <c r="CP29" s="155"/>
      <c r="CQ29" s="155"/>
      <c r="CR29" s="154"/>
      <c r="CS29" s="154"/>
      <c r="CT29" s="154"/>
      <c r="CU29" s="154"/>
      <c r="CV29" s="154"/>
      <c r="CW29" s="154"/>
      <c r="CX29" s="154"/>
      <c r="CY29" s="154"/>
      <c r="CZ29" s="154"/>
      <c r="DA29" s="154"/>
    </row>
    <row r="30" spans="1:105" ht="162.5">
      <c r="A30" s="45">
        <v>46234</v>
      </c>
      <c r="B30" s="46" t="s">
        <v>305</v>
      </c>
      <c r="C30" s="5" t="s">
        <v>163</v>
      </c>
      <c r="D30" s="47">
        <v>7503057496350</v>
      </c>
      <c r="E30" s="48" t="s">
        <v>790</v>
      </c>
      <c r="F30" s="49" t="s">
        <v>791</v>
      </c>
      <c r="G30" s="50" t="s">
        <v>60</v>
      </c>
      <c r="H30" s="51" t="s">
        <v>526</v>
      </c>
      <c r="I30" s="51" t="s">
        <v>689</v>
      </c>
      <c r="J30" s="49" t="s">
        <v>309</v>
      </c>
      <c r="K30" s="52">
        <v>1</v>
      </c>
      <c r="L30" s="49" t="s">
        <v>692</v>
      </c>
      <c r="M30" s="51"/>
      <c r="N30" s="53" t="s">
        <v>792</v>
      </c>
      <c r="O30" s="51"/>
      <c r="P30" s="49" t="s">
        <v>692</v>
      </c>
      <c r="Q30" s="49" t="s">
        <v>692</v>
      </c>
      <c r="R30" s="51" t="s">
        <v>692</v>
      </c>
      <c r="S30" s="51" t="s">
        <v>692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728</v>
      </c>
      <c r="AC30" s="57">
        <v>39</v>
      </c>
      <c r="AD30" s="53" t="s">
        <v>793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506</v>
      </c>
      <c r="AL30" s="51" t="s">
        <v>134</v>
      </c>
      <c r="AM30" s="62">
        <v>12</v>
      </c>
      <c r="AN30" s="19">
        <v>48</v>
      </c>
      <c r="AO30" s="203" t="s">
        <v>735</v>
      </c>
      <c r="AP30" s="205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1"/>
        <v>7</v>
      </c>
      <c r="BL30" s="4">
        <f t="shared" si="12"/>
        <v>0.77777777777777779</v>
      </c>
      <c r="BM30" s="172"/>
      <c r="BN30" s="172"/>
      <c r="BO30" s="172"/>
      <c r="BP30" s="172"/>
      <c r="BQ30" s="172"/>
      <c r="BR30" s="171" t="str">
        <f t="shared" si="14"/>
        <v>En produccion</v>
      </c>
      <c r="BS30" s="166">
        <f t="shared" si="15"/>
        <v>46293</v>
      </c>
      <c r="BT30" s="161" t="s">
        <v>170</v>
      </c>
      <c r="CJ30" s="161"/>
      <c r="CK30" s="161"/>
      <c r="CL30" s="161"/>
      <c r="CM30" s="161"/>
      <c r="CN30" s="161"/>
      <c r="CO30" s="161"/>
      <c r="CP30" s="155"/>
      <c r="CQ30" s="155"/>
      <c r="CR30" s="154"/>
      <c r="CS30" s="154"/>
      <c r="CT30" s="154"/>
      <c r="CU30" s="154"/>
      <c r="CV30" s="154"/>
      <c r="CW30" s="154"/>
      <c r="CX30" s="154"/>
      <c r="CY30" s="154"/>
      <c r="CZ30" s="154"/>
      <c r="DA30" s="154"/>
    </row>
    <row r="31" spans="1:105" ht="162.5">
      <c r="A31" s="45">
        <v>46234</v>
      </c>
      <c r="B31" s="46" t="s">
        <v>305</v>
      </c>
      <c r="C31" s="5" t="s">
        <v>163</v>
      </c>
      <c r="D31" s="47">
        <v>7503057496367</v>
      </c>
      <c r="E31" s="48" t="s">
        <v>794</v>
      </c>
      <c r="F31" s="49" t="s">
        <v>795</v>
      </c>
      <c r="G31" s="50" t="s">
        <v>60</v>
      </c>
      <c r="H31" s="51" t="s">
        <v>526</v>
      </c>
      <c r="I31" s="51" t="s">
        <v>689</v>
      </c>
      <c r="J31" s="49" t="s">
        <v>309</v>
      </c>
      <c r="K31" s="52">
        <v>1</v>
      </c>
      <c r="L31" s="512" t="s">
        <v>692</v>
      </c>
      <c r="M31" s="51"/>
      <c r="N31" s="53" t="s">
        <v>796</v>
      </c>
      <c r="O31" s="51"/>
      <c r="P31" s="49" t="s">
        <v>692</v>
      </c>
      <c r="Q31" s="49" t="s">
        <v>692</v>
      </c>
      <c r="R31" s="51" t="s">
        <v>692</v>
      </c>
      <c r="S31" s="51" t="s">
        <v>692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797</v>
      </c>
      <c r="AC31" s="57">
        <v>39</v>
      </c>
      <c r="AD31" s="58" t="s">
        <v>798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506</v>
      </c>
      <c r="AL31" s="51" t="s">
        <v>134</v>
      </c>
      <c r="AM31" s="62">
        <v>12</v>
      </c>
      <c r="AN31" s="19">
        <v>48</v>
      </c>
      <c r="AO31" s="203" t="s">
        <v>735</v>
      </c>
      <c r="AP31" s="205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1"/>
        <v>7</v>
      </c>
      <c r="BL31" s="4">
        <f t="shared" si="12"/>
        <v>0.77777777777777779</v>
      </c>
      <c r="BM31" s="172"/>
      <c r="BN31" s="172"/>
      <c r="BO31" s="172"/>
      <c r="BP31" s="172"/>
      <c r="BQ31" s="172"/>
      <c r="BR31" s="171" t="str">
        <f t="shared" si="14"/>
        <v>En produccion</v>
      </c>
      <c r="BS31" s="166">
        <f t="shared" si="15"/>
        <v>46293</v>
      </c>
      <c r="BT31" s="161" t="s">
        <v>170</v>
      </c>
      <c r="CJ31" s="161"/>
      <c r="CK31" s="161"/>
      <c r="CL31" s="161"/>
      <c r="CM31" s="161"/>
      <c r="CN31" s="161"/>
      <c r="CO31" s="161"/>
      <c r="CP31" s="155"/>
      <c r="CQ31" s="155"/>
      <c r="CR31" s="154"/>
      <c r="CS31" s="154"/>
      <c r="CT31" s="154"/>
      <c r="CU31" s="154"/>
      <c r="CV31" s="154"/>
      <c r="CW31" s="154"/>
      <c r="CX31" s="154"/>
      <c r="CY31" s="154"/>
      <c r="CZ31" s="154"/>
      <c r="DA31" s="154"/>
    </row>
    <row r="32" spans="1:105" ht="357.5">
      <c r="A32" s="45">
        <v>46234</v>
      </c>
      <c r="B32" s="46" t="s">
        <v>305</v>
      </c>
      <c r="C32" s="5" t="s">
        <v>163</v>
      </c>
      <c r="D32" s="47">
        <v>7503057496374</v>
      </c>
      <c r="E32" s="48" t="s">
        <v>799</v>
      </c>
      <c r="F32" s="49" t="s">
        <v>800</v>
      </c>
      <c r="G32" s="50"/>
      <c r="H32" s="51" t="s">
        <v>510</v>
      </c>
      <c r="I32" s="51" t="s">
        <v>689</v>
      </c>
      <c r="J32" s="49" t="s">
        <v>309</v>
      </c>
      <c r="K32" s="52">
        <v>1</v>
      </c>
      <c r="L32" s="512" t="s">
        <v>801</v>
      </c>
      <c r="M32" s="51"/>
      <c r="N32" s="53" t="s">
        <v>802</v>
      </c>
      <c r="O32" s="51"/>
      <c r="P32" s="49" t="s">
        <v>692</v>
      </c>
      <c r="Q32" s="49" t="s">
        <v>692</v>
      </c>
      <c r="R32" s="51" t="s">
        <v>692</v>
      </c>
      <c r="S32" s="51" t="s">
        <v>692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759</v>
      </c>
      <c r="AC32" s="57">
        <v>119</v>
      </c>
      <c r="AD32" s="58" t="s">
        <v>803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506</v>
      </c>
      <c r="AL32" s="51" t="s">
        <v>134</v>
      </c>
      <c r="AM32" s="62">
        <v>6</v>
      </c>
      <c r="AN32" s="19">
        <f>+AM32*12</f>
        <v>72</v>
      </c>
      <c r="AO32" s="203" t="s">
        <v>804</v>
      </c>
      <c r="AP32" s="205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1"/>
        <v>7</v>
      </c>
      <c r="BL32" s="4">
        <f t="shared" si="12"/>
        <v>0.77777777777777779</v>
      </c>
      <c r="BM32" s="172"/>
      <c r="BN32" s="172"/>
      <c r="BO32" s="172"/>
      <c r="BP32" s="172"/>
      <c r="BQ32" s="172"/>
      <c r="BR32" s="171" t="str">
        <f t="shared" si="14"/>
        <v>Pendiente aprobación de SERUMS en el contrato
Se pasaron fotos de PP</v>
      </c>
      <c r="BS32" s="166">
        <f t="shared" si="15"/>
        <v>0</v>
      </c>
      <c r="BT32" s="161" t="s">
        <v>689</v>
      </c>
      <c r="CJ32" s="161"/>
      <c r="CK32" s="161"/>
      <c r="CL32" s="161"/>
      <c r="CM32" s="161"/>
      <c r="CN32" s="161"/>
      <c r="CO32" s="161"/>
      <c r="CP32" s="155"/>
      <c r="CQ32" s="155"/>
      <c r="CR32" s="154"/>
      <c r="CS32" s="154"/>
      <c r="CT32" s="154"/>
      <c r="CU32" s="154"/>
      <c r="CV32" s="154"/>
      <c r="CW32" s="154"/>
      <c r="CX32" s="154"/>
      <c r="CY32" s="154"/>
      <c r="CZ32" s="154"/>
      <c r="DA32" s="154"/>
    </row>
    <row r="33" spans="1:105" ht="227.5">
      <c r="A33" s="45">
        <v>46234</v>
      </c>
      <c r="B33" s="46" t="s">
        <v>305</v>
      </c>
      <c r="C33" s="5" t="s">
        <v>163</v>
      </c>
      <c r="D33" s="47">
        <v>7503057496381</v>
      </c>
      <c r="E33" s="48" t="s">
        <v>805</v>
      </c>
      <c r="F33" s="49" t="s">
        <v>806</v>
      </c>
      <c r="G33" s="70"/>
      <c r="H33" s="51" t="s">
        <v>510</v>
      </c>
      <c r="I33" s="51" t="s">
        <v>689</v>
      </c>
      <c r="J33" s="49" t="s">
        <v>309</v>
      </c>
      <c r="K33" s="52">
        <v>1</v>
      </c>
      <c r="L33" s="512" t="s">
        <v>801</v>
      </c>
      <c r="M33" s="51"/>
      <c r="N33" s="53" t="s">
        <v>807</v>
      </c>
      <c r="O33" s="51"/>
      <c r="P33" s="49" t="s">
        <v>692</v>
      </c>
      <c r="Q33" s="49" t="s">
        <v>692</v>
      </c>
      <c r="R33" s="51" t="s">
        <v>692</v>
      </c>
      <c r="S33" s="51" t="s">
        <v>692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808</v>
      </c>
      <c r="AC33" s="57">
        <v>135</v>
      </c>
      <c r="AD33" s="58" t="s">
        <v>809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506</v>
      </c>
      <c r="AL33" s="51" t="s">
        <v>134</v>
      </c>
      <c r="AM33" s="62">
        <v>6</v>
      </c>
      <c r="AN33" s="19">
        <f>+AM33*12</f>
        <v>72</v>
      </c>
      <c r="AO33" s="203" t="s">
        <v>804</v>
      </c>
      <c r="AP33" s="202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1"/>
        <v>7</v>
      </c>
      <c r="BL33" s="4">
        <f t="shared" si="12"/>
        <v>0.77777777777777779</v>
      </c>
      <c r="BM33" s="172"/>
      <c r="BN33" s="172"/>
      <c r="BO33" s="172"/>
      <c r="BP33" s="172"/>
      <c r="BQ33" s="172"/>
      <c r="BR33" s="171" t="str">
        <f t="shared" si="14"/>
        <v>Pendiente aprobación de SERUMS en el contrato
Se pasaron fotos de PP</v>
      </c>
      <c r="BS33" s="166">
        <f t="shared" si="15"/>
        <v>0</v>
      </c>
      <c r="BT33" s="161" t="s">
        <v>689</v>
      </c>
      <c r="CJ33" s="161"/>
      <c r="CK33" s="161"/>
      <c r="CL33" s="161"/>
      <c r="CM33" s="161"/>
      <c r="CN33" s="161"/>
      <c r="CO33" s="161"/>
      <c r="CP33" s="155"/>
      <c r="CQ33" s="155"/>
      <c r="CR33" s="154"/>
      <c r="CS33" s="154"/>
      <c r="CT33" s="154"/>
      <c r="CU33" s="154"/>
      <c r="CV33" s="154"/>
      <c r="CW33" s="154"/>
      <c r="CX33" s="154"/>
      <c r="CY33" s="154"/>
      <c r="CZ33" s="154"/>
      <c r="DA33" s="154"/>
    </row>
    <row r="34" spans="1:105" ht="409.6" customHeight="1">
      <c r="A34" s="45">
        <v>46234</v>
      </c>
      <c r="B34" s="46" t="s">
        <v>305</v>
      </c>
      <c r="C34" s="5" t="s">
        <v>163</v>
      </c>
      <c r="D34" s="47">
        <v>7503057496398</v>
      </c>
      <c r="E34" s="48" t="s">
        <v>810</v>
      </c>
      <c r="F34" s="49" t="s">
        <v>811</v>
      </c>
      <c r="G34" s="50" t="s">
        <v>60</v>
      </c>
      <c r="H34" s="71" t="s">
        <v>812</v>
      </c>
      <c r="I34" s="56" t="s">
        <v>689</v>
      </c>
      <c r="J34" s="49" t="s">
        <v>309</v>
      </c>
      <c r="K34" s="52">
        <v>1</v>
      </c>
      <c r="L34" s="525" t="s">
        <v>813</v>
      </c>
      <c r="M34" s="51"/>
      <c r="N34" s="49" t="s">
        <v>814</v>
      </c>
      <c r="O34" s="51"/>
      <c r="P34" s="72" t="s">
        <v>815</v>
      </c>
      <c r="Q34" s="49" t="s">
        <v>816</v>
      </c>
      <c r="R34" s="73" t="s">
        <v>60</v>
      </c>
      <c r="S34" s="49" t="s">
        <v>817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797</v>
      </c>
      <c r="AC34" s="57">
        <v>199</v>
      </c>
      <c r="AD34" s="58" t="s">
        <v>818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819</v>
      </c>
      <c r="AL34" s="51" t="s">
        <v>134</v>
      </c>
      <c r="AM34" s="62">
        <v>6</v>
      </c>
      <c r="AN34" s="19">
        <f t="shared" ref="AN34:AN43" si="18">+AM34*24</f>
        <v>144</v>
      </c>
      <c r="AO34" s="203" t="s">
        <v>820</v>
      </c>
      <c r="AP34" s="205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1"/>
        <v>7</v>
      </c>
      <c r="BL34" s="4">
        <f t="shared" si="12"/>
        <v>0.77777777777777779</v>
      </c>
      <c r="BM34" s="172"/>
      <c r="BN34" s="172"/>
      <c r="BO34" s="172"/>
      <c r="BP34" s="172"/>
      <c r="BQ34" s="172"/>
      <c r="BR34" s="171" t="str">
        <f t="shared" si="14"/>
        <v>Todo ok por licencia. En producción.
Termina aprox 27/jun</v>
      </c>
      <c r="BS34" s="166">
        <f t="shared" si="15"/>
        <v>46296</v>
      </c>
      <c r="BT34" s="161" t="s">
        <v>170</v>
      </c>
      <c r="CJ34" s="161"/>
      <c r="CK34" s="161"/>
      <c r="CL34" s="161"/>
      <c r="CM34" s="161"/>
      <c r="CN34" s="161"/>
      <c r="CO34" s="161"/>
      <c r="CP34" s="155"/>
      <c r="CQ34" s="155"/>
      <c r="CR34" s="154"/>
      <c r="CS34" s="154"/>
      <c r="CT34" s="154"/>
      <c r="CU34" s="154"/>
      <c r="CV34" s="154"/>
      <c r="CW34" s="154"/>
      <c r="CX34" s="154"/>
      <c r="CY34" s="154"/>
      <c r="CZ34" s="154"/>
      <c r="DA34" s="154"/>
    </row>
    <row r="35" spans="1:105" ht="292.5">
      <c r="A35" s="45">
        <v>46234</v>
      </c>
      <c r="B35" s="46" t="s">
        <v>305</v>
      </c>
      <c r="C35" s="5" t="s">
        <v>163</v>
      </c>
      <c r="D35" s="47">
        <v>7503057496404</v>
      </c>
      <c r="E35" s="48" t="s">
        <v>821</v>
      </c>
      <c r="F35" s="49" t="s">
        <v>822</v>
      </c>
      <c r="G35" s="50" t="s">
        <v>60</v>
      </c>
      <c r="H35" s="71" t="s">
        <v>812</v>
      </c>
      <c r="I35" s="56" t="s">
        <v>689</v>
      </c>
      <c r="J35" s="49" t="s">
        <v>309</v>
      </c>
      <c r="K35" s="52">
        <v>1</v>
      </c>
      <c r="L35" s="525"/>
      <c r="M35" s="51"/>
      <c r="N35" s="49" t="s">
        <v>823</v>
      </c>
      <c r="O35" s="51"/>
      <c r="P35" s="512" t="s">
        <v>824</v>
      </c>
      <c r="Q35" s="49" t="s">
        <v>825</v>
      </c>
      <c r="R35" s="49" t="s">
        <v>60</v>
      </c>
      <c r="S35" s="49" t="s">
        <v>817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797</v>
      </c>
      <c r="AC35" s="57">
        <v>199</v>
      </c>
      <c r="AD35" s="58" t="s">
        <v>818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819</v>
      </c>
      <c r="AL35" s="51" t="s">
        <v>134</v>
      </c>
      <c r="AM35" s="62">
        <v>6</v>
      </c>
      <c r="AN35" s="19">
        <f t="shared" si="18"/>
        <v>144</v>
      </c>
      <c r="AO35" s="203" t="s">
        <v>820</v>
      </c>
      <c r="AP35" s="205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1"/>
        <v>7</v>
      </c>
      <c r="BL35" s="4">
        <f t="shared" si="12"/>
        <v>0.77777777777777779</v>
      </c>
      <c r="BM35" s="172"/>
      <c r="BN35" s="172"/>
      <c r="BO35" s="172"/>
      <c r="BP35" s="172"/>
      <c r="BQ35" s="172"/>
      <c r="BR35" s="171" t="str">
        <f t="shared" si="14"/>
        <v>Todo ok por licencia. En producción.
Termina aprox 27/jun</v>
      </c>
      <c r="BS35" s="166">
        <f t="shared" si="15"/>
        <v>46296</v>
      </c>
      <c r="BT35" s="161" t="s">
        <v>170</v>
      </c>
      <c r="CJ35" s="161"/>
      <c r="CK35" s="161"/>
      <c r="CL35" s="161"/>
      <c r="CM35" s="161"/>
      <c r="CN35" s="161"/>
      <c r="CO35" s="161"/>
      <c r="CP35" s="155"/>
      <c r="CQ35" s="155"/>
      <c r="CR35" s="154"/>
      <c r="CS35" s="154"/>
      <c r="CT35" s="154"/>
      <c r="CU35" s="154"/>
      <c r="CV35" s="154"/>
      <c r="CW35" s="154"/>
      <c r="CX35" s="154"/>
      <c r="CY35" s="154"/>
      <c r="CZ35" s="154"/>
      <c r="DA35" s="154"/>
    </row>
    <row r="36" spans="1:105" ht="292.5">
      <c r="A36" s="45">
        <v>46234</v>
      </c>
      <c r="B36" s="46" t="s">
        <v>305</v>
      </c>
      <c r="C36" s="5" t="s">
        <v>163</v>
      </c>
      <c r="D36" s="47">
        <v>7503057496411</v>
      </c>
      <c r="E36" s="48" t="s">
        <v>826</v>
      </c>
      <c r="F36" s="49" t="s">
        <v>827</v>
      </c>
      <c r="G36" s="50" t="s">
        <v>60</v>
      </c>
      <c r="H36" s="71" t="s">
        <v>812</v>
      </c>
      <c r="I36" s="56" t="s">
        <v>689</v>
      </c>
      <c r="J36" s="49" t="s">
        <v>309</v>
      </c>
      <c r="K36" s="52">
        <v>1</v>
      </c>
      <c r="L36" s="525"/>
      <c r="M36" s="51"/>
      <c r="N36" s="49" t="s">
        <v>828</v>
      </c>
      <c r="O36" s="51"/>
      <c r="P36" s="512" t="s">
        <v>829</v>
      </c>
      <c r="Q36" s="49" t="s">
        <v>830</v>
      </c>
      <c r="R36" s="49" t="s">
        <v>60</v>
      </c>
      <c r="S36" s="49" t="s">
        <v>817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797</v>
      </c>
      <c r="AC36" s="57">
        <v>199</v>
      </c>
      <c r="AD36" s="58" t="s">
        <v>818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819</v>
      </c>
      <c r="AL36" s="51" t="s">
        <v>134</v>
      </c>
      <c r="AM36" s="62">
        <v>6</v>
      </c>
      <c r="AN36" s="19">
        <f t="shared" si="18"/>
        <v>144</v>
      </c>
      <c r="AO36" s="203" t="s">
        <v>820</v>
      </c>
      <c r="AP36" s="205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1"/>
        <v>7</v>
      </c>
      <c r="BL36" s="4">
        <f t="shared" si="12"/>
        <v>0.77777777777777779</v>
      </c>
      <c r="BM36" s="172"/>
      <c r="BN36" s="172"/>
      <c r="BO36" s="172"/>
      <c r="BP36" s="172"/>
      <c r="BQ36" s="172"/>
      <c r="BR36" s="171" t="str">
        <f t="shared" si="14"/>
        <v>Todo ok por licencia. En producción.
Termina aprox 27/jun</v>
      </c>
      <c r="BS36" s="166">
        <f t="shared" si="15"/>
        <v>46296</v>
      </c>
      <c r="BT36" s="161" t="s">
        <v>170</v>
      </c>
      <c r="CJ36" s="161"/>
      <c r="CK36" s="161"/>
      <c r="CL36" s="161"/>
      <c r="CM36" s="161"/>
      <c r="CN36" s="161"/>
      <c r="CO36" s="161"/>
      <c r="CP36" s="155"/>
      <c r="CQ36" s="155"/>
      <c r="CR36" s="154"/>
      <c r="CS36" s="154"/>
      <c r="CT36" s="154"/>
      <c r="CU36" s="154"/>
      <c r="CV36" s="154"/>
      <c r="CW36" s="154"/>
      <c r="CX36" s="154"/>
      <c r="CY36" s="154"/>
      <c r="CZ36" s="154"/>
      <c r="DA36" s="154"/>
    </row>
    <row r="37" spans="1:105" ht="292.5">
      <c r="A37" s="45">
        <v>46234</v>
      </c>
      <c r="B37" s="46" t="s">
        <v>305</v>
      </c>
      <c r="C37" s="5" t="s">
        <v>163</v>
      </c>
      <c r="D37" s="47">
        <v>7503057496428</v>
      </c>
      <c r="E37" s="48" t="s">
        <v>831</v>
      </c>
      <c r="F37" s="49" t="s">
        <v>832</v>
      </c>
      <c r="G37" s="50" t="s">
        <v>60</v>
      </c>
      <c r="H37" s="71" t="s">
        <v>812</v>
      </c>
      <c r="I37" s="56" t="s">
        <v>689</v>
      </c>
      <c r="J37" s="49" t="s">
        <v>309</v>
      </c>
      <c r="K37" s="52">
        <v>1</v>
      </c>
      <c r="L37" s="525"/>
      <c r="M37" s="51"/>
      <c r="N37" s="49" t="s">
        <v>833</v>
      </c>
      <c r="O37" s="51"/>
      <c r="P37" s="512" t="s">
        <v>834</v>
      </c>
      <c r="Q37" s="49" t="s">
        <v>835</v>
      </c>
      <c r="R37" s="49" t="s">
        <v>60</v>
      </c>
      <c r="S37" s="49" t="s">
        <v>817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797</v>
      </c>
      <c r="AC37" s="57">
        <v>199</v>
      </c>
      <c r="AD37" s="58" t="s">
        <v>818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819</v>
      </c>
      <c r="AL37" s="51" t="s">
        <v>134</v>
      </c>
      <c r="AM37" s="62">
        <v>6</v>
      </c>
      <c r="AN37" s="19">
        <f t="shared" si="18"/>
        <v>144</v>
      </c>
      <c r="AO37" s="203" t="s">
        <v>820</v>
      </c>
      <c r="AP37" s="205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1"/>
        <v>7</v>
      </c>
      <c r="BL37" s="4">
        <f t="shared" si="12"/>
        <v>0.77777777777777779</v>
      </c>
      <c r="BM37" s="172"/>
      <c r="BN37" s="172"/>
      <c r="BO37" s="172"/>
      <c r="BP37" s="172"/>
      <c r="BQ37" s="172"/>
      <c r="BR37" s="171" t="str">
        <f t="shared" si="14"/>
        <v>Todo ok por licencia. En producción.
Termina aprox 27/jun</v>
      </c>
      <c r="BS37" s="166">
        <f t="shared" si="15"/>
        <v>46296</v>
      </c>
      <c r="BT37" s="161" t="s">
        <v>170</v>
      </c>
      <c r="CJ37" s="161"/>
      <c r="CK37" s="161"/>
      <c r="CL37" s="161"/>
      <c r="CM37" s="161"/>
      <c r="CN37" s="161"/>
      <c r="CO37" s="161"/>
      <c r="CP37" s="155"/>
      <c r="CQ37" s="155"/>
      <c r="CR37" s="154"/>
      <c r="CS37" s="154"/>
      <c r="CT37" s="154"/>
      <c r="CU37" s="154"/>
      <c r="CV37" s="154"/>
      <c r="CW37" s="154"/>
      <c r="CX37" s="154"/>
      <c r="CY37" s="154"/>
      <c r="CZ37" s="154"/>
      <c r="DA37" s="154"/>
    </row>
    <row r="38" spans="1:105" ht="292.5">
      <c r="A38" s="45">
        <v>46234</v>
      </c>
      <c r="B38" s="46" t="s">
        <v>305</v>
      </c>
      <c r="C38" s="5" t="s">
        <v>163</v>
      </c>
      <c r="D38" s="47">
        <v>7503057496435</v>
      </c>
      <c r="E38" s="48" t="s">
        <v>836</v>
      </c>
      <c r="F38" s="49" t="s">
        <v>837</v>
      </c>
      <c r="G38" s="50" t="s">
        <v>60</v>
      </c>
      <c r="H38" s="71" t="s">
        <v>812</v>
      </c>
      <c r="I38" s="56" t="s">
        <v>689</v>
      </c>
      <c r="J38" s="49" t="s">
        <v>309</v>
      </c>
      <c r="K38" s="52">
        <v>1</v>
      </c>
      <c r="L38" s="525"/>
      <c r="M38" s="51"/>
      <c r="N38" s="49" t="s">
        <v>838</v>
      </c>
      <c r="O38" s="51"/>
      <c r="P38" s="512" t="s">
        <v>839</v>
      </c>
      <c r="Q38" s="49" t="s">
        <v>840</v>
      </c>
      <c r="R38" s="49" t="s">
        <v>60</v>
      </c>
      <c r="S38" s="49" t="s">
        <v>817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797</v>
      </c>
      <c r="AC38" s="57">
        <v>199</v>
      </c>
      <c r="AD38" s="58" t="s">
        <v>818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819</v>
      </c>
      <c r="AL38" s="51" t="s">
        <v>134</v>
      </c>
      <c r="AM38" s="62">
        <v>6</v>
      </c>
      <c r="AN38" s="19">
        <f t="shared" si="18"/>
        <v>144</v>
      </c>
      <c r="AO38" s="203" t="s">
        <v>820</v>
      </c>
      <c r="AP38" s="205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1"/>
        <v>7</v>
      </c>
      <c r="BL38" s="4">
        <f t="shared" si="12"/>
        <v>0.77777777777777779</v>
      </c>
      <c r="BM38" s="172"/>
      <c r="BN38" s="172"/>
      <c r="BO38" s="172"/>
      <c r="BP38" s="172"/>
      <c r="BQ38" s="172"/>
      <c r="BR38" s="171" t="str">
        <f t="shared" si="14"/>
        <v>Todo ok por licencia. En producción.
Termina aprox 27/jun</v>
      </c>
      <c r="BS38" s="166">
        <f t="shared" si="15"/>
        <v>46296</v>
      </c>
      <c r="BT38" s="161" t="s">
        <v>170</v>
      </c>
      <c r="CJ38" s="161"/>
      <c r="CK38" s="161"/>
      <c r="CL38" s="161"/>
      <c r="CM38" s="161"/>
      <c r="CN38" s="161"/>
      <c r="CO38" s="161"/>
      <c r="CP38" s="155"/>
      <c r="CQ38" s="155"/>
      <c r="CR38" s="154"/>
      <c r="CS38" s="154"/>
      <c r="CT38" s="154"/>
      <c r="CU38" s="154"/>
      <c r="CV38" s="154"/>
      <c r="CW38" s="154"/>
      <c r="CX38" s="154"/>
      <c r="CY38" s="154"/>
      <c r="CZ38" s="154"/>
      <c r="DA38" s="154"/>
    </row>
    <row r="39" spans="1:105" ht="292.5">
      <c r="A39" s="45">
        <v>46234</v>
      </c>
      <c r="B39" s="46" t="s">
        <v>305</v>
      </c>
      <c r="C39" s="5" t="s">
        <v>163</v>
      </c>
      <c r="D39" s="47">
        <v>7503057496442</v>
      </c>
      <c r="E39" s="48" t="s">
        <v>841</v>
      </c>
      <c r="F39" s="49" t="s">
        <v>842</v>
      </c>
      <c r="G39" s="50" t="s">
        <v>60</v>
      </c>
      <c r="H39" s="71" t="s">
        <v>812</v>
      </c>
      <c r="I39" s="56" t="s">
        <v>689</v>
      </c>
      <c r="J39" s="49" t="s">
        <v>309</v>
      </c>
      <c r="K39" s="52">
        <v>1</v>
      </c>
      <c r="L39" s="525"/>
      <c r="M39" s="51"/>
      <c r="N39" s="49" t="s">
        <v>843</v>
      </c>
      <c r="O39" s="51"/>
      <c r="P39" s="512" t="s">
        <v>844</v>
      </c>
      <c r="Q39" s="49" t="s">
        <v>845</v>
      </c>
      <c r="R39" s="49" t="s">
        <v>60</v>
      </c>
      <c r="S39" s="49" t="s">
        <v>817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797</v>
      </c>
      <c r="AC39" s="57">
        <v>199</v>
      </c>
      <c r="AD39" s="58" t="s">
        <v>818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819</v>
      </c>
      <c r="AL39" s="51" t="s">
        <v>134</v>
      </c>
      <c r="AM39" s="62">
        <v>6</v>
      </c>
      <c r="AN39" s="19">
        <f t="shared" si="18"/>
        <v>144</v>
      </c>
      <c r="AO39" s="203" t="s">
        <v>820</v>
      </c>
      <c r="AP39" s="205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1"/>
        <v>7</v>
      </c>
      <c r="BL39" s="4">
        <f t="shared" si="12"/>
        <v>0.77777777777777779</v>
      </c>
      <c r="BM39" s="172"/>
      <c r="BN39" s="172"/>
      <c r="BO39" s="172"/>
      <c r="BP39" s="172"/>
      <c r="BQ39" s="172"/>
      <c r="BR39" s="171" t="str">
        <f t="shared" si="14"/>
        <v>Todo ok por licencia. En producción.
Termina aprox 27/jun</v>
      </c>
      <c r="BS39" s="166">
        <f t="shared" si="15"/>
        <v>46296</v>
      </c>
      <c r="BT39" s="161" t="s">
        <v>170</v>
      </c>
      <c r="CJ39" s="161"/>
      <c r="CK39" s="161"/>
      <c r="CL39" s="161"/>
      <c r="CM39" s="161"/>
      <c r="CN39" s="161"/>
      <c r="CO39" s="161"/>
      <c r="CP39" s="155"/>
      <c r="CQ39" s="155"/>
      <c r="CR39" s="154"/>
      <c r="CS39" s="154"/>
      <c r="CT39" s="154"/>
      <c r="CU39" s="154"/>
      <c r="CV39" s="154"/>
      <c r="CW39" s="154"/>
      <c r="CX39" s="154"/>
      <c r="CY39" s="154"/>
      <c r="CZ39" s="154"/>
      <c r="DA39" s="154"/>
    </row>
    <row r="40" spans="1:105" ht="409.6" customHeight="1">
      <c r="A40" s="45">
        <v>46234</v>
      </c>
      <c r="B40" s="46" t="s">
        <v>305</v>
      </c>
      <c r="C40" s="5" t="s">
        <v>163</v>
      </c>
      <c r="D40" s="47">
        <v>7503057496459</v>
      </c>
      <c r="E40" s="48" t="s">
        <v>846</v>
      </c>
      <c r="F40" s="49" t="s">
        <v>847</v>
      </c>
      <c r="G40" s="50" t="s">
        <v>60</v>
      </c>
      <c r="H40" s="71" t="s">
        <v>812</v>
      </c>
      <c r="I40" s="56" t="s">
        <v>689</v>
      </c>
      <c r="J40" s="49" t="s">
        <v>309</v>
      </c>
      <c r="K40" s="52">
        <v>1</v>
      </c>
      <c r="L40" s="525" t="s">
        <v>813</v>
      </c>
      <c r="M40" s="51"/>
      <c r="N40" s="74"/>
      <c r="O40" s="51"/>
      <c r="P40" s="511" t="s">
        <v>848</v>
      </c>
      <c r="Q40" s="49" t="s">
        <v>849</v>
      </c>
      <c r="R40" s="51" t="s">
        <v>60</v>
      </c>
      <c r="S40" s="49" t="s">
        <v>850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797</v>
      </c>
      <c r="AC40" s="57">
        <v>199</v>
      </c>
      <c r="AD40" s="58" t="s">
        <v>851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819</v>
      </c>
      <c r="AL40" s="51" t="s">
        <v>134</v>
      </c>
      <c r="AM40" s="62">
        <v>6</v>
      </c>
      <c r="AN40" s="19">
        <f t="shared" si="18"/>
        <v>144</v>
      </c>
      <c r="AO40" s="203" t="s">
        <v>820</v>
      </c>
      <c r="AP40" s="205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1"/>
        <v>7</v>
      </c>
      <c r="BL40" s="4">
        <f t="shared" si="12"/>
        <v>0.77777777777777779</v>
      </c>
      <c r="BM40" s="172"/>
      <c r="BN40" s="172"/>
      <c r="BO40" s="172"/>
      <c r="BP40" s="172"/>
      <c r="BQ40" s="172"/>
      <c r="BR40" s="171" t="str">
        <f t="shared" si="14"/>
        <v>Todo ok por licencia. En producción.
Termina aprox 27/jun</v>
      </c>
      <c r="BS40" s="166">
        <f t="shared" si="15"/>
        <v>46296</v>
      </c>
      <c r="BT40" s="161" t="s">
        <v>170</v>
      </c>
      <c r="CJ40" s="161"/>
      <c r="CK40" s="161"/>
      <c r="CL40" s="161"/>
      <c r="CM40" s="161"/>
      <c r="CN40" s="161"/>
      <c r="CO40" s="161"/>
      <c r="CP40" s="155"/>
      <c r="CQ40" s="155"/>
      <c r="CR40" s="154"/>
      <c r="CS40" s="154"/>
      <c r="CT40" s="154"/>
      <c r="CU40" s="154"/>
      <c r="CV40" s="154"/>
      <c r="CW40" s="154"/>
      <c r="CX40" s="154"/>
      <c r="CY40" s="154"/>
      <c r="CZ40" s="154"/>
      <c r="DA40" s="154"/>
    </row>
    <row r="41" spans="1:105" ht="409.5">
      <c r="A41" s="45">
        <v>46234</v>
      </c>
      <c r="B41" s="46" t="s">
        <v>305</v>
      </c>
      <c r="C41" s="5" t="s">
        <v>163</v>
      </c>
      <c r="D41" s="47">
        <v>7503057496466</v>
      </c>
      <c r="E41" s="48" t="s">
        <v>852</v>
      </c>
      <c r="F41" s="49" t="s">
        <v>853</v>
      </c>
      <c r="G41" s="50" t="s">
        <v>60</v>
      </c>
      <c r="H41" s="71" t="s">
        <v>812</v>
      </c>
      <c r="I41" s="56" t="s">
        <v>689</v>
      </c>
      <c r="J41" s="49" t="s">
        <v>309</v>
      </c>
      <c r="K41" s="52">
        <v>1</v>
      </c>
      <c r="L41" s="525"/>
      <c r="M41" s="51"/>
      <c r="N41" s="49" t="s">
        <v>854</v>
      </c>
      <c r="O41" s="51"/>
      <c r="P41" s="511" t="s">
        <v>855</v>
      </c>
      <c r="Q41" s="49" t="s">
        <v>856</v>
      </c>
      <c r="R41" s="51" t="s">
        <v>60</v>
      </c>
      <c r="S41" s="49" t="s">
        <v>850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797</v>
      </c>
      <c r="AC41" s="57">
        <v>199</v>
      </c>
      <c r="AD41" s="58" t="s">
        <v>851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819</v>
      </c>
      <c r="AL41" s="51" t="s">
        <v>134</v>
      </c>
      <c r="AM41" s="62">
        <v>6</v>
      </c>
      <c r="AN41" s="19">
        <f t="shared" si="18"/>
        <v>144</v>
      </c>
      <c r="AO41" s="203" t="s">
        <v>820</v>
      </c>
      <c r="AP41" s="205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1"/>
        <v>7</v>
      </c>
      <c r="BL41" s="4">
        <f t="shared" si="12"/>
        <v>0.77777777777777779</v>
      </c>
      <c r="BM41" s="172"/>
      <c r="BN41" s="172"/>
      <c r="BO41" s="172"/>
      <c r="BP41" s="172"/>
      <c r="BQ41" s="172"/>
      <c r="BR41" s="171" t="str">
        <f t="shared" si="14"/>
        <v>Todo ok por licencia. En producción.
Termina aprox 27/jun</v>
      </c>
      <c r="BS41" s="166">
        <f t="shared" si="15"/>
        <v>46296</v>
      </c>
      <c r="BT41" s="161" t="s">
        <v>170</v>
      </c>
      <c r="CJ41" s="161"/>
      <c r="CK41" s="161"/>
      <c r="CL41" s="161"/>
      <c r="CM41" s="161"/>
      <c r="CN41" s="161"/>
      <c r="CO41" s="161"/>
      <c r="CP41" s="155"/>
      <c r="CQ41" s="155"/>
      <c r="CR41" s="154"/>
      <c r="CS41" s="154"/>
      <c r="CT41" s="154"/>
      <c r="CU41" s="154"/>
      <c r="CV41" s="154"/>
      <c r="CW41" s="154"/>
      <c r="CX41" s="154"/>
      <c r="CY41" s="154"/>
      <c r="CZ41" s="154"/>
      <c r="DA41" s="154"/>
    </row>
    <row r="42" spans="1:105" ht="409.5">
      <c r="A42" s="45">
        <v>46234</v>
      </c>
      <c r="B42" s="46" t="s">
        <v>305</v>
      </c>
      <c r="C42" s="5" t="s">
        <v>163</v>
      </c>
      <c r="D42" s="47">
        <v>7503057496473</v>
      </c>
      <c r="E42" s="48" t="s">
        <v>857</v>
      </c>
      <c r="F42" s="49" t="s">
        <v>858</v>
      </c>
      <c r="G42" s="50" t="s">
        <v>60</v>
      </c>
      <c r="H42" s="71" t="s">
        <v>812</v>
      </c>
      <c r="I42" s="56" t="s">
        <v>689</v>
      </c>
      <c r="J42" s="49" t="s">
        <v>309</v>
      </c>
      <c r="K42" s="52">
        <v>1</v>
      </c>
      <c r="L42" s="525"/>
      <c r="M42" s="51"/>
      <c r="N42" s="49" t="s">
        <v>859</v>
      </c>
      <c r="O42" s="51"/>
      <c r="P42" s="511" t="s">
        <v>860</v>
      </c>
      <c r="Q42" s="49" t="s">
        <v>861</v>
      </c>
      <c r="R42" s="51" t="s">
        <v>60</v>
      </c>
      <c r="S42" s="49" t="s">
        <v>850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797</v>
      </c>
      <c r="AC42" s="57">
        <v>199</v>
      </c>
      <c r="AD42" s="58" t="s">
        <v>851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819</v>
      </c>
      <c r="AL42" s="51" t="s">
        <v>134</v>
      </c>
      <c r="AM42" s="62">
        <v>6</v>
      </c>
      <c r="AN42" s="19">
        <f t="shared" si="18"/>
        <v>144</v>
      </c>
      <c r="AO42" s="203" t="s">
        <v>820</v>
      </c>
      <c r="AP42" s="205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1"/>
        <v>7</v>
      </c>
      <c r="BL42" s="4">
        <f t="shared" si="12"/>
        <v>0.77777777777777779</v>
      </c>
      <c r="BM42" s="172"/>
      <c r="BN42" s="172"/>
      <c r="BO42" s="172"/>
      <c r="BP42" s="172"/>
      <c r="BQ42" s="172"/>
      <c r="BR42" s="171" t="str">
        <f t="shared" si="14"/>
        <v>Todo ok por licencia. En producción.
Termina aprox 27/jun</v>
      </c>
      <c r="BS42" s="166">
        <f t="shared" si="15"/>
        <v>46296</v>
      </c>
      <c r="BT42" s="161" t="s">
        <v>170</v>
      </c>
      <c r="CJ42" s="161"/>
      <c r="CK42" s="161"/>
      <c r="CL42" s="161"/>
      <c r="CM42" s="161"/>
      <c r="CN42" s="161"/>
      <c r="CO42" s="161"/>
      <c r="CP42" s="155"/>
      <c r="CQ42" s="155"/>
      <c r="CR42" s="154"/>
      <c r="CS42" s="154"/>
      <c r="CT42" s="154"/>
      <c r="CU42" s="154"/>
      <c r="CV42" s="154"/>
      <c r="CW42" s="154"/>
      <c r="CX42" s="154"/>
      <c r="CY42" s="154"/>
      <c r="CZ42" s="154"/>
      <c r="DA42" s="154"/>
    </row>
    <row r="43" spans="1:105" ht="409.5">
      <c r="A43" s="45">
        <v>46234</v>
      </c>
      <c r="B43" s="46" t="s">
        <v>305</v>
      </c>
      <c r="C43" s="5" t="s">
        <v>163</v>
      </c>
      <c r="D43" s="47">
        <v>7503057496480</v>
      </c>
      <c r="E43" s="48" t="s">
        <v>862</v>
      </c>
      <c r="F43" s="49" t="s">
        <v>863</v>
      </c>
      <c r="G43" s="50" t="s">
        <v>60</v>
      </c>
      <c r="H43" s="71" t="s">
        <v>812</v>
      </c>
      <c r="I43" s="56" t="s">
        <v>689</v>
      </c>
      <c r="J43" s="49" t="s">
        <v>309</v>
      </c>
      <c r="K43" s="52">
        <v>1</v>
      </c>
      <c r="L43" s="525"/>
      <c r="M43" s="51"/>
      <c r="N43" s="49" t="s">
        <v>864</v>
      </c>
      <c r="O43" s="51"/>
      <c r="P43" s="511" t="s">
        <v>865</v>
      </c>
      <c r="Q43" s="49" t="s">
        <v>866</v>
      </c>
      <c r="R43" s="51" t="s">
        <v>60</v>
      </c>
      <c r="S43" s="49" t="s">
        <v>850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797</v>
      </c>
      <c r="AC43" s="57">
        <v>199</v>
      </c>
      <c r="AD43" s="58" t="s">
        <v>851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819</v>
      </c>
      <c r="AL43" s="51" t="s">
        <v>134</v>
      </c>
      <c r="AM43" s="62">
        <v>6</v>
      </c>
      <c r="AN43" s="19">
        <f t="shared" si="18"/>
        <v>144</v>
      </c>
      <c r="AO43" s="203" t="s">
        <v>820</v>
      </c>
      <c r="AP43" s="205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1"/>
        <v>7</v>
      </c>
      <c r="BL43" s="4">
        <f t="shared" si="12"/>
        <v>0.77777777777777779</v>
      </c>
      <c r="BM43" s="172"/>
      <c r="BN43" s="172"/>
      <c r="BO43" s="172"/>
      <c r="BP43" s="172"/>
      <c r="BQ43" s="172"/>
      <c r="BR43" s="171" t="str">
        <f t="shared" si="14"/>
        <v>Todo ok por licencia. En producción.
Termina aprox 27/jun</v>
      </c>
      <c r="BS43" s="166">
        <f t="shared" si="15"/>
        <v>46296</v>
      </c>
      <c r="BT43" s="161" t="s">
        <v>170</v>
      </c>
      <c r="CJ43" s="161"/>
      <c r="CK43" s="161"/>
      <c r="CL43" s="161"/>
      <c r="CM43" s="161"/>
      <c r="CN43" s="161"/>
      <c r="CO43" s="161"/>
      <c r="CP43" s="155"/>
      <c r="CQ43" s="155"/>
      <c r="CR43" s="154"/>
      <c r="CS43" s="154"/>
      <c r="CT43" s="154"/>
      <c r="CU43" s="154"/>
      <c r="CV43" s="154"/>
      <c r="CW43" s="154"/>
      <c r="CX43" s="154"/>
      <c r="CY43" s="154"/>
      <c r="CZ43" s="154"/>
      <c r="DA43" s="154"/>
    </row>
    <row r="44" spans="1:105" ht="409.6" customHeight="1">
      <c r="A44" s="45">
        <v>46234</v>
      </c>
      <c r="B44" s="46" t="s">
        <v>250</v>
      </c>
      <c r="C44" s="5" t="s">
        <v>276</v>
      </c>
      <c r="D44" s="47">
        <v>7503057496497</v>
      </c>
      <c r="E44" s="48" t="s">
        <v>867</v>
      </c>
      <c r="F44" s="49" t="s">
        <v>868</v>
      </c>
      <c r="G44" s="50" t="s">
        <v>60</v>
      </c>
      <c r="H44" s="71" t="s">
        <v>869</v>
      </c>
      <c r="I44" s="56" t="s">
        <v>689</v>
      </c>
      <c r="J44" s="49" t="s">
        <v>309</v>
      </c>
      <c r="K44" s="52">
        <v>1</v>
      </c>
      <c r="L44" s="526" t="s">
        <v>870</v>
      </c>
      <c r="M44" s="51"/>
      <c r="N44" s="49" t="s">
        <v>871</v>
      </c>
      <c r="O44" s="51"/>
      <c r="P44" s="58" t="s">
        <v>872</v>
      </c>
      <c r="Q44" s="49" t="s">
        <v>873</v>
      </c>
      <c r="R44" s="49" t="s">
        <v>60</v>
      </c>
      <c r="S44" s="49" t="s">
        <v>874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788</v>
      </c>
      <c r="AC44" s="57">
        <v>95</v>
      </c>
      <c r="AD44" s="58" t="s">
        <v>875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876</v>
      </c>
      <c r="AL44" s="51" t="s">
        <v>134</v>
      </c>
      <c r="AM44" s="62">
        <v>6</v>
      </c>
      <c r="AN44" s="19">
        <f t="shared" ref="AN44:AN49" si="20">+AM44*12</f>
        <v>72</v>
      </c>
      <c r="AO44" s="203" t="s">
        <v>877</v>
      </c>
      <c r="AP44" s="205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1"/>
        <v>7</v>
      </c>
      <c r="BL44" s="4">
        <f t="shared" si="12"/>
        <v>0.77777777777777779</v>
      </c>
      <c r="BM44" s="172"/>
      <c r="BN44" s="172"/>
      <c r="BO44" s="172"/>
      <c r="BP44" s="172"/>
      <c r="BQ44" s="172"/>
      <c r="BR44" s="171" t="str">
        <f t="shared" si="14"/>
        <v>Se mandaron fotos de PP a licencia para vobo</v>
      </c>
      <c r="BS44" s="166">
        <f t="shared" si="15"/>
        <v>46325</v>
      </c>
      <c r="BT44" s="161" t="s">
        <v>689</v>
      </c>
      <c r="CJ44" s="161"/>
      <c r="CK44" s="161"/>
      <c r="CL44" s="161"/>
      <c r="CM44" s="161"/>
      <c r="CN44" s="161"/>
      <c r="CO44" s="161"/>
      <c r="CP44" s="155"/>
      <c r="CQ44" s="155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</row>
    <row r="45" spans="1:105" ht="325" customHeight="1">
      <c r="A45" s="45">
        <v>46234</v>
      </c>
      <c r="B45" s="46" t="s">
        <v>250</v>
      </c>
      <c r="C45" s="5" t="s">
        <v>276</v>
      </c>
      <c r="D45" s="47">
        <v>7503057496503</v>
      </c>
      <c r="E45" s="48" t="s">
        <v>878</v>
      </c>
      <c r="F45" s="49" t="s">
        <v>879</v>
      </c>
      <c r="G45" s="50" t="s">
        <v>60</v>
      </c>
      <c r="H45" s="71" t="s">
        <v>869</v>
      </c>
      <c r="I45" s="56" t="s">
        <v>689</v>
      </c>
      <c r="J45" s="49" t="s">
        <v>309</v>
      </c>
      <c r="K45" s="52">
        <v>1</v>
      </c>
      <c r="L45" s="526"/>
      <c r="M45" s="51"/>
      <c r="N45" s="49" t="s">
        <v>880</v>
      </c>
      <c r="O45" s="75"/>
      <c r="P45" s="58" t="s">
        <v>881</v>
      </c>
      <c r="Q45" s="49" t="s">
        <v>882</v>
      </c>
      <c r="R45" s="49" t="s">
        <v>60</v>
      </c>
      <c r="S45" s="49" t="s">
        <v>874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788</v>
      </c>
      <c r="AC45" s="57">
        <v>95</v>
      </c>
      <c r="AD45" s="58" t="s">
        <v>875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876</v>
      </c>
      <c r="AL45" s="51" t="s">
        <v>134</v>
      </c>
      <c r="AM45" s="62">
        <v>6</v>
      </c>
      <c r="AN45" s="19">
        <f t="shared" si="20"/>
        <v>72</v>
      </c>
      <c r="AO45" s="203" t="s">
        <v>877</v>
      </c>
      <c r="AP45" s="205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1"/>
        <v>7</v>
      </c>
      <c r="BL45" s="4">
        <f t="shared" si="12"/>
        <v>0.77777777777777779</v>
      </c>
      <c r="BM45" s="172"/>
      <c r="BN45" s="172"/>
      <c r="BO45" s="172"/>
      <c r="BP45" s="172"/>
      <c r="BQ45" s="172"/>
      <c r="BR45" s="171" t="str">
        <f t="shared" si="14"/>
        <v>Se mandaron fotos de PP a licencia para vobo</v>
      </c>
      <c r="BS45" s="166">
        <f t="shared" si="15"/>
        <v>46325</v>
      </c>
      <c r="BT45" s="161" t="s">
        <v>689</v>
      </c>
      <c r="CJ45" s="161"/>
      <c r="CK45" s="161"/>
      <c r="CL45" s="161"/>
      <c r="CM45" s="161"/>
      <c r="CN45" s="161"/>
      <c r="CO45" s="161"/>
      <c r="CP45" s="155"/>
      <c r="CQ45" s="155"/>
      <c r="CR45" s="154"/>
      <c r="CS45" s="154"/>
      <c r="CT45" s="154"/>
      <c r="CU45" s="154"/>
      <c r="CV45" s="154"/>
      <c r="CW45" s="154"/>
      <c r="CX45" s="154"/>
      <c r="CY45" s="154"/>
      <c r="CZ45" s="154"/>
      <c r="DA45" s="154"/>
    </row>
    <row r="46" spans="1:105" ht="325" customHeight="1">
      <c r="A46" s="45">
        <v>46234</v>
      </c>
      <c r="B46" s="46" t="s">
        <v>250</v>
      </c>
      <c r="C46" s="5" t="s">
        <v>276</v>
      </c>
      <c r="D46" s="47">
        <v>7503057496510</v>
      </c>
      <c r="E46" s="48" t="s">
        <v>883</v>
      </c>
      <c r="F46" s="49" t="s">
        <v>884</v>
      </c>
      <c r="G46" s="50" t="s">
        <v>60</v>
      </c>
      <c r="H46" s="71" t="s">
        <v>869</v>
      </c>
      <c r="I46" s="56" t="s">
        <v>689</v>
      </c>
      <c r="J46" s="49" t="s">
        <v>309</v>
      </c>
      <c r="K46" s="52">
        <v>1</v>
      </c>
      <c r="L46" s="526"/>
      <c r="M46" s="51"/>
      <c r="N46" s="49" t="s">
        <v>885</v>
      </c>
      <c r="O46" s="75"/>
      <c r="P46" s="58" t="s">
        <v>886</v>
      </c>
      <c r="Q46" s="49" t="s">
        <v>887</v>
      </c>
      <c r="R46" s="76" t="s">
        <v>60</v>
      </c>
      <c r="S46" s="49" t="s">
        <v>874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788</v>
      </c>
      <c r="AC46" s="57">
        <v>95</v>
      </c>
      <c r="AD46" s="58" t="s">
        <v>875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876</v>
      </c>
      <c r="AL46" s="51" t="s">
        <v>134</v>
      </c>
      <c r="AM46" s="62">
        <v>6</v>
      </c>
      <c r="AN46" s="19">
        <f t="shared" si="20"/>
        <v>72</v>
      </c>
      <c r="AO46" s="203" t="s">
        <v>877</v>
      </c>
      <c r="AP46" s="205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1"/>
        <v>7</v>
      </c>
      <c r="BL46" s="4">
        <f t="shared" si="12"/>
        <v>0.77777777777777779</v>
      </c>
      <c r="BM46" s="172"/>
      <c r="BN46" s="172"/>
      <c r="BO46" s="172"/>
      <c r="BP46" s="172"/>
      <c r="BQ46" s="172"/>
      <c r="BR46" s="171" t="str">
        <f t="shared" si="14"/>
        <v>Se mandaron fotos de PP a licencia para vobo</v>
      </c>
      <c r="BS46" s="166">
        <f t="shared" si="15"/>
        <v>46325</v>
      </c>
      <c r="BT46" s="161" t="s">
        <v>689</v>
      </c>
      <c r="CJ46" s="161"/>
      <c r="CK46" s="161"/>
      <c r="CL46" s="161"/>
      <c r="CM46" s="161"/>
      <c r="CN46" s="161"/>
      <c r="CO46" s="161"/>
      <c r="CP46" s="155"/>
      <c r="CQ46" s="155"/>
      <c r="CR46" s="154"/>
      <c r="CS46" s="154"/>
      <c r="CT46" s="154"/>
      <c r="CU46" s="154"/>
      <c r="CV46" s="154"/>
      <c r="CW46" s="154"/>
      <c r="CX46" s="154"/>
      <c r="CY46" s="154"/>
      <c r="CZ46" s="154"/>
      <c r="DA46" s="154"/>
    </row>
    <row r="47" spans="1:105" ht="325" customHeight="1">
      <c r="A47" s="45">
        <v>46234</v>
      </c>
      <c r="B47" s="46" t="s">
        <v>250</v>
      </c>
      <c r="C47" s="5" t="s">
        <v>276</v>
      </c>
      <c r="D47" s="47">
        <v>7503057496527</v>
      </c>
      <c r="E47" s="48" t="s">
        <v>888</v>
      </c>
      <c r="F47" s="49" t="s">
        <v>889</v>
      </c>
      <c r="G47" s="50" t="s">
        <v>60</v>
      </c>
      <c r="H47" s="71" t="s">
        <v>869</v>
      </c>
      <c r="I47" s="56" t="s">
        <v>689</v>
      </c>
      <c r="J47" s="49" t="s">
        <v>309</v>
      </c>
      <c r="K47" s="52">
        <v>1</v>
      </c>
      <c r="L47" s="526"/>
      <c r="M47" s="51"/>
      <c r="N47" s="49" t="s">
        <v>890</v>
      </c>
      <c r="O47" s="51"/>
      <c r="P47" s="58" t="s">
        <v>891</v>
      </c>
      <c r="Q47" s="49" t="s">
        <v>892</v>
      </c>
      <c r="R47" s="76" t="s">
        <v>60</v>
      </c>
      <c r="S47" s="49" t="s">
        <v>874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788</v>
      </c>
      <c r="AC47" s="57">
        <v>95</v>
      </c>
      <c r="AD47" s="58" t="s">
        <v>875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876</v>
      </c>
      <c r="AL47" s="51" t="s">
        <v>134</v>
      </c>
      <c r="AM47" s="62">
        <v>6</v>
      </c>
      <c r="AN47" s="19">
        <f t="shared" si="20"/>
        <v>72</v>
      </c>
      <c r="AO47" s="203" t="s">
        <v>877</v>
      </c>
      <c r="AP47" s="205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1"/>
        <v>7</v>
      </c>
      <c r="BL47" s="4">
        <f t="shared" si="12"/>
        <v>0.77777777777777779</v>
      </c>
      <c r="BM47" s="172"/>
      <c r="BN47" s="172"/>
      <c r="BO47" s="172"/>
      <c r="BP47" s="172"/>
      <c r="BQ47" s="172"/>
      <c r="BR47" s="171" t="str">
        <f t="shared" si="14"/>
        <v>Se mandaron fotos de PP a licencia para vobo</v>
      </c>
      <c r="BS47" s="166">
        <f t="shared" si="15"/>
        <v>46325</v>
      </c>
      <c r="BT47" s="161" t="s">
        <v>689</v>
      </c>
      <c r="CJ47" s="161"/>
      <c r="CK47" s="161"/>
      <c r="CL47" s="161"/>
      <c r="CM47" s="161"/>
      <c r="CN47" s="161"/>
      <c r="CO47" s="161"/>
      <c r="CP47" s="155"/>
      <c r="CQ47" s="155"/>
      <c r="CR47" s="154"/>
      <c r="CS47" s="154"/>
      <c r="CT47" s="154"/>
      <c r="CU47" s="154"/>
      <c r="CV47" s="154"/>
      <c r="CW47" s="154"/>
      <c r="CX47" s="154"/>
      <c r="CY47" s="154"/>
      <c r="CZ47" s="154"/>
      <c r="DA47" s="154"/>
    </row>
    <row r="48" spans="1:105" ht="325" customHeight="1">
      <c r="A48" s="45">
        <v>46234</v>
      </c>
      <c r="B48" s="46" t="s">
        <v>250</v>
      </c>
      <c r="C48" s="5" t="s">
        <v>276</v>
      </c>
      <c r="D48" s="47">
        <v>7503057496534</v>
      </c>
      <c r="E48" s="48" t="s">
        <v>893</v>
      </c>
      <c r="F48" s="49" t="s">
        <v>894</v>
      </c>
      <c r="G48" s="50" t="s">
        <v>60</v>
      </c>
      <c r="H48" s="71" t="s">
        <v>869</v>
      </c>
      <c r="I48" s="56" t="s">
        <v>689</v>
      </c>
      <c r="J48" s="49" t="s">
        <v>309</v>
      </c>
      <c r="K48" s="52">
        <v>1</v>
      </c>
      <c r="L48" s="526"/>
      <c r="M48" s="51"/>
      <c r="N48" s="49" t="s">
        <v>895</v>
      </c>
      <c r="O48" s="51"/>
      <c r="P48" s="58" t="s">
        <v>896</v>
      </c>
      <c r="Q48" s="49" t="s">
        <v>897</v>
      </c>
      <c r="R48" s="76" t="s">
        <v>60</v>
      </c>
      <c r="S48" s="49" t="s">
        <v>874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788</v>
      </c>
      <c r="AC48" s="57">
        <v>95</v>
      </c>
      <c r="AD48" s="58" t="s">
        <v>875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876</v>
      </c>
      <c r="AL48" s="51" t="s">
        <v>134</v>
      </c>
      <c r="AM48" s="62">
        <v>6</v>
      </c>
      <c r="AN48" s="19">
        <f t="shared" si="20"/>
        <v>72</v>
      </c>
      <c r="AO48" s="203" t="s">
        <v>877</v>
      </c>
      <c r="AP48" s="205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1"/>
        <v>7</v>
      </c>
      <c r="BL48" s="4">
        <f t="shared" si="12"/>
        <v>0.77777777777777779</v>
      </c>
      <c r="BM48" s="172"/>
      <c r="BN48" s="172"/>
      <c r="BO48" s="172"/>
      <c r="BP48" s="172"/>
      <c r="BQ48" s="172"/>
      <c r="BR48" s="171" t="str">
        <f t="shared" si="14"/>
        <v>Se mandaron fotos de PP a licencia para vobo</v>
      </c>
      <c r="BS48" s="166">
        <f t="shared" si="15"/>
        <v>46325</v>
      </c>
      <c r="BT48" s="161" t="s">
        <v>689</v>
      </c>
      <c r="CJ48" s="161"/>
      <c r="CK48" s="161"/>
      <c r="CL48" s="161"/>
      <c r="CM48" s="161"/>
      <c r="CN48" s="161"/>
      <c r="CO48" s="161"/>
      <c r="CP48" s="155"/>
      <c r="CQ48" s="155"/>
      <c r="CR48" s="154"/>
      <c r="CS48" s="154"/>
      <c r="CT48" s="154"/>
      <c r="CU48" s="154"/>
      <c r="CV48" s="154"/>
      <c r="CW48" s="154"/>
      <c r="CX48" s="154"/>
      <c r="CY48" s="154"/>
      <c r="CZ48" s="154"/>
      <c r="DA48" s="154"/>
    </row>
    <row r="49" spans="1:105" ht="325" customHeight="1">
      <c r="A49" s="45">
        <v>46234</v>
      </c>
      <c r="B49" s="46" t="s">
        <v>250</v>
      </c>
      <c r="C49" s="5" t="s">
        <v>276</v>
      </c>
      <c r="D49" s="47">
        <v>7503057496541</v>
      </c>
      <c r="E49" s="48" t="s">
        <v>898</v>
      </c>
      <c r="F49" s="49" t="s">
        <v>899</v>
      </c>
      <c r="G49" s="50" t="s">
        <v>60</v>
      </c>
      <c r="H49" s="71" t="s">
        <v>869</v>
      </c>
      <c r="I49" s="56" t="s">
        <v>689</v>
      </c>
      <c r="J49" s="49" t="s">
        <v>309</v>
      </c>
      <c r="K49" s="52">
        <v>1</v>
      </c>
      <c r="L49" s="526"/>
      <c r="M49" s="51"/>
      <c r="N49" s="49" t="s">
        <v>900</v>
      </c>
      <c r="O49" s="51"/>
      <c r="P49" s="58" t="s">
        <v>901</v>
      </c>
      <c r="Q49" s="49" t="s">
        <v>902</v>
      </c>
      <c r="R49" s="76" t="s">
        <v>60</v>
      </c>
      <c r="S49" s="49" t="s">
        <v>874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788</v>
      </c>
      <c r="AC49" s="57">
        <v>95</v>
      </c>
      <c r="AD49" s="58" t="s">
        <v>875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876</v>
      </c>
      <c r="AL49" s="51" t="s">
        <v>134</v>
      </c>
      <c r="AM49" s="62">
        <v>6</v>
      </c>
      <c r="AN49" s="19">
        <f t="shared" si="20"/>
        <v>72</v>
      </c>
      <c r="AO49" s="203" t="s">
        <v>903</v>
      </c>
      <c r="AP49" s="205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2" si="31">SUM(BA49:BG49)</f>
        <v>7</v>
      </c>
      <c r="BL49" s="4">
        <f t="shared" ref="BL49:BL72" si="32">+BK49/BJ49</f>
        <v>0.77777777777777779</v>
      </c>
      <c r="BM49" s="172"/>
      <c r="BN49" s="172"/>
      <c r="BO49" s="172"/>
      <c r="BP49" s="172"/>
      <c r="BQ49" s="172"/>
      <c r="BR49" s="171" t="str">
        <f t="shared" si="14"/>
        <v>se mando el ajuste de serigrafía, en espera de PP</v>
      </c>
      <c r="BS49" s="166">
        <f t="shared" si="15"/>
        <v>46325</v>
      </c>
      <c r="BT49" s="161" t="s">
        <v>689</v>
      </c>
      <c r="CJ49" s="161"/>
      <c r="CK49" s="161"/>
      <c r="CL49" s="161"/>
      <c r="CM49" s="161"/>
      <c r="CN49" s="161"/>
      <c r="CO49" s="161"/>
      <c r="CP49" s="155"/>
      <c r="CQ49" s="155"/>
      <c r="CR49" s="154"/>
      <c r="CS49" s="154"/>
      <c r="CT49" s="154"/>
      <c r="CU49" s="154"/>
      <c r="CV49" s="154"/>
      <c r="CW49" s="154"/>
      <c r="CX49" s="154"/>
      <c r="CY49" s="154"/>
      <c r="CZ49" s="154"/>
      <c r="DA49" s="154"/>
    </row>
    <row r="50" spans="1:105" ht="409.6" customHeight="1">
      <c r="A50" s="45">
        <v>46234</v>
      </c>
      <c r="B50" s="46" t="s">
        <v>250</v>
      </c>
      <c r="C50" s="5" t="s">
        <v>276</v>
      </c>
      <c r="D50" s="47">
        <v>7503057496558</v>
      </c>
      <c r="E50" s="48" t="s">
        <v>904</v>
      </c>
      <c r="F50" s="49" t="s">
        <v>905</v>
      </c>
      <c r="G50" s="50" t="s">
        <v>60</v>
      </c>
      <c r="H50" s="46" t="s">
        <v>579</v>
      </c>
      <c r="I50" s="56" t="s">
        <v>689</v>
      </c>
      <c r="J50" s="49" t="s">
        <v>309</v>
      </c>
      <c r="K50" s="52">
        <v>1</v>
      </c>
      <c r="L50" s="526" t="s">
        <v>906</v>
      </c>
      <c r="M50" s="51"/>
      <c r="N50" s="49" t="s">
        <v>907</v>
      </c>
      <c r="O50" s="51"/>
      <c r="P50" s="512" t="s">
        <v>908</v>
      </c>
      <c r="Q50" s="49" t="s">
        <v>909</v>
      </c>
      <c r="R50" s="51" t="s">
        <v>60</v>
      </c>
      <c r="S50" s="49" t="s">
        <v>910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911</v>
      </c>
      <c r="AC50" s="57">
        <v>199</v>
      </c>
      <c r="AD50" s="58" t="s">
        <v>912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819</v>
      </c>
      <c r="AL50" s="51" t="s">
        <v>134</v>
      </c>
      <c r="AM50" s="62">
        <v>6</v>
      </c>
      <c r="AN50" s="19">
        <f t="shared" ref="AN50:AN61" si="34">+AM50*24</f>
        <v>144</v>
      </c>
      <c r="AO50" s="203" t="s">
        <v>820</v>
      </c>
      <c r="AP50" s="205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1"/>
        <v>7</v>
      </c>
      <c r="BL50" s="4">
        <f t="shared" si="32"/>
        <v>0.77777777777777779</v>
      </c>
      <c r="BM50" s="172"/>
      <c r="BN50" s="172"/>
      <c r="BO50" s="172"/>
      <c r="BP50" s="172"/>
      <c r="BQ50" s="172"/>
      <c r="BR50" s="171" t="str">
        <f t="shared" si="14"/>
        <v>Todo ok por licencia. En producción.
Termina aprox 27/jun</v>
      </c>
      <c r="BS50" s="166">
        <f t="shared" ref="BS50:BS72" si="35">+AP50</f>
        <v>46296</v>
      </c>
      <c r="BT50" s="161" t="s">
        <v>170</v>
      </c>
      <c r="CJ50" s="161"/>
      <c r="CK50" s="161"/>
      <c r="CL50" s="161"/>
      <c r="CM50" s="161"/>
      <c r="CN50" s="161"/>
      <c r="CO50" s="161"/>
      <c r="CP50" s="155"/>
      <c r="CQ50" s="155"/>
      <c r="CR50" s="154"/>
      <c r="CS50" s="154"/>
      <c r="CT50" s="154"/>
      <c r="CU50" s="154"/>
      <c r="CV50" s="154"/>
      <c r="CW50" s="154"/>
      <c r="CX50" s="154"/>
      <c r="CY50" s="154"/>
      <c r="CZ50" s="154"/>
      <c r="DA50" s="154"/>
    </row>
    <row r="51" spans="1:105" ht="409.5">
      <c r="A51" s="45">
        <v>46234</v>
      </c>
      <c r="B51" s="46" t="s">
        <v>250</v>
      </c>
      <c r="C51" s="5" t="s">
        <v>276</v>
      </c>
      <c r="D51" s="47">
        <v>7503057496565</v>
      </c>
      <c r="E51" s="48" t="s">
        <v>913</v>
      </c>
      <c r="F51" s="49" t="s">
        <v>914</v>
      </c>
      <c r="G51" s="50" t="s">
        <v>60</v>
      </c>
      <c r="H51" s="46" t="s">
        <v>579</v>
      </c>
      <c r="I51" s="56" t="s">
        <v>689</v>
      </c>
      <c r="J51" s="49" t="s">
        <v>309</v>
      </c>
      <c r="K51" s="52">
        <v>1</v>
      </c>
      <c r="L51" s="526"/>
      <c r="M51" s="51"/>
      <c r="N51" s="49" t="s">
        <v>915</v>
      </c>
      <c r="O51" s="51"/>
      <c r="P51" s="512" t="s">
        <v>916</v>
      </c>
      <c r="Q51" s="49" t="s">
        <v>917</v>
      </c>
      <c r="R51" s="51" t="s">
        <v>60</v>
      </c>
      <c r="S51" s="49" t="s">
        <v>910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911</v>
      </c>
      <c r="AC51" s="57">
        <v>199</v>
      </c>
      <c r="AD51" s="58" t="s">
        <v>912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819</v>
      </c>
      <c r="AL51" s="51" t="s">
        <v>134</v>
      </c>
      <c r="AM51" s="62">
        <v>6</v>
      </c>
      <c r="AN51" s="19">
        <f t="shared" si="34"/>
        <v>144</v>
      </c>
      <c r="AO51" s="203" t="s">
        <v>820</v>
      </c>
      <c r="AP51" s="205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1"/>
        <v>7</v>
      </c>
      <c r="BL51" s="4">
        <f t="shared" si="32"/>
        <v>0.77777777777777779</v>
      </c>
      <c r="BM51" s="172"/>
      <c r="BN51" s="172"/>
      <c r="BO51" s="172"/>
      <c r="BP51" s="172"/>
      <c r="BQ51" s="172"/>
      <c r="BR51" s="171" t="str">
        <f t="shared" si="14"/>
        <v>Todo ok por licencia. En producción.
Termina aprox 27/jun</v>
      </c>
      <c r="BS51" s="166">
        <f t="shared" si="35"/>
        <v>46296</v>
      </c>
      <c r="BT51" s="161" t="s">
        <v>170</v>
      </c>
      <c r="CJ51" s="161"/>
      <c r="CK51" s="161"/>
      <c r="CL51" s="161"/>
      <c r="CM51" s="161"/>
      <c r="CN51" s="161"/>
      <c r="CO51" s="161"/>
      <c r="CP51" s="155"/>
      <c r="CQ51" s="155"/>
      <c r="CR51" s="154"/>
      <c r="CS51" s="154"/>
      <c r="CT51" s="154"/>
      <c r="CU51" s="154"/>
      <c r="CV51" s="154"/>
      <c r="CW51" s="154"/>
      <c r="CX51" s="154"/>
      <c r="CY51" s="154"/>
      <c r="CZ51" s="154"/>
      <c r="DA51" s="154"/>
    </row>
    <row r="52" spans="1:105" ht="260.14999999999998" customHeight="1">
      <c r="A52" s="45">
        <v>46234</v>
      </c>
      <c r="B52" s="46" t="s">
        <v>305</v>
      </c>
      <c r="C52" s="5" t="s">
        <v>163</v>
      </c>
      <c r="D52" s="47">
        <v>7503057496572</v>
      </c>
      <c r="E52" s="48" t="s">
        <v>918</v>
      </c>
      <c r="F52" s="49" t="s">
        <v>919</v>
      </c>
      <c r="G52" s="50" t="s">
        <v>60</v>
      </c>
      <c r="H52" s="46" t="s">
        <v>920</v>
      </c>
      <c r="I52" s="56" t="s">
        <v>689</v>
      </c>
      <c r="J52" s="49" t="s">
        <v>309</v>
      </c>
      <c r="K52" s="52">
        <v>1</v>
      </c>
      <c r="L52" s="525"/>
      <c r="M52" s="51"/>
      <c r="N52" s="49" t="s">
        <v>921</v>
      </c>
      <c r="O52" s="51"/>
      <c r="P52" s="511" t="s">
        <v>922</v>
      </c>
      <c r="Q52" s="49" t="s">
        <v>923</v>
      </c>
      <c r="R52" s="51"/>
      <c r="S52" s="49" t="s">
        <v>924</v>
      </c>
      <c r="T52" s="77">
        <v>0.56999999999999995</v>
      </c>
      <c r="U52" s="56" t="s">
        <v>74</v>
      </c>
      <c r="V52" s="53" t="s">
        <v>925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926</v>
      </c>
      <c r="AC52" s="57">
        <v>199</v>
      </c>
      <c r="AD52" s="58" t="s">
        <v>927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819</v>
      </c>
      <c r="AL52" s="51" t="s">
        <v>134</v>
      </c>
      <c r="AM52" s="62">
        <v>6</v>
      </c>
      <c r="AN52" s="19">
        <f t="shared" si="34"/>
        <v>144</v>
      </c>
      <c r="AO52" s="203" t="s">
        <v>820</v>
      </c>
      <c r="AP52" s="205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1"/>
        <v>7</v>
      </c>
      <c r="BL52" s="4">
        <f t="shared" si="32"/>
        <v>0.77777777777777779</v>
      </c>
      <c r="BM52" s="172"/>
      <c r="BN52" s="172"/>
      <c r="BO52" s="172"/>
      <c r="BP52" s="172"/>
      <c r="BQ52" s="172"/>
      <c r="BR52" s="171" t="str">
        <f t="shared" si="14"/>
        <v>Todo ok por licencia. En producción.
Termina aprox 27/jun</v>
      </c>
      <c r="BS52" s="166">
        <f t="shared" si="35"/>
        <v>46296</v>
      </c>
      <c r="BT52" s="161" t="s">
        <v>170</v>
      </c>
      <c r="CJ52" s="161"/>
      <c r="CK52" s="161"/>
      <c r="CL52" s="161"/>
      <c r="CM52" s="161"/>
      <c r="CN52" s="161"/>
      <c r="CO52" s="161"/>
      <c r="CP52" s="155"/>
      <c r="CQ52" s="155"/>
      <c r="CR52" s="154"/>
      <c r="CS52" s="154"/>
      <c r="CT52" s="154"/>
      <c r="CU52" s="154"/>
      <c r="CV52" s="154"/>
      <c r="CW52" s="154"/>
      <c r="CX52" s="154"/>
      <c r="CY52" s="154"/>
      <c r="CZ52" s="154"/>
      <c r="DA52" s="154"/>
    </row>
    <row r="53" spans="1:105" ht="260.14999999999998" customHeight="1">
      <c r="A53" s="45">
        <v>46234</v>
      </c>
      <c r="B53" s="46" t="s">
        <v>305</v>
      </c>
      <c r="C53" s="5" t="s">
        <v>163</v>
      </c>
      <c r="D53" s="47">
        <v>7503057496589</v>
      </c>
      <c r="E53" s="48" t="s">
        <v>928</v>
      </c>
      <c r="F53" s="49" t="s">
        <v>929</v>
      </c>
      <c r="G53" s="50" t="s">
        <v>60</v>
      </c>
      <c r="H53" s="46" t="s">
        <v>920</v>
      </c>
      <c r="I53" s="56" t="s">
        <v>689</v>
      </c>
      <c r="J53" s="49" t="s">
        <v>309</v>
      </c>
      <c r="K53" s="52">
        <v>1</v>
      </c>
      <c r="L53" s="525"/>
      <c r="M53" s="51"/>
      <c r="N53" s="49" t="s">
        <v>930</v>
      </c>
      <c r="O53" s="51"/>
      <c r="P53" s="512" t="s">
        <v>922</v>
      </c>
      <c r="Q53" s="49" t="s">
        <v>931</v>
      </c>
      <c r="R53" s="51"/>
      <c r="S53" s="49" t="s">
        <v>924</v>
      </c>
      <c r="T53" s="77">
        <v>0.56999999999999995</v>
      </c>
      <c r="U53" s="56" t="s">
        <v>74</v>
      </c>
      <c r="V53" s="53" t="s">
        <v>925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926</v>
      </c>
      <c r="AC53" s="57">
        <v>199</v>
      </c>
      <c r="AD53" s="58" t="s">
        <v>927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819</v>
      </c>
      <c r="AL53" s="51" t="s">
        <v>134</v>
      </c>
      <c r="AM53" s="62">
        <v>6</v>
      </c>
      <c r="AN53" s="19">
        <f t="shared" si="34"/>
        <v>144</v>
      </c>
      <c r="AO53" s="203" t="s">
        <v>820</v>
      </c>
      <c r="AP53" s="205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1"/>
        <v>7</v>
      </c>
      <c r="BL53" s="4">
        <f t="shared" si="32"/>
        <v>0.77777777777777779</v>
      </c>
      <c r="BM53" s="172"/>
      <c r="BN53" s="172"/>
      <c r="BO53" s="172"/>
      <c r="BP53" s="172"/>
      <c r="BQ53" s="172"/>
      <c r="BR53" s="171" t="str">
        <f t="shared" si="14"/>
        <v>Todo ok por licencia. En producción.
Termina aprox 27/jun</v>
      </c>
      <c r="BS53" s="166">
        <f t="shared" si="35"/>
        <v>46296</v>
      </c>
      <c r="BT53" s="161" t="s">
        <v>170</v>
      </c>
      <c r="CJ53" s="161"/>
      <c r="CK53" s="161"/>
      <c r="CL53" s="161"/>
      <c r="CM53" s="161"/>
      <c r="CN53" s="161"/>
      <c r="CO53" s="161"/>
      <c r="CP53" s="155"/>
      <c r="CQ53" s="155"/>
      <c r="CR53" s="154"/>
      <c r="CS53" s="154"/>
      <c r="CT53" s="154"/>
      <c r="CU53" s="154"/>
      <c r="CV53" s="154"/>
      <c r="CW53" s="154"/>
      <c r="CX53" s="154"/>
      <c r="CY53" s="154"/>
      <c r="CZ53" s="154"/>
      <c r="DA53" s="154"/>
    </row>
    <row r="54" spans="1:105" ht="390" customHeight="1">
      <c r="A54" s="45">
        <v>46234</v>
      </c>
      <c r="B54" s="46" t="s">
        <v>305</v>
      </c>
      <c r="C54" s="5" t="s">
        <v>163</v>
      </c>
      <c r="D54" s="47">
        <v>7503057496596</v>
      </c>
      <c r="E54" s="48" t="s">
        <v>932</v>
      </c>
      <c r="F54" s="49" t="s">
        <v>933</v>
      </c>
      <c r="G54" s="78" t="s">
        <v>60</v>
      </c>
      <c r="H54" s="51" t="s">
        <v>395</v>
      </c>
      <c r="I54" s="56" t="s">
        <v>689</v>
      </c>
      <c r="J54" s="49" t="s">
        <v>309</v>
      </c>
      <c r="K54" s="52">
        <v>1</v>
      </c>
      <c r="L54" s="511" t="s">
        <v>934</v>
      </c>
      <c r="M54" s="51"/>
      <c r="N54" s="49" t="s">
        <v>935</v>
      </c>
      <c r="O54" s="51"/>
      <c r="P54" s="512" t="s">
        <v>936</v>
      </c>
      <c r="Q54" s="49" t="s">
        <v>937</v>
      </c>
      <c r="R54" s="65" t="s">
        <v>60</v>
      </c>
      <c r="S54" s="79" t="s">
        <v>938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939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819</v>
      </c>
      <c r="AL54" s="51" t="s">
        <v>134</v>
      </c>
      <c r="AM54" s="62">
        <v>6</v>
      </c>
      <c r="AN54" s="19">
        <f t="shared" si="34"/>
        <v>144</v>
      </c>
      <c r="AO54" s="203" t="s">
        <v>820</v>
      </c>
      <c r="AP54" s="205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1"/>
        <v>7</v>
      </c>
      <c r="BL54" s="4">
        <f t="shared" si="32"/>
        <v>0.77777777777777779</v>
      </c>
      <c r="BM54" s="172"/>
      <c r="BN54" s="172"/>
      <c r="BO54" s="172"/>
      <c r="BP54" s="172"/>
      <c r="BQ54" s="172"/>
      <c r="BR54" s="171" t="str">
        <f t="shared" si="14"/>
        <v>Todo ok por licencia. En producción.
Termina aprox 27/jun</v>
      </c>
      <c r="BS54" s="166">
        <f t="shared" si="35"/>
        <v>46296</v>
      </c>
      <c r="BT54" s="161" t="s">
        <v>170</v>
      </c>
      <c r="CJ54" s="161"/>
      <c r="CK54" s="161"/>
      <c r="CL54" s="161"/>
      <c r="CM54" s="161"/>
      <c r="CN54" s="161"/>
      <c r="CO54" s="161"/>
      <c r="CP54" s="155"/>
      <c r="CQ54" s="155"/>
      <c r="CR54" s="154"/>
      <c r="CS54" s="154"/>
      <c r="CT54" s="154"/>
      <c r="CU54" s="154"/>
      <c r="CV54" s="154"/>
      <c r="CW54" s="154"/>
      <c r="CX54" s="154"/>
      <c r="CY54" s="154"/>
      <c r="CZ54" s="154"/>
      <c r="DA54" s="154"/>
    </row>
    <row r="55" spans="1:105" ht="390" customHeight="1">
      <c r="A55" s="45">
        <v>46234</v>
      </c>
      <c r="B55" s="46" t="s">
        <v>305</v>
      </c>
      <c r="C55" s="5" t="s">
        <v>163</v>
      </c>
      <c r="D55" s="47">
        <v>7503057496602</v>
      </c>
      <c r="E55" s="48" t="s">
        <v>940</v>
      </c>
      <c r="F55" s="49" t="s">
        <v>941</v>
      </c>
      <c r="G55" s="80" t="s">
        <v>60</v>
      </c>
      <c r="H55" s="51" t="s">
        <v>395</v>
      </c>
      <c r="I55" s="56" t="s">
        <v>689</v>
      </c>
      <c r="J55" s="49" t="s">
        <v>309</v>
      </c>
      <c r="K55" s="52">
        <v>1</v>
      </c>
      <c r="L55" s="512" t="s">
        <v>942</v>
      </c>
      <c r="M55" s="51"/>
      <c r="N55" s="49" t="s">
        <v>943</v>
      </c>
      <c r="O55" s="51"/>
      <c r="P55" s="512" t="s">
        <v>936</v>
      </c>
      <c r="Q55" s="49" t="s">
        <v>944</v>
      </c>
      <c r="R55" s="65" t="s">
        <v>60</v>
      </c>
      <c r="S55" s="79" t="s">
        <v>938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939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819</v>
      </c>
      <c r="AL55" s="51" t="s">
        <v>134</v>
      </c>
      <c r="AM55" s="62">
        <v>6</v>
      </c>
      <c r="AN55" s="19">
        <f t="shared" si="34"/>
        <v>144</v>
      </c>
      <c r="AO55" s="203" t="s">
        <v>820</v>
      </c>
      <c r="AP55" s="205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1"/>
        <v>7</v>
      </c>
      <c r="BL55" s="4">
        <f t="shared" si="32"/>
        <v>0.77777777777777779</v>
      </c>
      <c r="BM55" s="172"/>
      <c r="BN55" s="172"/>
      <c r="BO55" s="172"/>
      <c r="BP55" s="172"/>
      <c r="BQ55" s="172"/>
      <c r="BR55" s="171" t="str">
        <f t="shared" si="14"/>
        <v>Todo ok por licencia. En producción.
Termina aprox 27/jun</v>
      </c>
      <c r="BS55" s="166">
        <f t="shared" si="35"/>
        <v>46296</v>
      </c>
      <c r="BT55" s="161" t="s">
        <v>170</v>
      </c>
      <c r="CJ55" s="161"/>
      <c r="CK55" s="161"/>
      <c r="CL55" s="161"/>
      <c r="CM55" s="161"/>
      <c r="CN55" s="161"/>
      <c r="CO55" s="161"/>
      <c r="CP55" s="155"/>
      <c r="CQ55" s="155"/>
      <c r="CR55" s="154"/>
      <c r="CS55" s="154"/>
      <c r="CT55" s="154"/>
      <c r="CU55" s="154"/>
      <c r="CV55" s="154"/>
      <c r="CW55" s="154"/>
      <c r="CX55" s="154"/>
      <c r="CY55" s="154"/>
      <c r="CZ55" s="154"/>
      <c r="DA55" s="154"/>
    </row>
    <row r="56" spans="1:105" ht="227.5">
      <c r="A56" s="45">
        <v>46234</v>
      </c>
      <c r="B56" s="46" t="s">
        <v>250</v>
      </c>
      <c r="C56" s="5" t="s">
        <v>276</v>
      </c>
      <c r="D56" s="47">
        <v>7503057496619</v>
      </c>
      <c r="E56" s="48" t="s">
        <v>945</v>
      </c>
      <c r="F56" s="49" t="s">
        <v>946</v>
      </c>
      <c r="G56" s="50" t="s">
        <v>60</v>
      </c>
      <c r="H56" s="46" t="s">
        <v>947</v>
      </c>
      <c r="I56" s="56" t="s">
        <v>689</v>
      </c>
      <c r="J56" s="49" t="s">
        <v>309</v>
      </c>
      <c r="K56" s="52">
        <v>1</v>
      </c>
      <c r="L56" s="512" t="s">
        <v>948</v>
      </c>
      <c r="M56" s="51"/>
      <c r="N56" s="49" t="s">
        <v>949</v>
      </c>
      <c r="O56" s="51"/>
      <c r="P56" s="512" t="s">
        <v>950</v>
      </c>
      <c r="Q56" s="49" t="s">
        <v>937</v>
      </c>
      <c r="R56" s="51" t="s">
        <v>60</v>
      </c>
      <c r="S56" s="49" t="s">
        <v>951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952</v>
      </c>
      <c r="AB56" s="57" t="s">
        <v>911</v>
      </c>
      <c r="AC56" s="57">
        <v>149</v>
      </c>
      <c r="AD56" s="58" t="s">
        <v>953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819</v>
      </c>
      <c r="AL56" s="51" t="s">
        <v>134</v>
      </c>
      <c r="AM56" s="62">
        <v>6</v>
      </c>
      <c r="AN56" s="19">
        <f t="shared" si="34"/>
        <v>144</v>
      </c>
      <c r="AO56" s="203" t="s">
        <v>954</v>
      </c>
      <c r="AP56" s="205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4">
        <f t="shared" si="32"/>
        <v>0.66666666666666663</v>
      </c>
      <c r="BM56" s="172"/>
      <c r="BN56" s="172"/>
      <c r="BO56" s="172"/>
      <c r="BP56" s="172"/>
      <c r="BQ56" s="172"/>
      <c r="BR56" s="171" t="str">
        <f t="shared" si="14"/>
        <v>Se puso pedido de cajas y exhibicajas.</v>
      </c>
      <c r="BS56" s="166">
        <f t="shared" si="35"/>
        <v>46272</v>
      </c>
      <c r="BT56" s="161" t="s">
        <v>170</v>
      </c>
      <c r="CJ56" s="161"/>
      <c r="CK56" s="161"/>
      <c r="CL56" s="161"/>
      <c r="CM56" s="161"/>
      <c r="CN56" s="161"/>
      <c r="CO56" s="161"/>
      <c r="CP56" s="155"/>
      <c r="CQ56" s="155"/>
      <c r="CR56" s="154"/>
      <c r="CS56" s="154"/>
      <c r="CT56" s="154"/>
      <c r="CU56" s="154"/>
      <c r="CV56" s="154"/>
      <c r="CW56" s="154"/>
      <c r="CX56" s="154"/>
      <c r="CY56" s="154"/>
      <c r="CZ56" s="154"/>
      <c r="DA56" s="154"/>
    </row>
    <row r="57" spans="1:105" ht="357.5">
      <c r="A57" s="45">
        <v>46234</v>
      </c>
      <c r="B57" s="46" t="s">
        <v>250</v>
      </c>
      <c r="C57" s="5" t="s">
        <v>276</v>
      </c>
      <c r="D57" s="47">
        <v>7503057496633</v>
      </c>
      <c r="E57" s="48" t="s">
        <v>955</v>
      </c>
      <c r="F57" s="49" t="s">
        <v>956</v>
      </c>
      <c r="G57" s="78"/>
      <c r="H57" s="51" t="s">
        <v>957</v>
      </c>
      <c r="I57" s="56" t="s">
        <v>689</v>
      </c>
      <c r="J57" s="49" t="s">
        <v>309</v>
      </c>
      <c r="K57" s="52">
        <v>1</v>
      </c>
      <c r="L57" s="81" t="s">
        <v>958</v>
      </c>
      <c r="M57" s="65"/>
      <c r="N57" s="82" t="s">
        <v>959</v>
      </c>
      <c r="O57" s="65"/>
      <c r="P57" s="81" t="s">
        <v>960</v>
      </c>
      <c r="Q57" s="82"/>
      <c r="R57" s="65" t="s">
        <v>961</v>
      </c>
      <c r="S57" s="83" t="s">
        <v>962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963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819</v>
      </c>
      <c r="AL57" s="51" t="s">
        <v>134</v>
      </c>
      <c r="AM57" s="62">
        <v>6</v>
      </c>
      <c r="AN57" s="19">
        <f t="shared" si="34"/>
        <v>144</v>
      </c>
      <c r="AO57" s="203" t="s">
        <v>820</v>
      </c>
      <c r="AP57" s="205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1"/>
        <v>7</v>
      </c>
      <c r="BL57" s="4">
        <f t="shared" si="32"/>
        <v>0.77777777777777779</v>
      </c>
      <c r="BM57" s="172"/>
      <c r="BN57" s="172"/>
      <c r="BO57" s="172"/>
      <c r="BP57" s="172"/>
      <c r="BQ57" s="172"/>
      <c r="BR57" s="171" t="str">
        <f t="shared" si="14"/>
        <v>Todo ok por licencia. En producción.
Termina aprox 27/jun</v>
      </c>
      <c r="BS57" s="166">
        <f t="shared" si="35"/>
        <v>46296</v>
      </c>
      <c r="BT57" s="161" t="s">
        <v>689</v>
      </c>
      <c r="CJ57" s="161"/>
      <c r="CK57" s="161"/>
      <c r="CL57" s="161"/>
      <c r="CM57" s="161"/>
      <c r="CN57" s="161"/>
      <c r="CO57" s="161"/>
      <c r="CP57" s="155"/>
      <c r="CQ57" s="155"/>
      <c r="CR57" s="154"/>
      <c r="CS57" s="154"/>
      <c r="CT57" s="154"/>
      <c r="CU57" s="154"/>
      <c r="CV57" s="154"/>
      <c r="CW57" s="154"/>
      <c r="CX57" s="154"/>
      <c r="CY57" s="154"/>
      <c r="CZ57" s="154"/>
      <c r="DA57" s="154"/>
    </row>
    <row r="58" spans="1:105" ht="409.5">
      <c r="A58" s="45">
        <v>46234</v>
      </c>
      <c r="B58" s="46" t="s">
        <v>305</v>
      </c>
      <c r="C58" s="5" t="s">
        <v>163</v>
      </c>
      <c r="D58" s="47">
        <v>7503057496640</v>
      </c>
      <c r="E58" s="48" t="s">
        <v>964</v>
      </c>
      <c r="F58" s="49" t="s">
        <v>965</v>
      </c>
      <c r="G58" s="50" t="s">
        <v>60</v>
      </c>
      <c r="H58" s="51" t="s">
        <v>371</v>
      </c>
      <c r="I58" s="56" t="s">
        <v>689</v>
      </c>
      <c r="J58" s="49" t="s">
        <v>309</v>
      </c>
      <c r="K58" s="52">
        <v>1</v>
      </c>
      <c r="L58" s="512" t="s">
        <v>966</v>
      </c>
      <c r="M58" s="51"/>
      <c r="N58" s="49" t="s">
        <v>967</v>
      </c>
      <c r="O58" s="51"/>
      <c r="P58" s="511" t="s">
        <v>968</v>
      </c>
      <c r="Q58" s="49" t="s">
        <v>692</v>
      </c>
      <c r="R58" s="76" t="s">
        <v>60</v>
      </c>
      <c r="S58" s="49" t="s">
        <v>969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970</v>
      </c>
      <c r="AC58" s="57">
        <v>299</v>
      </c>
      <c r="AD58" s="58" t="s">
        <v>971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819</v>
      </c>
      <c r="AL58" s="51" t="s">
        <v>134</v>
      </c>
      <c r="AM58" s="62">
        <v>6</v>
      </c>
      <c r="AN58" s="19">
        <f t="shared" si="34"/>
        <v>144</v>
      </c>
      <c r="AO58" s="203" t="s">
        <v>820</v>
      </c>
      <c r="AP58" s="205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1"/>
        <v>7</v>
      </c>
      <c r="BL58" s="4">
        <f t="shared" si="32"/>
        <v>0.77777777777777779</v>
      </c>
      <c r="BM58" s="172"/>
      <c r="BN58" s="172"/>
      <c r="BO58" s="172"/>
      <c r="BP58" s="172"/>
      <c r="BQ58" s="172"/>
      <c r="BR58" s="171" t="str">
        <f t="shared" si="14"/>
        <v>Todo ok por licencia. En producción.
Termina aprox 27/jun</v>
      </c>
      <c r="BS58" s="166">
        <f t="shared" si="35"/>
        <v>46296</v>
      </c>
      <c r="BT58" s="161" t="s">
        <v>170</v>
      </c>
      <c r="CJ58" s="161"/>
      <c r="CK58" s="161"/>
      <c r="CL58" s="161"/>
      <c r="CM58" s="161"/>
      <c r="CN58" s="161"/>
      <c r="CO58" s="161"/>
      <c r="CP58" s="155"/>
      <c r="CQ58" s="155"/>
      <c r="CR58" s="154"/>
      <c r="CS58" s="154"/>
      <c r="CT58" s="154"/>
      <c r="CU58" s="154"/>
      <c r="CV58" s="154"/>
      <c r="CW58" s="154"/>
      <c r="CX58" s="154"/>
      <c r="CY58" s="154"/>
      <c r="CZ58" s="154"/>
      <c r="DA58" s="154"/>
    </row>
    <row r="59" spans="1:105" ht="325" customHeight="1">
      <c r="A59" s="45">
        <v>46234</v>
      </c>
      <c r="B59" s="46" t="s">
        <v>305</v>
      </c>
      <c r="C59" s="5" t="s">
        <v>163</v>
      </c>
      <c r="D59" s="47">
        <v>7503057496657</v>
      </c>
      <c r="E59" s="48" t="s">
        <v>972</v>
      </c>
      <c r="F59" s="49" t="s">
        <v>973</v>
      </c>
      <c r="G59" s="50" t="s">
        <v>60</v>
      </c>
      <c r="H59" s="51" t="s">
        <v>371</v>
      </c>
      <c r="I59" s="56" t="s">
        <v>689</v>
      </c>
      <c r="J59" s="49" t="s">
        <v>309</v>
      </c>
      <c r="K59" s="52">
        <v>1</v>
      </c>
      <c r="L59" s="512" t="s">
        <v>966</v>
      </c>
      <c r="M59" s="51"/>
      <c r="N59" s="49" t="s">
        <v>974</v>
      </c>
      <c r="O59" s="51"/>
      <c r="P59" s="511" t="s">
        <v>975</v>
      </c>
      <c r="Q59" s="49" t="s">
        <v>692</v>
      </c>
      <c r="R59" s="76" t="s">
        <v>60</v>
      </c>
      <c r="S59" s="49" t="s">
        <v>969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970</v>
      </c>
      <c r="AC59" s="57">
        <v>299</v>
      </c>
      <c r="AD59" s="58" t="s">
        <v>971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819</v>
      </c>
      <c r="AL59" s="51" t="s">
        <v>134</v>
      </c>
      <c r="AM59" s="62">
        <v>6</v>
      </c>
      <c r="AN59" s="19">
        <f t="shared" si="34"/>
        <v>144</v>
      </c>
      <c r="AO59" s="203" t="s">
        <v>820</v>
      </c>
      <c r="AP59" s="205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1"/>
        <v>7</v>
      </c>
      <c r="BL59" s="4">
        <f t="shared" si="32"/>
        <v>0.77777777777777779</v>
      </c>
      <c r="BM59" s="172"/>
      <c r="BN59" s="172"/>
      <c r="BO59" s="172"/>
      <c r="BP59" s="172"/>
      <c r="BQ59" s="172"/>
      <c r="BR59" s="171" t="str">
        <f t="shared" si="14"/>
        <v>Todo ok por licencia. En producción.
Termina aprox 27/jun</v>
      </c>
      <c r="BS59" s="166">
        <f t="shared" si="35"/>
        <v>46296</v>
      </c>
      <c r="BT59" s="161" t="s">
        <v>170</v>
      </c>
      <c r="CJ59" s="161"/>
      <c r="CK59" s="161"/>
      <c r="CL59" s="161"/>
      <c r="CM59" s="161"/>
      <c r="CN59" s="161"/>
      <c r="CO59" s="161"/>
      <c r="CP59" s="155"/>
      <c r="CQ59" s="155"/>
      <c r="CR59" s="154"/>
      <c r="CS59" s="154"/>
      <c r="CT59" s="154"/>
      <c r="CU59" s="154"/>
      <c r="CV59" s="154"/>
      <c r="CW59" s="154"/>
      <c r="CX59" s="154"/>
      <c r="CY59" s="154"/>
      <c r="CZ59" s="154"/>
      <c r="DA59" s="154"/>
    </row>
    <row r="60" spans="1:105" ht="409.5">
      <c r="A60" s="45">
        <v>46234</v>
      </c>
      <c r="B60" s="46" t="s">
        <v>305</v>
      </c>
      <c r="C60" s="5" t="s">
        <v>163</v>
      </c>
      <c r="D60" s="47">
        <v>7503057496664</v>
      </c>
      <c r="E60" s="48" t="s">
        <v>976</v>
      </c>
      <c r="F60" s="49" t="s">
        <v>977</v>
      </c>
      <c r="G60" s="50" t="s">
        <v>60</v>
      </c>
      <c r="H60" s="51" t="s">
        <v>371</v>
      </c>
      <c r="I60" s="56" t="s">
        <v>689</v>
      </c>
      <c r="J60" s="49" t="s">
        <v>309</v>
      </c>
      <c r="K60" s="52">
        <v>1</v>
      </c>
      <c r="L60" s="511" t="s">
        <v>966</v>
      </c>
      <c r="M60" s="51"/>
      <c r="N60" s="49" t="s">
        <v>978</v>
      </c>
      <c r="O60" s="51"/>
      <c r="P60" s="511" t="s">
        <v>979</v>
      </c>
      <c r="Q60" s="49" t="s">
        <v>692</v>
      </c>
      <c r="R60" s="76" t="s">
        <v>60</v>
      </c>
      <c r="S60" s="49" t="s">
        <v>969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970</v>
      </c>
      <c r="AC60" s="57">
        <v>299</v>
      </c>
      <c r="AD60" s="58" t="s">
        <v>971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819</v>
      </c>
      <c r="AL60" s="51" t="s">
        <v>134</v>
      </c>
      <c r="AM60" s="62">
        <v>6</v>
      </c>
      <c r="AN60" s="19">
        <f t="shared" si="34"/>
        <v>144</v>
      </c>
      <c r="AO60" s="203" t="s">
        <v>820</v>
      </c>
      <c r="AP60" s="205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1"/>
        <v>7</v>
      </c>
      <c r="BL60" s="4">
        <f t="shared" si="32"/>
        <v>0.77777777777777779</v>
      </c>
      <c r="BM60" s="172"/>
      <c r="BN60" s="172"/>
      <c r="BO60" s="172"/>
      <c r="BP60" s="172"/>
      <c r="BQ60" s="172"/>
      <c r="BR60" s="171" t="str">
        <f t="shared" si="14"/>
        <v>Todo ok por licencia. En producción.
Termina aprox 27/jun</v>
      </c>
      <c r="BS60" s="166">
        <f t="shared" si="35"/>
        <v>46296</v>
      </c>
      <c r="BT60" s="161" t="s">
        <v>170</v>
      </c>
      <c r="CJ60" s="161"/>
      <c r="CK60" s="161"/>
      <c r="CL60" s="161"/>
      <c r="CM60" s="161"/>
      <c r="CN60" s="161"/>
      <c r="CO60" s="161"/>
      <c r="CP60" s="155"/>
      <c r="CQ60" s="155"/>
      <c r="CR60" s="154"/>
      <c r="CS60" s="154"/>
      <c r="CT60" s="154"/>
      <c r="CU60" s="154"/>
      <c r="CV60" s="154"/>
      <c r="CW60" s="154"/>
      <c r="CX60" s="154"/>
      <c r="CY60" s="154"/>
      <c r="CZ60" s="154"/>
      <c r="DA60" s="154"/>
    </row>
    <row r="61" spans="1:105" ht="409.5">
      <c r="A61" s="45">
        <v>46234</v>
      </c>
      <c r="B61" s="46" t="s">
        <v>305</v>
      </c>
      <c r="C61" s="5" t="s">
        <v>163</v>
      </c>
      <c r="D61" s="47">
        <v>7503057496671</v>
      </c>
      <c r="E61" s="48" t="s">
        <v>980</v>
      </c>
      <c r="F61" s="49" t="s">
        <v>981</v>
      </c>
      <c r="G61" s="50"/>
      <c r="H61" s="51" t="s">
        <v>371</v>
      </c>
      <c r="I61" s="56" t="s">
        <v>689</v>
      </c>
      <c r="J61" s="49" t="s">
        <v>309</v>
      </c>
      <c r="K61" s="52">
        <v>1</v>
      </c>
      <c r="L61" s="512" t="s">
        <v>966</v>
      </c>
      <c r="M61" s="51"/>
      <c r="N61" s="49" t="s">
        <v>982</v>
      </c>
      <c r="O61" s="51"/>
      <c r="P61" s="511" t="s">
        <v>983</v>
      </c>
      <c r="Q61" s="49" t="s">
        <v>692</v>
      </c>
      <c r="R61" s="76" t="s">
        <v>60</v>
      </c>
      <c r="S61" s="49" t="s">
        <v>969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970</v>
      </c>
      <c r="AC61" s="57">
        <v>179</v>
      </c>
      <c r="AD61" s="58" t="s">
        <v>971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819</v>
      </c>
      <c r="AL61" s="51" t="s">
        <v>134</v>
      </c>
      <c r="AM61" s="62">
        <v>6</v>
      </c>
      <c r="AN61" s="19">
        <f t="shared" si="34"/>
        <v>144</v>
      </c>
      <c r="AO61" s="203" t="s">
        <v>820</v>
      </c>
      <c r="AP61" s="205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4">
        <f t="shared" si="32"/>
        <v>0.77777777777777779</v>
      </c>
      <c r="BM61" s="172"/>
      <c r="BN61" s="172"/>
      <c r="BO61" s="172"/>
      <c r="BP61" s="172"/>
      <c r="BQ61" s="172"/>
      <c r="BR61" s="171" t="str">
        <f t="shared" si="14"/>
        <v>Todo ok por licencia. En producción.
Termina aprox 27/jun</v>
      </c>
      <c r="BS61" s="166">
        <f t="shared" si="35"/>
        <v>46296</v>
      </c>
      <c r="BT61" s="161" t="s">
        <v>170</v>
      </c>
      <c r="CJ61" s="161"/>
      <c r="CK61" s="161"/>
      <c r="CL61" s="161"/>
      <c r="CM61" s="161"/>
      <c r="CN61" s="161"/>
      <c r="CO61" s="161"/>
      <c r="CP61" s="155"/>
      <c r="CQ61" s="155"/>
      <c r="CR61" s="154"/>
      <c r="CS61" s="154"/>
      <c r="CT61" s="154"/>
      <c r="CU61" s="154"/>
      <c r="CV61" s="154"/>
      <c r="CW61" s="154"/>
      <c r="CX61" s="154"/>
      <c r="CY61" s="154"/>
      <c r="CZ61" s="154"/>
      <c r="DA61" s="154"/>
    </row>
    <row r="62" spans="1:105" ht="292.5">
      <c r="A62" s="45">
        <v>46234</v>
      </c>
      <c r="B62" s="46" t="s">
        <v>305</v>
      </c>
      <c r="C62" s="5" t="s">
        <v>163</v>
      </c>
      <c r="D62" s="47">
        <v>7503057496688</v>
      </c>
      <c r="E62" s="48" t="s">
        <v>984</v>
      </c>
      <c r="F62" s="49" t="s">
        <v>985</v>
      </c>
      <c r="G62" s="50"/>
      <c r="H62" s="51" t="s">
        <v>579</v>
      </c>
      <c r="I62" s="56" t="s">
        <v>689</v>
      </c>
      <c r="J62" s="49" t="s">
        <v>309</v>
      </c>
      <c r="K62" s="52">
        <v>1</v>
      </c>
      <c r="L62" s="512" t="s">
        <v>986</v>
      </c>
      <c r="M62" s="51"/>
      <c r="N62" s="49" t="s">
        <v>987</v>
      </c>
      <c r="O62" s="51"/>
      <c r="P62" s="51" t="s">
        <v>692</v>
      </c>
      <c r="Q62" s="49" t="s">
        <v>988</v>
      </c>
      <c r="R62" s="51" t="s">
        <v>60</v>
      </c>
      <c r="S62" s="49" t="s">
        <v>989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990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819</v>
      </c>
      <c r="AL62" s="51" t="s">
        <v>134</v>
      </c>
      <c r="AM62" s="62">
        <v>6</v>
      </c>
      <c r="AN62" s="19">
        <f>+AM62*12</f>
        <v>72</v>
      </c>
      <c r="AO62" s="203" t="s">
        <v>820</v>
      </c>
      <c r="AP62" s="205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4">
        <f t="shared" si="32"/>
        <v>0.77777777777777779</v>
      </c>
      <c r="BM62" s="172"/>
      <c r="BN62" s="172"/>
      <c r="BO62" s="172"/>
      <c r="BP62" s="172"/>
      <c r="BQ62" s="172"/>
      <c r="BR62" s="171" t="str">
        <f t="shared" si="14"/>
        <v>Todo ok por licencia. En producción.
Termina aprox 27/jun</v>
      </c>
      <c r="BS62" s="166">
        <f t="shared" si="35"/>
        <v>46296</v>
      </c>
      <c r="BT62" s="161" t="s">
        <v>170</v>
      </c>
      <c r="CJ62" s="161"/>
      <c r="CK62" s="161"/>
      <c r="CL62" s="161"/>
      <c r="CM62" s="161"/>
      <c r="CN62" s="161"/>
      <c r="CO62" s="161"/>
      <c r="CP62" s="155"/>
      <c r="CQ62" s="155"/>
      <c r="CR62" s="154"/>
      <c r="CS62" s="154"/>
      <c r="CT62" s="154"/>
      <c r="CU62" s="154"/>
      <c r="CV62" s="154"/>
      <c r="CW62" s="154"/>
      <c r="CX62" s="154"/>
      <c r="CY62" s="154"/>
      <c r="CZ62" s="154"/>
      <c r="DA62" s="154"/>
    </row>
    <row r="63" spans="1:105" ht="409.6" customHeight="1">
      <c r="A63" s="45">
        <v>46234</v>
      </c>
      <c r="B63" s="46" t="s">
        <v>305</v>
      </c>
      <c r="C63" s="5" t="s">
        <v>163</v>
      </c>
      <c r="D63" s="47">
        <v>7503057496695</v>
      </c>
      <c r="E63" s="48" t="s">
        <v>991</v>
      </c>
      <c r="F63" s="49" t="s">
        <v>992</v>
      </c>
      <c r="G63" s="50" t="s">
        <v>60</v>
      </c>
      <c r="H63" s="51" t="s">
        <v>993</v>
      </c>
      <c r="I63" s="56" t="s">
        <v>689</v>
      </c>
      <c r="J63" s="49" t="s">
        <v>309</v>
      </c>
      <c r="K63" s="52">
        <v>1</v>
      </c>
      <c r="L63" s="525" t="s">
        <v>994</v>
      </c>
      <c r="M63" s="51"/>
      <c r="N63" s="49" t="s">
        <v>995</v>
      </c>
      <c r="O63" s="51"/>
      <c r="P63" s="512"/>
      <c r="Q63" s="49" t="s">
        <v>873</v>
      </c>
      <c r="R63" s="51" t="s">
        <v>60</v>
      </c>
      <c r="S63" s="49" t="s">
        <v>996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997</v>
      </c>
      <c r="AC63" s="57">
        <v>179</v>
      </c>
      <c r="AD63" s="58" t="s">
        <v>998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819</v>
      </c>
      <c r="AL63" s="51" t="s">
        <v>134</v>
      </c>
      <c r="AM63" s="62">
        <v>6</v>
      </c>
      <c r="AN63" s="19">
        <f t="shared" ref="AN63:AN70" si="38">+AM63*24</f>
        <v>144</v>
      </c>
      <c r="AO63" s="203" t="s">
        <v>820</v>
      </c>
      <c r="AP63" s="205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4">
        <f t="shared" si="32"/>
        <v>0.77777777777777779</v>
      </c>
      <c r="BM63" s="172"/>
      <c r="BN63" s="172"/>
      <c r="BO63" s="172"/>
      <c r="BP63" s="172"/>
      <c r="BQ63" s="172"/>
      <c r="BR63" s="171" t="str">
        <f t="shared" si="14"/>
        <v>Todo ok por licencia. En producción.
Termina aprox 27/jun</v>
      </c>
      <c r="BS63" s="166">
        <f t="shared" si="35"/>
        <v>46296</v>
      </c>
      <c r="BT63" s="161" t="s">
        <v>170</v>
      </c>
      <c r="CJ63" s="161"/>
      <c r="CK63" s="161"/>
      <c r="CL63" s="161"/>
      <c r="CM63" s="161"/>
      <c r="CN63" s="161"/>
      <c r="CO63" s="161"/>
      <c r="CP63" s="155"/>
      <c r="CQ63" s="155"/>
      <c r="CR63" s="154"/>
      <c r="CS63" s="154"/>
      <c r="CT63" s="154"/>
      <c r="CU63" s="154"/>
      <c r="CV63" s="154"/>
      <c r="CW63" s="154"/>
      <c r="CX63" s="154"/>
      <c r="CY63" s="154"/>
      <c r="CZ63" s="154"/>
      <c r="DA63" s="154"/>
    </row>
    <row r="64" spans="1:105" ht="409.5">
      <c r="A64" s="45">
        <v>46234</v>
      </c>
      <c r="B64" s="46" t="s">
        <v>305</v>
      </c>
      <c r="C64" s="5" t="s">
        <v>163</v>
      </c>
      <c r="D64" s="47">
        <v>7503057496701</v>
      </c>
      <c r="E64" s="48" t="s">
        <v>999</v>
      </c>
      <c r="F64" s="49" t="s">
        <v>1000</v>
      </c>
      <c r="G64" s="50" t="s">
        <v>60</v>
      </c>
      <c r="H64" s="51" t="s">
        <v>993</v>
      </c>
      <c r="I64" s="56" t="s">
        <v>689</v>
      </c>
      <c r="J64" s="49" t="s">
        <v>309</v>
      </c>
      <c r="K64" s="52">
        <v>1</v>
      </c>
      <c r="L64" s="525"/>
      <c r="M64" s="51"/>
      <c r="N64" s="49" t="s">
        <v>1001</v>
      </c>
      <c r="O64" s="51"/>
      <c r="P64" s="512" t="s">
        <v>1002</v>
      </c>
      <c r="Q64" s="49" t="s">
        <v>1003</v>
      </c>
      <c r="R64" s="51" t="s">
        <v>60</v>
      </c>
      <c r="S64" s="49" t="s">
        <v>996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997</v>
      </c>
      <c r="AC64" s="57">
        <v>199</v>
      </c>
      <c r="AD64" s="58" t="s">
        <v>998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819</v>
      </c>
      <c r="AL64" s="51" t="s">
        <v>134</v>
      </c>
      <c r="AM64" s="62">
        <v>6</v>
      </c>
      <c r="AN64" s="19">
        <f t="shared" si="38"/>
        <v>144</v>
      </c>
      <c r="AO64" s="203" t="s">
        <v>820</v>
      </c>
      <c r="AP64" s="205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4">
        <f t="shared" si="32"/>
        <v>0.77777777777777779</v>
      </c>
      <c r="BM64" s="172"/>
      <c r="BN64" s="172"/>
      <c r="BO64" s="172"/>
      <c r="BP64" s="172"/>
      <c r="BQ64" s="172"/>
      <c r="BR64" s="171" t="str">
        <f t="shared" si="14"/>
        <v>Todo ok por licencia. En producción.
Termina aprox 27/jun</v>
      </c>
      <c r="BS64" s="166">
        <f t="shared" si="35"/>
        <v>46296</v>
      </c>
      <c r="BT64" s="161" t="s">
        <v>170</v>
      </c>
      <c r="CJ64" s="161"/>
      <c r="CK64" s="161"/>
      <c r="CL64" s="161"/>
      <c r="CM64" s="161"/>
      <c r="CN64" s="161"/>
      <c r="CO64" s="161"/>
      <c r="CP64" s="155"/>
      <c r="CQ64" s="155"/>
      <c r="CR64" s="154"/>
      <c r="CS64" s="154"/>
      <c r="CT64" s="154"/>
      <c r="CU64" s="154"/>
      <c r="CV64" s="154"/>
      <c r="CW64" s="154"/>
      <c r="CX64" s="154"/>
      <c r="CY64" s="154"/>
      <c r="CZ64" s="154"/>
      <c r="DA64" s="154"/>
    </row>
    <row r="65" spans="1:105" ht="409.5">
      <c r="A65" s="45">
        <v>46234</v>
      </c>
      <c r="B65" s="46" t="s">
        <v>305</v>
      </c>
      <c r="C65" s="5" t="s">
        <v>163</v>
      </c>
      <c r="D65" s="47">
        <v>7503057496718</v>
      </c>
      <c r="E65" s="48" t="s">
        <v>1004</v>
      </c>
      <c r="F65" s="49" t="s">
        <v>1005</v>
      </c>
      <c r="G65" s="50" t="s">
        <v>60</v>
      </c>
      <c r="H65" s="51" t="s">
        <v>993</v>
      </c>
      <c r="I65" s="56" t="s">
        <v>689</v>
      </c>
      <c r="J65" s="49" t="s">
        <v>309</v>
      </c>
      <c r="K65" s="52">
        <v>1</v>
      </c>
      <c r="L65" s="525"/>
      <c r="M65" s="51"/>
      <c r="N65" s="49" t="s">
        <v>1006</v>
      </c>
      <c r="O65" s="51"/>
      <c r="P65" s="512" t="s">
        <v>1002</v>
      </c>
      <c r="Q65" s="49" t="s">
        <v>1007</v>
      </c>
      <c r="R65" s="51" t="s">
        <v>60</v>
      </c>
      <c r="S65" s="49" t="s">
        <v>996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997</v>
      </c>
      <c r="AC65" s="57">
        <v>179</v>
      </c>
      <c r="AD65" s="58" t="s">
        <v>998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819</v>
      </c>
      <c r="AL65" s="51" t="s">
        <v>134</v>
      </c>
      <c r="AM65" s="62">
        <v>6</v>
      </c>
      <c r="AN65" s="19">
        <f t="shared" si="38"/>
        <v>144</v>
      </c>
      <c r="AO65" s="203" t="s">
        <v>820</v>
      </c>
      <c r="AP65" s="205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4">
        <f t="shared" si="32"/>
        <v>0.77777777777777779</v>
      </c>
      <c r="BM65" s="172"/>
      <c r="BN65" s="172"/>
      <c r="BO65" s="172"/>
      <c r="BP65" s="172"/>
      <c r="BQ65" s="172"/>
      <c r="BR65" s="171" t="str">
        <f t="shared" si="14"/>
        <v>Todo ok por licencia. En producción.
Termina aprox 27/jun</v>
      </c>
      <c r="BS65" s="166">
        <f t="shared" si="35"/>
        <v>46296</v>
      </c>
      <c r="BT65" s="161" t="s">
        <v>170</v>
      </c>
      <c r="CJ65" s="161"/>
      <c r="CK65" s="161"/>
      <c r="CL65" s="161"/>
      <c r="CM65" s="161"/>
      <c r="CN65" s="161"/>
      <c r="CO65" s="161"/>
      <c r="CP65" s="155"/>
      <c r="CQ65" s="155"/>
      <c r="CR65" s="154"/>
      <c r="CS65" s="154"/>
      <c r="CT65" s="154"/>
      <c r="CU65" s="154"/>
      <c r="CV65" s="154"/>
      <c r="CW65" s="154"/>
      <c r="CX65" s="154"/>
      <c r="CY65" s="154"/>
      <c r="CZ65" s="154"/>
      <c r="DA65" s="154"/>
    </row>
    <row r="66" spans="1:105" ht="409.5">
      <c r="A66" s="45">
        <v>46234</v>
      </c>
      <c r="B66" s="46" t="s">
        <v>305</v>
      </c>
      <c r="C66" s="5" t="s">
        <v>163</v>
      </c>
      <c r="D66" s="47">
        <v>7503057496725</v>
      </c>
      <c r="E66" s="48" t="s">
        <v>1008</v>
      </c>
      <c r="F66" s="49" t="s">
        <v>1009</v>
      </c>
      <c r="G66" s="50" t="s">
        <v>60</v>
      </c>
      <c r="H66" s="51" t="s">
        <v>993</v>
      </c>
      <c r="I66" s="56" t="s">
        <v>689</v>
      </c>
      <c r="J66" s="49" t="s">
        <v>309</v>
      </c>
      <c r="K66" s="52">
        <v>1</v>
      </c>
      <c r="L66" s="525"/>
      <c r="M66" s="51"/>
      <c r="N66" s="49" t="s">
        <v>1010</v>
      </c>
      <c r="O66" s="51"/>
      <c r="P66" s="512" t="s">
        <v>1002</v>
      </c>
      <c r="Q66" s="49" t="s">
        <v>1011</v>
      </c>
      <c r="R66" s="51" t="s">
        <v>60</v>
      </c>
      <c r="S66" s="49" t="s">
        <v>996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997</v>
      </c>
      <c r="AC66" s="57">
        <v>179</v>
      </c>
      <c r="AD66" s="58" t="s">
        <v>998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819</v>
      </c>
      <c r="AL66" s="51" t="s">
        <v>134</v>
      </c>
      <c r="AM66" s="62">
        <v>6</v>
      </c>
      <c r="AN66" s="19">
        <f t="shared" si="38"/>
        <v>144</v>
      </c>
      <c r="AO66" s="203" t="s">
        <v>820</v>
      </c>
      <c r="AP66" s="205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4">
        <f t="shared" si="32"/>
        <v>0.77777777777777779</v>
      </c>
      <c r="BM66" s="172"/>
      <c r="BN66" s="172"/>
      <c r="BO66" s="172"/>
      <c r="BP66" s="172"/>
      <c r="BQ66" s="172"/>
      <c r="BR66" s="171" t="str">
        <f t="shared" si="14"/>
        <v>Todo ok por licencia. En producción.
Termina aprox 27/jun</v>
      </c>
      <c r="BS66" s="166">
        <f t="shared" si="35"/>
        <v>46296</v>
      </c>
      <c r="BT66" s="161" t="s">
        <v>170</v>
      </c>
      <c r="CJ66" s="161"/>
      <c r="CK66" s="161"/>
      <c r="CL66" s="161"/>
      <c r="CM66" s="161"/>
      <c r="CN66" s="161"/>
      <c r="CO66" s="161"/>
      <c r="CP66" s="155"/>
      <c r="CQ66" s="155"/>
      <c r="CR66" s="154"/>
      <c r="CS66" s="154"/>
      <c r="CT66" s="154"/>
      <c r="CU66" s="154"/>
      <c r="CV66" s="154"/>
      <c r="CW66" s="154"/>
      <c r="CX66" s="154"/>
      <c r="CY66" s="154"/>
      <c r="CZ66" s="154"/>
      <c r="DA66" s="154"/>
    </row>
    <row r="67" spans="1:105" ht="409.6" customHeight="1">
      <c r="A67" s="45">
        <v>46234</v>
      </c>
      <c r="B67" s="46" t="s">
        <v>305</v>
      </c>
      <c r="C67" s="5" t="s">
        <v>163</v>
      </c>
      <c r="D67" s="47">
        <v>7503057496732</v>
      </c>
      <c r="E67" s="48" t="s">
        <v>1012</v>
      </c>
      <c r="F67" s="49" t="s">
        <v>1013</v>
      </c>
      <c r="G67" s="50" t="s">
        <v>60</v>
      </c>
      <c r="H67" s="71" t="s">
        <v>812</v>
      </c>
      <c r="I67" s="56" t="s">
        <v>689</v>
      </c>
      <c r="J67" s="49" t="s">
        <v>309</v>
      </c>
      <c r="K67" s="52">
        <v>1</v>
      </c>
      <c r="L67" s="525" t="s">
        <v>813</v>
      </c>
      <c r="M67" s="51"/>
      <c r="N67" s="49" t="s">
        <v>1014</v>
      </c>
      <c r="O67" s="51"/>
      <c r="P67" s="512" t="s">
        <v>1002</v>
      </c>
      <c r="Q67" s="49" t="s">
        <v>1015</v>
      </c>
      <c r="R67" s="51" t="s">
        <v>60</v>
      </c>
      <c r="S67" s="49" t="s">
        <v>1016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911</v>
      </c>
      <c r="AC67" s="57">
        <v>179</v>
      </c>
      <c r="AD67" s="58" t="s">
        <v>1017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819</v>
      </c>
      <c r="AL67" s="51" t="s">
        <v>134</v>
      </c>
      <c r="AM67" s="62">
        <v>6</v>
      </c>
      <c r="AN67" s="19">
        <f t="shared" si="38"/>
        <v>144</v>
      </c>
      <c r="AO67" s="203" t="s">
        <v>820</v>
      </c>
      <c r="AP67" s="205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4">
        <f t="shared" si="32"/>
        <v>0.77777777777777779</v>
      </c>
      <c r="BM67" s="172"/>
      <c r="BN67" s="172"/>
      <c r="BO67" s="172"/>
      <c r="BP67" s="172"/>
      <c r="BQ67" s="172"/>
      <c r="BR67" s="171" t="str">
        <f t="shared" si="14"/>
        <v>Todo ok por licencia. En producción.
Termina aprox 27/jun</v>
      </c>
      <c r="BS67" s="166">
        <f t="shared" si="35"/>
        <v>46296</v>
      </c>
      <c r="BT67" s="161" t="s">
        <v>170</v>
      </c>
      <c r="CJ67" s="161"/>
      <c r="CK67" s="161"/>
      <c r="CL67" s="161"/>
      <c r="CM67" s="161"/>
      <c r="CN67" s="161"/>
      <c r="CO67" s="161"/>
      <c r="CP67" s="155"/>
      <c r="CQ67" s="155"/>
      <c r="CR67" s="154"/>
      <c r="CS67" s="154"/>
      <c r="CT67" s="154"/>
      <c r="CU67" s="154"/>
      <c r="CV67" s="154"/>
      <c r="CW67" s="154"/>
      <c r="CX67" s="154"/>
      <c r="CY67" s="154"/>
      <c r="CZ67" s="154"/>
      <c r="DA67" s="154"/>
    </row>
    <row r="68" spans="1:105" ht="409.5">
      <c r="A68" s="45">
        <v>46234</v>
      </c>
      <c r="B68" s="46" t="s">
        <v>305</v>
      </c>
      <c r="C68" s="5" t="s">
        <v>163</v>
      </c>
      <c r="D68" s="47">
        <v>7503057496749</v>
      </c>
      <c r="E68" s="48" t="s">
        <v>1018</v>
      </c>
      <c r="F68" s="49" t="s">
        <v>1019</v>
      </c>
      <c r="G68" s="50" t="s">
        <v>60</v>
      </c>
      <c r="H68" s="71" t="s">
        <v>812</v>
      </c>
      <c r="I68" s="56" t="s">
        <v>689</v>
      </c>
      <c r="J68" s="49" t="s">
        <v>309</v>
      </c>
      <c r="K68" s="52">
        <v>1</v>
      </c>
      <c r="L68" s="525"/>
      <c r="M68" s="51"/>
      <c r="N68" s="49" t="s">
        <v>1020</v>
      </c>
      <c r="O68" s="51"/>
      <c r="P68" s="512" t="s">
        <v>1021</v>
      </c>
      <c r="Q68" s="49" t="s">
        <v>1022</v>
      </c>
      <c r="R68" s="51" t="s">
        <v>60</v>
      </c>
      <c r="S68" s="49" t="s">
        <v>1016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911</v>
      </c>
      <c r="AC68" s="57">
        <v>179</v>
      </c>
      <c r="AD68" s="58" t="s">
        <v>1017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819</v>
      </c>
      <c r="AL68" s="51" t="s">
        <v>134</v>
      </c>
      <c r="AM68" s="62">
        <v>6</v>
      </c>
      <c r="AN68" s="19">
        <f t="shared" si="38"/>
        <v>144</v>
      </c>
      <c r="AO68" s="203" t="s">
        <v>820</v>
      </c>
      <c r="AP68" s="205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4">
        <f t="shared" si="32"/>
        <v>0.77777777777777779</v>
      </c>
      <c r="BM68" s="172"/>
      <c r="BN68" s="172"/>
      <c r="BO68" s="172"/>
      <c r="BP68" s="172"/>
      <c r="BQ68" s="172"/>
      <c r="BR68" s="171" t="str">
        <f t="shared" si="14"/>
        <v>Todo ok por licencia. En producción.
Termina aprox 27/jun</v>
      </c>
      <c r="BS68" s="166">
        <f t="shared" si="35"/>
        <v>46296</v>
      </c>
      <c r="BT68" s="161" t="s">
        <v>170</v>
      </c>
      <c r="CJ68" s="161"/>
      <c r="CK68" s="161"/>
      <c r="CL68" s="161"/>
      <c r="CM68" s="161"/>
      <c r="CN68" s="161"/>
      <c r="CO68" s="161"/>
      <c r="CP68" s="155"/>
      <c r="CQ68" s="155"/>
      <c r="CR68" s="154"/>
      <c r="CS68" s="154"/>
      <c r="CT68" s="154"/>
      <c r="CU68" s="154"/>
      <c r="CV68" s="154"/>
      <c r="CW68" s="154"/>
      <c r="CX68" s="154"/>
      <c r="CY68" s="154"/>
      <c r="CZ68" s="154"/>
      <c r="DA68" s="154"/>
    </row>
    <row r="69" spans="1:105" ht="409.5">
      <c r="A69" s="45">
        <v>46234</v>
      </c>
      <c r="B69" s="46" t="s">
        <v>305</v>
      </c>
      <c r="C69" s="5" t="s">
        <v>163</v>
      </c>
      <c r="D69" s="47">
        <v>7503057496756</v>
      </c>
      <c r="E69" s="48" t="s">
        <v>1023</v>
      </c>
      <c r="F69" s="49" t="s">
        <v>1024</v>
      </c>
      <c r="G69" s="50" t="s">
        <v>60</v>
      </c>
      <c r="H69" s="71" t="s">
        <v>812</v>
      </c>
      <c r="I69" s="56" t="s">
        <v>689</v>
      </c>
      <c r="J69" s="49" t="s">
        <v>309</v>
      </c>
      <c r="K69" s="52">
        <v>1</v>
      </c>
      <c r="L69" s="525"/>
      <c r="M69" s="51"/>
      <c r="N69" s="49" t="s">
        <v>1025</v>
      </c>
      <c r="O69" s="51"/>
      <c r="P69" s="512" t="s">
        <v>1021</v>
      </c>
      <c r="Q69" s="49" t="s">
        <v>873</v>
      </c>
      <c r="R69" s="49" t="s">
        <v>60</v>
      </c>
      <c r="S69" s="49" t="s">
        <v>1016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911</v>
      </c>
      <c r="AC69" s="57">
        <v>99</v>
      </c>
      <c r="AD69" s="58" t="s">
        <v>1017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819</v>
      </c>
      <c r="AL69" s="51" t="s">
        <v>134</v>
      </c>
      <c r="AM69" s="62">
        <v>6</v>
      </c>
      <c r="AN69" s="19">
        <f t="shared" si="38"/>
        <v>144</v>
      </c>
      <c r="AO69" s="203" t="s">
        <v>820</v>
      </c>
      <c r="AP69" s="205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4">
        <f t="shared" si="32"/>
        <v>0.77777777777777779</v>
      </c>
      <c r="BM69" s="172"/>
      <c r="BN69" s="172"/>
      <c r="BO69" s="172"/>
      <c r="BP69" s="172"/>
      <c r="BQ69" s="172"/>
      <c r="BR69" s="171" t="str">
        <f t="shared" si="14"/>
        <v>Todo ok por licencia. En producción.
Termina aprox 27/jun</v>
      </c>
      <c r="BS69" s="166">
        <f t="shared" si="35"/>
        <v>46296</v>
      </c>
      <c r="BT69" s="161" t="s">
        <v>170</v>
      </c>
    </row>
    <row r="70" spans="1:105" ht="409.5">
      <c r="A70" s="45">
        <v>46234</v>
      </c>
      <c r="B70" s="46" t="s">
        <v>305</v>
      </c>
      <c r="C70" s="5" t="s">
        <v>163</v>
      </c>
      <c r="D70" s="47">
        <v>7503057496763</v>
      </c>
      <c r="E70" s="48" t="s">
        <v>1026</v>
      </c>
      <c r="F70" s="49" t="s">
        <v>1027</v>
      </c>
      <c r="G70" s="50" t="s">
        <v>60</v>
      </c>
      <c r="H70" s="71" t="s">
        <v>812</v>
      </c>
      <c r="I70" s="56" t="s">
        <v>689</v>
      </c>
      <c r="J70" s="49" t="s">
        <v>309</v>
      </c>
      <c r="K70" s="52">
        <v>1</v>
      </c>
      <c r="L70" s="525"/>
      <c r="M70" s="51"/>
      <c r="N70" s="49" t="s">
        <v>1028</v>
      </c>
      <c r="O70" s="51"/>
      <c r="P70" s="511" t="s">
        <v>1021</v>
      </c>
      <c r="Q70" s="49" t="s">
        <v>1029</v>
      </c>
      <c r="R70" s="51" t="s">
        <v>60</v>
      </c>
      <c r="S70" s="49" t="s">
        <v>1016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911</v>
      </c>
      <c r="AC70" s="57">
        <v>99</v>
      </c>
      <c r="AD70" s="58" t="s">
        <v>1017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819</v>
      </c>
      <c r="AL70" s="51" t="s">
        <v>134</v>
      </c>
      <c r="AM70" s="62">
        <v>6</v>
      </c>
      <c r="AN70" s="19">
        <f t="shared" si="38"/>
        <v>144</v>
      </c>
      <c r="AO70" s="203" t="s">
        <v>820</v>
      </c>
      <c r="AP70" s="205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4">
        <f t="shared" si="32"/>
        <v>0.77777777777777779</v>
      </c>
      <c r="BM70" s="172"/>
      <c r="BN70" s="172"/>
      <c r="BO70" s="172"/>
      <c r="BP70" s="172"/>
      <c r="BQ70" s="172"/>
      <c r="BR70" s="171" t="str">
        <f t="shared" si="14"/>
        <v>Todo ok por licencia. En producción.
Termina aprox 27/jun</v>
      </c>
      <c r="BS70" s="166">
        <f t="shared" si="35"/>
        <v>46296</v>
      </c>
      <c r="BT70" s="161" t="s">
        <v>170</v>
      </c>
    </row>
    <row r="71" spans="1:105" ht="227.5">
      <c r="A71" s="45">
        <v>46234</v>
      </c>
      <c r="B71" s="46" t="s">
        <v>250</v>
      </c>
      <c r="C71" s="5" t="s">
        <v>276</v>
      </c>
      <c r="D71" s="47">
        <v>7503057496770</v>
      </c>
      <c r="E71" s="48" t="s">
        <v>1030</v>
      </c>
      <c r="F71" s="49" t="s">
        <v>1031</v>
      </c>
      <c r="G71" s="50" t="s">
        <v>60</v>
      </c>
      <c r="H71" s="51" t="s">
        <v>95</v>
      </c>
      <c r="I71" s="56" t="s">
        <v>689</v>
      </c>
      <c r="J71" s="49" t="s">
        <v>309</v>
      </c>
      <c r="K71" s="52">
        <v>1</v>
      </c>
      <c r="L71" s="512" t="s">
        <v>1032</v>
      </c>
      <c r="M71" s="51"/>
      <c r="N71" s="58" t="s">
        <v>1033</v>
      </c>
      <c r="O71" s="51"/>
      <c r="P71" s="58" t="s">
        <v>692</v>
      </c>
      <c r="Q71" s="49" t="s">
        <v>1034</v>
      </c>
      <c r="R71" s="51" t="s">
        <v>60</v>
      </c>
      <c r="S71" s="49" t="s">
        <v>692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1035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556</v>
      </c>
      <c r="AL71" s="51" t="s">
        <v>134</v>
      </c>
      <c r="AM71" s="62">
        <v>12</v>
      </c>
      <c r="AN71" s="19">
        <f>+AM71*12</f>
        <v>144</v>
      </c>
      <c r="AO71" s="203" t="s">
        <v>1036</v>
      </c>
      <c r="AP71" s="202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4">
        <f t="shared" si="32"/>
        <v>0.77777777777777779</v>
      </c>
      <c r="BM71" s="172"/>
      <c r="BN71" s="172"/>
      <c r="BO71" s="172"/>
      <c r="BP71" s="172"/>
      <c r="BQ71" s="172"/>
      <c r="BR71" s="171" t="str">
        <f t="shared" si="14"/>
        <v>Se hizo Pedido. En espera de OK de preproducción por parte de licencia</v>
      </c>
      <c r="BS71" s="166">
        <f t="shared" si="35"/>
        <v>0</v>
      </c>
      <c r="BT71" s="161" t="s">
        <v>689</v>
      </c>
    </row>
    <row r="72" spans="1:105" ht="292.5">
      <c r="A72" s="45">
        <v>46234</v>
      </c>
      <c r="B72" s="46" t="s">
        <v>250</v>
      </c>
      <c r="C72" s="5" t="s">
        <v>276</v>
      </c>
      <c r="D72" s="47">
        <v>7503057496787</v>
      </c>
      <c r="E72" s="48" t="s">
        <v>1037</v>
      </c>
      <c r="F72" s="49" t="s">
        <v>1038</v>
      </c>
      <c r="G72" s="50" t="s">
        <v>60</v>
      </c>
      <c r="H72" s="51" t="s">
        <v>1039</v>
      </c>
      <c r="I72" s="56" t="s">
        <v>689</v>
      </c>
      <c r="J72" s="49" t="s">
        <v>309</v>
      </c>
      <c r="K72" s="52">
        <v>1</v>
      </c>
      <c r="L72" s="511" t="s">
        <v>1040</v>
      </c>
      <c r="M72" s="51"/>
      <c r="N72" s="49" t="s">
        <v>1041</v>
      </c>
      <c r="O72" s="51"/>
      <c r="P72" s="511" t="s">
        <v>1042</v>
      </c>
      <c r="Q72" s="49" t="s">
        <v>1043</v>
      </c>
      <c r="R72" s="51" t="s">
        <v>692</v>
      </c>
      <c r="S72" s="49" t="s">
        <v>692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1044</v>
      </c>
      <c r="AC72" s="57">
        <v>99</v>
      </c>
      <c r="AD72" s="58" t="s">
        <v>1045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556</v>
      </c>
      <c r="AL72" s="51" t="s">
        <v>134</v>
      </c>
      <c r="AM72" s="62">
        <v>6</v>
      </c>
      <c r="AN72" s="19">
        <f>+AM72*12</f>
        <v>72</v>
      </c>
      <c r="AO72" s="203" t="s">
        <v>1046</v>
      </c>
      <c r="AP72" s="205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4">
        <f t="shared" si="32"/>
        <v>0.77777777777777779</v>
      </c>
      <c r="BM72" s="172"/>
      <c r="BN72" s="172"/>
      <c r="BO72" s="172"/>
      <c r="BP72" s="172"/>
      <c r="BQ72" s="172"/>
      <c r="BR72" s="171" t="str">
        <f t="shared" si="14"/>
        <v>Todo ok por licencia. En producción.
Termina aprox 20/jun</v>
      </c>
      <c r="BS72" s="166">
        <f t="shared" si="35"/>
        <v>46285</v>
      </c>
      <c r="BT72" s="161" t="s">
        <v>170</v>
      </c>
    </row>
    <row r="73" spans="1:105">
      <c r="BS73" s="166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5"/>
  <sheetViews>
    <sheetView zoomScale="40" zoomScaleNormal="40" workbookViewId="0">
      <pane xSplit="7" topLeftCell="BE1" activePane="topRight" state="frozen"/>
      <selection activeCell="A17" sqref="A17"/>
      <selection pane="topRight" activeCell="BJ18" sqref="BJ18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hidden="1" customWidth="1"/>
    <col min="9" max="9" width="35" hidden="1" customWidth="1"/>
    <col min="10" max="10" width="22.453125" hidden="1" customWidth="1"/>
    <col min="11" max="11" width="59.54296875" hidden="1" customWidth="1"/>
    <col min="12" max="12" width="20.81640625" hidden="1" customWidth="1"/>
    <col min="13" max="13" width="49.1796875" hidden="1" customWidth="1"/>
    <col min="14" max="14" width="53" hidden="1" customWidth="1"/>
    <col min="15" max="15" width="25.1796875" hidden="1" customWidth="1"/>
    <col min="16" max="16" width="54.1796875" hidden="1" customWidth="1"/>
    <col min="17" max="18" width="35.54296875" hidden="1" customWidth="1"/>
    <col min="19" max="19" width="22.453125" hidden="1" customWidth="1"/>
    <col min="20" max="20" width="57.81640625" hidden="1" customWidth="1"/>
    <col min="21" max="21" width="27.81640625" hidden="1" customWidth="1"/>
    <col min="22" max="22" width="55.54296875" hidden="1" customWidth="1"/>
    <col min="23" max="23" width="48.1796875" hidden="1" customWidth="1"/>
    <col min="24" max="24" width="56.81640625" hidden="1" customWidth="1"/>
    <col min="25" max="25" width="49.1796875" hidden="1" customWidth="1"/>
    <col min="26" max="26" width="54.54296875" hidden="1" customWidth="1"/>
    <col min="27" max="27" width="48.453125" hidden="1" customWidth="1"/>
    <col min="28" max="28" width="48.1796875" hidden="1" customWidth="1"/>
    <col min="29" max="29" width="55" hidden="1" customWidth="1"/>
    <col min="30" max="30" width="45.453125" hidden="1" customWidth="1"/>
    <col min="31" max="31" width="59" hidden="1" customWidth="1"/>
    <col min="32" max="32" width="36.54296875" hidden="1" customWidth="1"/>
    <col min="33" max="33" width="33.453125" hidden="1" customWidth="1"/>
    <col min="34" max="34" width="47" hidden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65" customWidth="1"/>
    <col min="39" max="39" width="60.26953125" customWidth="1"/>
    <col min="40" max="44" width="31.1796875" hidden="1" customWidth="1"/>
    <col min="45" max="52" width="10.453125" customWidth="1"/>
    <col min="53" max="64" width="28.81640625" customWidth="1"/>
    <col min="65" max="69" width="28.81640625" style="124" customWidth="1"/>
    <col min="70" max="70" width="42.81640625" style="157" customWidth="1"/>
    <col min="71" max="71" width="28.81640625" style="157" customWidth="1"/>
    <col min="72" max="72" width="43" style="157" customWidth="1"/>
    <col min="73" max="76" width="28.81640625" customWidth="1"/>
    <col min="88" max="88" width="35.453125" style="219" customWidth="1"/>
    <col min="89" max="91" width="35.453125" style="162" customWidth="1"/>
    <col min="92" max="92" width="35.453125" style="219" customWidth="1"/>
    <col min="93" max="93" width="35.453125" style="162" customWidth="1"/>
    <col min="94" max="94" width="35.453125" style="219" customWidth="1"/>
    <col min="95" max="95" width="35.453125" style="162" customWidth="1"/>
    <col min="96" max="96" width="35.453125" style="225" customWidth="1"/>
    <col min="97" max="97" width="35.453125" style="153" customWidth="1"/>
    <col min="98" max="98" width="35.453125" style="219" customWidth="1"/>
    <col min="99" max="99" width="35.453125" style="162" customWidth="1"/>
    <col min="100" max="100" width="35.453125" style="225" customWidth="1"/>
    <col min="101" max="101" width="35.453125" style="153" customWidth="1"/>
    <col min="102" max="102" width="35.453125" style="225" customWidth="1"/>
    <col min="103" max="103" width="35.453125" style="153" customWidth="1"/>
    <col min="104" max="104" width="35.453125" style="225" customWidth="1"/>
    <col min="105" max="105" width="35.453125" style="153" customWidth="1"/>
    <col min="106" max="106" width="35.453125" style="225" customWidth="1"/>
    <col min="107" max="107" width="35.453125" style="153" customWidth="1"/>
  </cols>
  <sheetData>
    <row r="1" spans="1:107" s="124" customFormat="1" ht="32.5">
      <c r="A1" s="173"/>
      <c r="B1" s="174" t="s">
        <v>13</v>
      </c>
      <c r="C1" s="175" t="s">
        <v>276</v>
      </c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AB1" s="144"/>
      <c r="AC1" s="144"/>
      <c r="AD1" s="144"/>
      <c r="AE1" s="144"/>
      <c r="AF1" s="144"/>
      <c r="AG1" s="144"/>
      <c r="AH1" s="144"/>
      <c r="AI1" s="144"/>
      <c r="AJ1" s="144"/>
      <c r="AK1" s="144"/>
      <c r="AL1" s="144"/>
      <c r="AN1" s="134"/>
      <c r="AO1" s="134"/>
      <c r="AP1" s="134"/>
      <c r="AQ1" s="134"/>
      <c r="AR1" s="134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BM1" s="121"/>
      <c r="BN1" s="121"/>
      <c r="BO1" s="121"/>
      <c r="BP1" s="121"/>
      <c r="BQ1" s="121"/>
      <c r="BR1" s="156"/>
      <c r="BS1" s="156"/>
      <c r="BT1" s="156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  <c r="DB1" s="121"/>
      <c r="DC1" s="121"/>
    </row>
    <row r="2" spans="1:107" s="124" customFormat="1" ht="32.5">
      <c r="A2" s="527" t="s">
        <v>1047</v>
      </c>
      <c r="B2" s="527"/>
      <c r="C2" s="513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AB2" s="144"/>
      <c r="AC2" s="144"/>
      <c r="AD2" s="144"/>
      <c r="AE2" s="144"/>
      <c r="AF2" s="144"/>
      <c r="AG2" s="144"/>
      <c r="AH2" s="144"/>
      <c r="AI2" s="144"/>
      <c r="AJ2" s="144"/>
      <c r="AK2" s="144"/>
      <c r="AL2" s="144"/>
      <c r="AN2" s="134"/>
      <c r="AO2" s="134"/>
      <c r="AP2" s="134"/>
      <c r="AQ2" s="134"/>
      <c r="AR2" s="134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21"/>
      <c r="BL2" s="121"/>
      <c r="BM2" s="121"/>
      <c r="BN2" s="121"/>
      <c r="BO2" s="121"/>
      <c r="BP2" s="121"/>
      <c r="BQ2" s="121"/>
      <c r="BR2" s="156"/>
      <c r="BS2" s="156"/>
      <c r="BT2" s="156"/>
      <c r="CJ2" s="121"/>
      <c r="CK2" s="121"/>
      <c r="CL2" s="121"/>
      <c r="CM2" s="121"/>
      <c r="CN2" s="121"/>
      <c r="CO2" s="121"/>
      <c r="CP2" s="121"/>
      <c r="CQ2" s="121"/>
      <c r="CR2" s="121"/>
      <c r="CS2" s="121"/>
      <c r="CT2" s="121"/>
      <c r="CU2" s="121"/>
      <c r="CV2" s="121"/>
      <c r="CW2" s="121"/>
      <c r="CX2" s="121"/>
      <c r="CY2" s="121"/>
      <c r="CZ2" s="121"/>
      <c r="DA2" s="121"/>
      <c r="DB2" s="121"/>
      <c r="DC2" s="121"/>
    </row>
    <row r="3" spans="1:107" s="124" customFormat="1" ht="32.5">
      <c r="A3" s="176" t="s">
        <v>282</v>
      </c>
      <c r="B3" s="177">
        <v>46101</v>
      </c>
      <c r="C3" s="178">
        <v>46107</v>
      </c>
      <c r="D3" s="144"/>
      <c r="E3" s="176" t="s">
        <v>282</v>
      </c>
      <c r="F3" s="177">
        <v>46101</v>
      </c>
      <c r="G3" s="178">
        <v>46107</v>
      </c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AB3" s="144"/>
      <c r="AC3" s="144"/>
      <c r="AD3" s="144"/>
      <c r="AE3" s="144"/>
      <c r="AF3" s="144"/>
      <c r="AG3" s="144"/>
      <c r="AH3" s="144"/>
      <c r="AI3" s="144"/>
      <c r="AJ3" s="144"/>
      <c r="AK3" s="144"/>
      <c r="AL3" s="144"/>
      <c r="AN3" s="134"/>
      <c r="AO3" s="134"/>
      <c r="AP3" s="134"/>
      <c r="AQ3" s="134"/>
      <c r="AR3" s="134"/>
      <c r="BA3" s="121"/>
      <c r="BB3" s="121"/>
      <c r="BC3" s="121"/>
      <c r="BD3" s="121"/>
      <c r="BE3" s="121"/>
      <c r="BF3" s="121"/>
      <c r="BG3" s="121"/>
      <c r="BH3" s="121"/>
      <c r="BI3" s="121"/>
      <c r="BJ3" s="121"/>
      <c r="BK3" s="121"/>
      <c r="BL3" s="121"/>
      <c r="BM3" s="121"/>
      <c r="BN3" s="121"/>
      <c r="BO3" s="121"/>
      <c r="BP3" s="121"/>
      <c r="BQ3" s="121"/>
      <c r="BR3" s="156"/>
      <c r="BS3" s="156"/>
      <c r="BT3" s="156"/>
      <c r="CJ3" s="121"/>
      <c r="CK3" s="121"/>
      <c r="CL3" s="121"/>
      <c r="CM3" s="121"/>
      <c r="CN3" s="121"/>
      <c r="CO3" s="121"/>
      <c r="CP3" s="121"/>
      <c r="CQ3" s="121"/>
      <c r="CR3" s="121"/>
      <c r="CS3" s="121"/>
      <c r="CT3" s="121"/>
      <c r="CU3" s="121"/>
      <c r="CV3" s="121"/>
      <c r="CW3" s="121"/>
      <c r="CX3" s="121"/>
      <c r="CY3" s="121"/>
      <c r="CZ3" s="121"/>
      <c r="DA3" s="121"/>
      <c r="DB3" s="121"/>
      <c r="DC3" s="121"/>
    </row>
    <row r="4" spans="1:107" s="124" customFormat="1" ht="32.5">
      <c r="A4" s="179" t="s">
        <v>1048</v>
      </c>
      <c r="B4" s="180"/>
      <c r="C4" s="180">
        <v>46111</v>
      </c>
      <c r="D4" s="144"/>
      <c r="E4" s="179" t="s">
        <v>1048</v>
      </c>
      <c r="F4" s="180"/>
      <c r="G4" s="180">
        <f>+G3+2</f>
        <v>46109</v>
      </c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4"/>
      <c r="U4" s="144"/>
      <c r="V4" s="144"/>
      <c r="W4" s="144"/>
      <c r="X4" s="144"/>
      <c r="AB4" s="144"/>
      <c r="AC4" s="144"/>
      <c r="AD4" s="144"/>
      <c r="AE4" s="144"/>
      <c r="AF4" s="144"/>
      <c r="AG4" s="144"/>
      <c r="AH4" s="144"/>
      <c r="AI4" s="144"/>
      <c r="AJ4" s="144"/>
      <c r="AK4" s="144"/>
      <c r="AL4" s="144"/>
      <c r="AN4" s="134"/>
      <c r="AO4" s="134"/>
      <c r="AP4" s="134"/>
      <c r="AQ4" s="134"/>
      <c r="AR4" s="134"/>
      <c r="BA4" s="121"/>
      <c r="BB4" s="121"/>
      <c r="BC4" s="121"/>
      <c r="BD4" s="121"/>
      <c r="BE4" s="121"/>
      <c r="BF4" s="121"/>
      <c r="BG4" s="121"/>
      <c r="BH4" s="121"/>
      <c r="BI4" s="121"/>
      <c r="BJ4" s="121"/>
      <c r="BK4" s="121"/>
      <c r="BL4" s="121"/>
      <c r="BM4" s="121"/>
      <c r="BN4" s="121"/>
      <c r="BO4" s="121"/>
      <c r="BP4" s="121"/>
      <c r="BQ4" s="121"/>
      <c r="BR4" s="156"/>
      <c r="BS4" s="156"/>
      <c r="BT4" s="156"/>
      <c r="CJ4" s="121"/>
      <c r="CK4" s="121"/>
      <c r="CL4" s="121"/>
      <c r="CM4" s="121"/>
      <c r="CN4" s="121"/>
      <c r="CO4" s="121"/>
      <c r="CP4" s="121"/>
      <c r="CQ4" s="121"/>
      <c r="CR4" s="121"/>
      <c r="CS4" s="121"/>
      <c r="CT4" s="121"/>
      <c r="CU4" s="121"/>
      <c r="CV4" s="121"/>
      <c r="CW4" s="121"/>
      <c r="CX4" s="121"/>
      <c r="CY4" s="121"/>
      <c r="CZ4" s="121"/>
      <c r="DA4" s="121"/>
      <c r="DB4" s="121"/>
      <c r="DC4" s="121"/>
    </row>
    <row r="5" spans="1:107" s="124" customFormat="1" ht="32.5">
      <c r="A5" s="176" t="s">
        <v>284</v>
      </c>
      <c r="B5" s="178">
        <f>+B3+50</f>
        <v>46151</v>
      </c>
      <c r="C5" s="178">
        <v>46162</v>
      </c>
      <c r="D5" s="144"/>
      <c r="E5" s="176" t="s">
        <v>1049</v>
      </c>
      <c r="F5" s="178"/>
      <c r="G5" s="178">
        <f>+G4+10</f>
        <v>46119</v>
      </c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/>
      <c r="U5" s="144"/>
      <c r="V5" s="144"/>
      <c r="W5" s="144"/>
      <c r="X5" s="144"/>
      <c r="AB5" s="144"/>
      <c r="AC5" s="144"/>
      <c r="AD5" s="144"/>
      <c r="AE5" s="144"/>
      <c r="AF5" s="144"/>
      <c r="AG5" s="144"/>
      <c r="AH5" s="144"/>
      <c r="AI5" s="144"/>
      <c r="AJ5" s="144"/>
      <c r="AK5" s="144"/>
      <c r="AL5" s="144"/>
      <c r="AN5" s="134"/>
      <c r="AO5" s="134"/>
      <c r="AP5" s="134"/>
      <c r="AQ5" s="134"/>
      <c r="AR5" s="134"/>
      <c r="BA5" s="121"/>
      <c r="BB5" s="121"/>
      <c r="BC5" s="121"/>
      <c r="BD5" s="121"/>
      <c r="BE5" s="121"/>
      <c r="BF5" s="121"/>
      <c r="BG5" s="121"/>
      <c r="BH5" s="121"/>
      <c r="BI5" s="121"/>
      <c r="BJ5" s="121"/>
      <c r="BK5" s="121"/>
      <c r="BL5" s="121"/>
      <c r="BM5" s="121"/>
      <c r="BN5" s="121"/>
      <c r="BO5" s="121"/>
      <c r="BP5" s="121"/>
      <c r="BQ5" s="121"/>
      <c r="BR5" s="156"/>
      <c r="BS5" s="156"/>
      <c r="BT5" s="156"/>
      <c r="CJ5" s="121"/>
      <c r="CK5" s="121"/>
      <c r="CL5" s="121"/>
      <c r="CM5" s="121"/>
      <c r="CN5" s="121"/>
      <c r="CO5" s="121"/>
      <c r="CP5" s="121"/>
      <c r="CQ5" s="121"/>
      <c r="CR5" s="121"/>
      <c r="CS5" s="121"/>
      <c r="CT5" s="121"/>
      <c r="CU5" s="121"/>
      <c r="CV5" s="121"/>
      <c r="CW5" s="121"/>
      <c r="CX5" s="121"/>
      <c r="CY5" s="121"/>
      <c r="CZ5" s="121"/>
      <c r="DA5" s="121"/>
      <c r="DB5" s="121"/>
      <c r="DC5" s="121"/>
    </row>
    <row r="6" spans="1:107" s="124" customFormat="1" ht="32.5">
      <c r="A6" s="176" t="s">
        <v>283</v>
      </c>
      <c r="B6" s="178">
        <f>+B5+45</f>
        <v>46196</v>
      </c>
      <c r="C6" s="178">
        <f>+C5+45</f>
        <v>46207</v>
      </c>
      <c r="D6" s="144"/>
      <c r="E6" s="176" t="s">
        <v>284</v>
      </c>
      <c r="F6" s="178"/>
      <c r="G6" s="178">
        <f>+G5+40</f>
        <v>46159</v>
      </c>
      <c r="H6" s="144"/>
      <c r="I6" s="144"/>
      <c r="J6" s="144"/>
      <c r="K6" s="144"/>
      <c r="L6" s="144"/>
      <c r="M6" s="144"/>
      <c r="N6" s="144"/>
      <c r="O6" s="144"/>
      <c r="P6" s="144"/>
      <c r="Q6" s="144"/>
      <c r="R6" s="144"/>
      <c r="S6" s="144"/>
      <c r="T6" s="144"/>
      <c r="U6" s="144"/>
      <c r="V6" s="144"/>
      <c r="W6" s="144"/>
      <c r="X6" s="144"/>
      <c r="AB6" s="144"/>
      <c r="AC6" s="144"/>
      <c r="AD6" s="144"/>
      <c r="AE6" s="144"/>
      <c r="AF6" s="144"/>
      <c r="AG6" s="144"/>
      <c r="AH6" s="144"/>
      <c r="AI6" s="144"/>
      <c r="AJ6" s="144"/>
      <c r="AK6" s="144"/>
      <c r="AL6" s="144"/>
      <c r="AN6" s="134"/>
      <c r="AO6" s="134"/>
      <c r="AP6" s="134"/>
      <c r="AQ6" s="134"/>
      <c r="AR6" s="134"/>
      <c r="BA6" s="121"/>
      <c r="BB6" s="121"/>
      <c r="BC6" s="121"/>
      <c r="BD6" s="121"/>
      <c r="BE6" s="121"/>
      <c r="BF6" s="121"/>
      <c r="BG6" s="121"/>
      <c r="BH6" s="121"/>
      <c r="BI6" s="121"/>
      <c r="BJ6" s="121"/>
      <c r="BK6" s="121"/>
      <c r="BL6" s="121"/>
      <c r="BM6" s="121"/>
      <c r="BN6" s="121"/>
      <c r="BO6" s="121"/>
      <c r="BP6" s="121"/>
      <c r="BQ6" s="121"/>
      <c r="BR6" s="156"/>
      <c r="BS6" s="156"/>
      <c r="BT6" s="156"/>
      <c r="CJ6" s="121"/>
      <c r="CK6" s="121"/>
      <c r="CL6" s="121"/>
      <c r="CM6" s="121"/>
      <c r="CN6" s="121"/>
      <c r="CO6" s="121"/>
      <c r="CP6" s="121"/>
      <c r="CQ6" s="121"/>
      <c r="CR6" s="121"/>
      <c r="CS6" s="121"/>
      <c r="CT6" s="121"/>
      <c r="CU6" s="121"/>
      <c r="CV6" s="121"/>
      <c r="CW6" s="121"/>
      <c r="CX6" s="121"/>
      <c r="CY6" s="121"/>
      <c r="CZ6" s="121"/>
      <c r="DA6" s="121"/>
      <c r="DB6" s="121"/>
      <c r="DC6" s="121"/>
    </row>
    <row r="7" spans="1:107" s="124" customFormat="1" ht="32.5">
      <c r="A7" s="176" t="s">
        <v>285</v>
      </c>
      <c r="B7" s="178">
        <f>+B5+65</f>
        <v>46216</v>
      </c>
      <c r="C7" s="178">
        <f>+C5+65</f>
        <v>46227</v>
      </c>
      <c r="D7" s="144"/>
      <c r="E7" s="176" t="s">
        <v>283</v>
      </c>
      <c r="F7" s="178"/>
      <c r="G7" s="178">
        <f>+G6+1</f>
        <v>46160</v>
      </c>
      <c r="H7" s="144"/>
      <c r="I7" s="144"/>
      <c r="J7" s="144"/>
      <c r="K7" s="144"/>
      <c r="L7" s="144"/>
      <c r="M7" s="144"/>
      <c r="N7" s="144"/>
      <c r="O7" s="144"/>
      <c r="P7" s="144"/>
      <c r="Q7" s="144"/>
      <c r="R7" s="144"/>
      <c r="S7" s="144"/>
      <c r="T7" s="144"/>
      <c r="U7" s="144"/>
      <c r="V7" s="144"/>
      <c r="W7" s="144"/>
      <c r="X7" s="144"/>
      <c r="AB7" s="144"/>
      <c r="AC7" s="144"/>
      <c r="AD7" s="144"/>
      <c r="AE7" s="144"/>
      <c r="AF7" s="144"/>
      <c r="AG7" s="144"/>
      <c r="AH7" s="144"/>
      <c r="AI7" s="144"/>
      <c r="AJ7" s="144"/>
      <c r="AK7" s="144"/>
      <c r="AL7" s="144"/>
      <c r="AN7" s="134"/>
      <c r="AO7" s="134"/>
      <c r="AP7" s="134"/>
      <c r="AQ7" s="134"/>
      <c r="AR7" s="134"/>
      <c r="BA7" s="121"/>
      <c r="BB7" s="121"/>
      <c r="BC7" s="121"/>
      <c r="BD7" s="121"/>
      <c r="BE7" s="121"/>
      <c r="BF7" s="121"/>
      <c r="BG7" s="121"/>
      <c r="BH7" s="121"/>
      <c r="BI7" s="121"/>
      <c r="BJ7" s="121"/>
      <c r="BK7" s="121"/>
      <c r="BL7" s="121"/>
      <c r="BM7" s="121"/>
      <c r="BN7" s="121"/>
      <c r="BO7" s="121"/>
      <c r="BP7" s="121"/>
      <c r="BQ7" s="121"/>
      <c r="BR7" s="156"/>
      <c r="BS7" s="156"/>
      <c r="BT7" s="156"/>
      <c r="CJ7" s="121"/>
      <c r="CK7" s="121"/>
      <c r="CL7" s="121"/>
      <c r="CM7" s="121"/>
      <c r="CN7" s="121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  <c r="DB7" s="121"/>
      <c r="DC7" s="121"/>
    </row>
    <row r="8" spans="1:107" s="124" customFormat="1" ht="32.5">
      <c r="A8" s="176" t="s">
        <v>286</v>
      </c>
      <c r="B8" s="181">
        <f>+B7+7</f>
        <v>46223</v>
      </c>
      <c r="C8" s="182">
        <f>+C7+7</f>
        <v>46234</v>
      </c>
      <c r="D8" s="144"/>
      <c r="E8" s="176" t="s">
        <v>285</v>
      </c>
      <c r="F8" s="178"/>
      <c r="G8" s="178">
        <f>+G7+65</f>
        <v>46225</v>
      </c>
      <c r="H8" s="144"/>
      <c r="I8" s="144"/>
      <c r="J8" s="144"/>
      <c r="K8" s="144"/>
      <c r="L8" s="144"/>
      <c r="M8" s="144"/>
      <c r="N8" s="144"/>
      <c r="O8" s="144"/>
      <c r="P8" s="144"/>
      <c r="Q8" s="144"/>
      <c r="R8" s="144"/>
      <c r="S8" s="144"/>
      <c r="T8" s="144"/>
      <c r="U8" s="144"/>
      <c r="V8" s="144"/>
      <c r="W8" s="144"/>
      <c r="X8" s="144"/>
      <c r="AB8" s="144"/>
      <c r="AC8" s="144"/>
      <c r="AD8" s="144"/>
      <c r="AE8" s="144"/>
      <c r="AF8" s="144"/>
      <c r="AG8" s="144"/>
      <c r="AH8" s="144"/>
      <c r="AI8" s="144"/>
      <c r="AJ8" s="144"/>
      <c r="AK8" s="144"/>
      <c r="AL8" s="144"/>
      <c r="AN8" s="134"/>
      <c r="AO8" s="134"/>
      <c r="AP8" s="134"/>
      <c r="AQ8" s="134"/>
      <c r="AR8" s="134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56"/>
      <c r="BS8" s="156"/>
      <c r="BT8" s="156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  <c r="DB8" s="121"/>
      <c r="DC8" s="121"/>
    </row>
    <row r="9" spans="1:107" s="124" customFormat="1" ht="32.5">
      <c r="A9" s="183"/>
      <c r="B9" s="183"/>
      <c r="C9" s="183"/>
      <c r="D9" s="144"/>
      <c r="E9" s="176" t="s">
        <v>286</v>
      </c>
      <c r="F9" s="181"/>
      <c r="G9" s="182">
        <f>+G8+7</f>
        <v>46232</v>
      </c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  <c r="AD9" s="144"/>
      <c r="AE9" s="144"/>
      <c r="AF9" s="144"/>
      <c r="AG9" s="144"/>
      <c r="AH9" s="144"/>
      <c r="AI9" s="144"/>
      <c r="AJ9" s="144"/>
      <c r="AK9" s="144"/>
      <c r="AL9" s="144"/>
      <c r="AN9" s="134"/>
      <c r="AO9" s="134"/>
      <c r="AP9" s="134"/>
      <c r="AQ9" s="134"/>
      <c r="AR9" s="134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1"/>
      <c r="BR9" s="156"/>
      <c r="BS9" s="156"/>
      <c r="BT9" s="156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1"/>
      <c r="CY9" s="121"/>
      <c r="CZ9" s="121"/>
      <c r="DA9" s="121"/>
      <c r="DB9" s="121"/>
      <c r="DC9" s="121"/>
    </row>
    <row r="10" spans="1:107" s="124" customFormat="1" ht="32.5">
      <c r="A10" s="144"/>
      <c r="B10" s="144"/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44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  <c r="AD10" s="144"/>
      <c r="AE10" s="144"/>
      <c r="AF10" s="144"/>
      <c r="AG10" s="144"/>
      <c r="AH10" s="144"/>
      <c r="AI10" s="144"/>
      <c r="AJ10" s="144"/>
      <c r="AK10" s="144"/>
      <c r="AL10" s="144"/>
      <c r="AN10" s="134"/>
      <c r="AO10" s="134"/>
      <c r="AP10" s="134"/>
      <c r="AQ10" s="134"/>
      <c r="AR10" s="134"/>
      <c r="BA10" s="121"/>
      <c r="BB10" s="121"/>
      <c r="BC10" s="121"/>
      <c r="BD10" s="121"/>
      <c r="BE10" s="121"/>
      <c r="BF10" s="121"/>
      <c r="BG10" s="121"/>
      <c r="BH10" s="121"/>
      <c r="BI10" s="121"/>
      <c r="BJ10" s="121"/>
      <c r="BK10" s="121"/>
      <c r="BL10" s="121"/>
      <c r="BM10" s="121"/>
      <c r="BN10" s="121"/>
      <c r="BO10" s="121"/>
      <c r="BP10" s="121"/>
      <c r="BQ10" s="121"/>
      <c r="BR10" s="156"/>
      <c r="BS10" s="156"/>
      <c r="BT10" s="156"/>
      <c r="CJ10" s="121"/>
      <c r="CK10" s="121"/>
      <c r="CL10" s="121"/>
      <c r="CM10" s="121"/>
      <c r="CN10" s="121"/>
      <c r="CO10" s="121"/>
      <c r="CP10" s="121"/>
      <c r="CQ10" s="121"/>
      <c r="CR10" s="121"/>
      <c r="CS10" s="121"/>
      <c r="CT10" s="121"/>
      <c r="CU10" s="121"/>
      <c r="CV10" s="121"/>
      <c r="CW10" s="121"/>
      <c r="CX10" s="121"/>
      <c r="CY10" s="121"/>
      <c r="CZ10" s="121"/>
      <c r="DA10" s="121"/>
      <c r="DB10" s="121"/>
      <c r="DC10" s="121"/>
    </row>
    <row r="11" spans="1:107" s="124" customFormat="1" ht="32.5">
      <c r="A11" s="144"/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  <c r="AD11" s="144"/>
      <c r="AE11" s="144"/>
      <c r="AF11" s="144"/>
      <c r="AG11" s="144"/>
      <c r="AH11" s="144"/>
      <c r="AI11" s="144"/>
      <c r="AJ11" s="144"/>
      <c r="AK11" s="144"/>
      <c r="AL11" s="144"/>
      <c r="AN11" s="134"/>
      <c r="AO11" s="134"/>
      <c r="AP11" s="134"/>
      <c r="AQ11" s="134"/>
      <c r="AR11" s="134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21"/>
      <c r="BQ11" s="121"/>
      <c r="BR11" s="156"/>
      <c r="BS11" s="156"/>
      <c r="BT11" s="156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1"/>
      <c r="CY11" s="121"/>
      <c r="CZ11" s="121"/>
      <c r="DA11" s="121"/>
      <c r="DB11" s="121"/>
      <c r="DC11" s="121"/>
    </row>
    <row r="12" spans="1:107" s="124" customFormat="1" ht="32.5">
      <c r="A12" s="144"/>
      <c r="B12" s="144"/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4"/>
      <c r="N12" s="144"/>
      <c r="O12" s="144"/>
      <c r="P12" s="144"/>
      <c r="Q12" s="144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  <c r="AD12" s="144"/>
      <c r="AE12" s="144"/>
      <c r="AF12" s="144"/>
      <c r="AG12" s="144"/>
      <c r="AH12" s="144"/>
      <c r="AI12" s="144"/>
      <c r="AJ12" s="144"/>
      <c r="AK12" s="144"/>
      <c r="AL12" s="144"/>
      <c r="AN12" s="134"/>
      <c r="AO12" s="134"/>
      <c r="AP12" s="134"/>
      <c r="AQ12" s="134"/>
      <c r="AR12" s="134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56"/>
      <c r="BS12" s="156"/>
      <c r="BT12" s="156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  <c r="DB12" s="121"/>
      <c r="DC12" s="121"/>
    </row>
    <row r="13" spans="1:107" s="124" customFormat="1" ht="32.5">
      <c r="A13" s="144"/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4"/>
      <c r="AJ13" s="144"/>
      <c r="AK13" s="144"/>
      <c r="AL13" s="144"/>
      <c r="AN13" s="134"/>
      <c r="AO13" s="134"/>
      <c r="AP13" s="134"/>
      <c r="AQ13" s="134"/>
      <c r="AR13" s="134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  <c r="BM13" s="121"/>
      <c r="BN13" s="121"/>
      <c r="BO13" s="121"/>
      <c r="BP13" s="121"/>
      <c r="BQ13" s="121"/>
      <c r="BR13" s="156"/>
      <c r="BS13" s="156"/>
      <c r="BT13" s="156"/>
      <c r="CJ13" s="215"/>
      <c r="CN13" s="215"/>
      <c r="CP13" s="215"/>
      <c r="CR13" s="215"/>
      <c r="CT13" s="215"/>
      <c r="CV13" s="215"/>
      <c r="CX13" s="215"/>
      <c r="CZ13" s="215"/>
      <c r="DB13" s="215"/>
    </row>
    <row r="14" spans="1:107" s="124" customFormat="1" ht="35.15" customHeight="1">
      <c r="A14" s="144"/>
      <c r="B14" s="144"/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4"/>
      <c r="AN14" s="134"/>
      <c r="AO14" s="134"/>
      <c r="AP14" s="134"/>
      <c r="AQ14" s="134"/>
      <c r="AR14" s="134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1"/>
      <c r="BR14" s="156"/>
      <c r="BS14" s="156"/>
      <c r="BT14" s="156"/>
      <c r="CJ14" s="523" t="s">
        <v>0</v>
      </c>
      <c r="CK14" s="524"/>
      <c r="CL14" s="524"/>
      <c r="CM14" s="524"/>
      <c r="CN14" s="524"/>
      <c r="CO14" s="524"/>
      <c r="CP14" s="524"/>
      <c r="CQ14" s="524"/>
      <c r="CR14" s="524"/>
      <c r="CS14" s="524"/>
      <c r="CT14" s="524"/>
      <c r="CU14" s="524"/>
      <c r="CV14" s="524"/>
      <c r="CW14" s="524"/>
      <c r="CX14" s="524"/>
      <c r="CY14" s="524"/>
      <c r="CZ14" s="524"/>
      <c r="DA14" s="524"/>
      <c r="DB14" s="524"/>
      <c r="DC14" s="524"/>
    </row>
    <row r="15" spans="1:107" s="124" customFormat="1" ht="56">
      <c r="A15" s="144"/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4"/>
      <c r="U15" s="144"/>
      <c r="V15" s="144"/>
      <c r="W15" s="144">
        <v>18.5</v>
      </c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4"/>
      <c r="AN15" s="134"/>
      <c r="AO15" s="134"/>
      <c r="AP15" s="134"/>
      <c r="AQ15" s="134"/>
      <c r="AR15" s="134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56"/>
      <c r="BS15" s="156"/>
      <c r="BT15" s="156"/>
      <c r="CJ15" s="206" t="s">
        <v>1</v>
      </c>
      <c r="CK15" s="206"/>
      <c r="CL15" s="206" t="s">
        <v>1050</v>
      </c>
      <c r="CM15" s="206"/>
      <c r="CN15" s="209" t="s">
        <v>2</v>
      </c>
      <c r="CO15" s="206"/>
      <c r="CP15" s="206" t="s">
        <v>3</v>
      </c>
      <c r="CQ15" s="206"/>
      <c r="CR15" s="206" t="s">
        <v>4</v>
      </c>
      <c r="CS15" s="206"/>
      <c r="CT15" s="206" t="s">
        <v>5</v>
      </c>
      <c r="CU15" s="206"/>
      <c r="CV15" s="206" t="s">
        <v>6</v>
      </c>
      <c r="CW15" s="206"/>
      <c r="CX15" s="206" t="s">
        <v>7</v>
      </c>
      <c r="CY15" s="206"/>
      <c r="CZ15" s="206" t="s">
        <v>8</v>
      </c>
      <c r="DA15" s="206"/>
      <c r="DB15" s="206" t="s">
        <v>9</v>
      </c>
      <c r="DC15" s="206"/>
    </row>
    <row r="16" spans="1:107" ht="97.5">
      <c r="A16" s="143" t="s">
        <v>10</v>
      </c>
      <c r="B16" s="143" t="s">
        <v>11</v>
      </c>
      <c r="C16" s="143" t="s">
        <v>12</v>
      </c>
      <c r="D16" s="143" t="s">
        <v>13</v>
      </c>
      <c r="E16" s="143" t="s">
        <v>14</v>
      </c>
      <c r="F16" s="143" t="s">
        <v>15</v>
      </c>
      <c r="G16" s="143" t="s">
        <v>16</v>
      </c>
      <c r="H16" s="143" t="s">
        <v>17</v>
      </c>
      <c r="I16" s="143" t="s">
        <v>18</v>
      </c>
      <c r="J16" s="143" t="s">
        <v>19</v>
      </c>
      <c r="K16" s="143" t="s">
        <v>20</v>
      </c>
      <c r="L16" s="143" t="s">
        <v>1051</v>
      </c>
      <c r="M16" s="143" t="s">
        <v>1052</v>
      </c>
      <c r="N16" s="143" t="s">
        <v>1053</v>
      </c>
      <c r="O16" s="143" t="s">
        <v>511</v>
      </c>
      <c r="P16" s="143" t="s">
        <v>1054</v>
      </c>
      <c r="Q16" s="143" t="s">
        <v>1055</v>
      </c>
      <c r="R16" s="143" t="s">
        <v>1056</v>
      </c>
      <c r="S16" s="143" t="s">
        <v>415</v>
      </c>
      <c r="T16" s="143" t="s">
        <v>41</v>
      </c>
      <c r="U16" s="143" t="s">
        <v>23</v>
      </c>
      <c r="V16" s="143" t="s">
        <v>24</v>
      </c>
      <c r="W16" s="143" t="s">
        <v>679</v>
      </c>
      <c r="X16" s="143" t="s">
        <v>1057</v>
      </c>
      <c r="Y16" s="143" t="s">
        <v>27</v>
      </c>
      <c r="Z16" s="143" t="s">
        <v>28</v>
      </c>
      <c r="AA16" s="143" t="s">
        <v>30</v>
      </c>
      <c r="AB16" s="143" t="s">
        <v>1058</v>
      </c>
      <c r="AC16" s="143" t="s">
        <v>31</v>
      </c>
      <c r="AD16" s="143" t="s">
        <v>32</v>
      </c>
      <c r="AE16" s="143" t="s">
        <v>33</v>
      </c>
      <c r="AF16" s="143" t="s">
        <v>34</v>
      </c>
      <c r="AG16" s="143" t="s">
        <v>35</v>
      </c>
      <c r="AH16" s="143" t="s">
        <v>36</v>
      </c>
      <c r="AI16" s="143" t="s">
        <v>1059</v>
      </c>
      <c r="AJ16" s="143" t="s">
        <v>1060</v>
      </c>
      <c r="AK16" s="1" t="s">
        <v>38</v>
      </c>
      <c r="AL16" s="1" t="s">
        <v>39</v>
      </c>
      <c r="AN16" s="130" t="s">
        <v>30</v>
      </c>
      <c r="AO16" s="130" t="s">
        <v>31</v>
      </c>
      <c r="AP16" s="130" t="s">
        <v>32</v>
      </c>
      <c r="AQ16" s="130" t="s">
        <v>33</v>
      </c>
      <c r="AR16" s="130" t="s">
        <v>300</v>
      </c>
      <c r="BA16" s="118" t="s">
        <v>40</v>
      </c>
      <c r="BB16" s="118" t="s">
        <v>41</v>
      </c>
      <c r="BC16" s="118" t="s">
        <v>42</v>
      </c>
      <c r="BD16" s="118" t="s">
        <v>43</v>
      </c>
      <c r="BE16" s="118" t="s">
        <v>44</v>
      </c>
      <c r="BF16" s="118" t="s">
        <v>45</v>
      </c>
      <c r="BG16" s="118" t="s">
        <v>46</v>
      </c>
      <c r="BH16" s="1" t="s">
        <v>47</v>
      </c>
      <c r="BI16" s="118" t="s">
        <v>48</v>
      </c>
      <c r="BJ16" s="118" t="s">
        <v>49</v>
      </c>
      <c r="BK16" s="1" t="s">
        <v>13</v>
      </c>
      <c r="BL16" s="1" t="s">
        <v>50</v>
      </c>
      <c r="BM16" s="121"/>
      <c r="BN16" s="121"/>
      <c r="BO16" s="121"/>
      <c r="BP16" s="121"/>
      <c r="BQ16" s="121"/>
      <c r="BR16" s="1" t="s">
        <v>38</v>
      </c>
      <c r="BS16" s="1" t="s">
        <v>39</v>
      </c>
      <c r="BT16" s="1" t="s">
        <v>53</v>
      </c>
      <c r="CJ16" s="207" t="s">
        <v>54</v>
      </c>
      <c r="CK16" s="207" t="s">
        <v>55</v>
      </c>
      <c r="CL16" s="207" t="s">
        <v>54</v>
      </c>
      <c r="CM16" s="207" t="s">
        <v>55</v>
      </c>
      <c r="CN16" s="210" t="s">
        <v>54</v>
      </c>
      <c r="CO16" s="207" t="s">
        <v>55</v>
      </c>
      <c r="CP16" s="207" t="s">
        <v>54</v>
      </c>
      <c r="CQ16" s="207" t="s">
        <v>55</v>
      </c>
      <c r="CR16" s="207" t="s">
        <v>54</v>
      </c>
      <c r="CS16" s="207" t="s">
        <v>55</v>
      </c>
      <c r="CT16" s="207" t="s">
        <v>54</v>
      </c>
      <c r="CU16" s="207" t="s">
        <v>55</v>
      </c>
      <c r="CV16" s="207" t="s">
        <v>54</v>
      </c>
      <c r="CW16" s="207" t="s">
        <v>55</v>
      </c>
      <c r="CX16" s="207" t="s">
        <v>54</v>
      </c>
      <c r="CY16" s="207" t="s">
        <v>55</v>
      </c>
      <c r="CZ16" s="207" t="s">
        <v>54</v>
      </c>
      <c r="DA16" s="207" t="s">
        <v>55</v>
      </c>
      <c r="DB16" s="207" t="s">
        <v>54</v>
      </c>
      <c r="DC16" s="207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1061</v>
      </c>
      <c r="G17" s="52" t="s">
        <v>1062</v>
      </c>
      <c r="H17" s="94" t="s">
        <v>60</v>
      </c>
      <c r="I17" s="95" t="s">
        <v>812</v>
      </c>
      <c r="J17" s="46" t="s">
        <v>1063</v>
      </c>
      <c r="K17" s="52" t="s">
        <v>1064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692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312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1065</v>
      </c>
      <c r="AL17" s="169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3">SUM(BA17:BI17)</f>
        <v>7</v>
      </c>
      <c r="BL17" s="4">
        <f t="shared" ref="BL17:BL48" si="14">+BK17/BJ17</f>
        <v>0.77777777777777779</v>
      </c>
      <c r="BM17" s="172"/>
      <c r="BN17" s="172"/>
      <c r="BO17" s="172"/>
      <c r="BP17" s="172"/>
      <c r="BQ17" s="172"/>
      <c r="BR17" s="164" t="str">
        <f t="shared" ref="BR17:BR61" si="15">+AK17</f>
        <v>En Producción. Termina en 31/May</v>
      </c>
      <c r="BS17" s="166">
        <f>+AL17</f>
        <v>46252</v>
      </c>
      <c r="BT17" s="164" t="s">
        <v>1066</v>
      </c>
      <c r="CJ17" s="216">
        <v>46101</v>
      </c>
      <c r="CK17" s="212">
        <v>46107</v>
      </c>
      <c r="CL17" s="212">
        <f>+CJ17+3</f>
        <v>46104</v>
      </c>
      <c r="CM17" s="212">
        <f>+CK17+3</f>
        <v>46110</v>
      </c>
      <c r="CN17" s="220">
        <f>+CK17+10</f>
        <v>46117</v>
      </c>
      <c r="CO17" s="208">
        <f>+CM17+10</f>
        <v>46120</v>
      </c>
      <c r="CP17" s="216">
        <f>+CN17+3</f>
        <v>46120</v>
      </c>
      <c r="CQ17" s="212">
        <f>+CO17+1</f>
        <v>46121</v>
      </c>
      <c r="CR17" s="220">
        <f>+CP17+40</f>
        <v>46160</v>
      </c>
      <c r="CS17" s="208">
        <v>46173</v>
      </c>
      <c r="CT17" s="216">
        <f>+CR17-20</f>
        <v>46140</v>
      </c>
      <c r="CU17" s="212">
        <f>+CS17-10</f>
        <v>46163</v>
      </c>
      <c r="CV17" s="226">
        <f>+CR17+7</f>
        <v>46167</v>
      </c>
      <c r="CW17" s="154"/>
      <c r="CX17" s="216"/>
      <c r="CY17" s="212"/>
      <c r="CZ17" s="227"/>
      <c r="DA17" s="154"/>
      <c r="DB17" s="216"/>
      <c r="DC17" s="212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1067</v>
      </c>
      <c r="G18" s="52" t="s">
        <v>1068</v>
      </c>
      <c r="H18" s="102" t="s">
        <v>60</v>
      </c>
      <c r="I18" s="95" t="s">
        <v>812</v>
      </c>
      <c r="J18" s="46" t="s">
        <v>1063</v>
      </c>
      <c r="K18" s="52" t="s">
        <v>1064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692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312</v>
      </c>
      <c r="AH18" s="99" t="s">
        <v>134</v>
      </c>
      <c r="AI18" s="19">
        <v>6</v>
      </c>
      <c r="AJ18" s="19">
        <f t="shared" si="7"/>
        <v>144</v>
      </c>
      <c r="AK18" s="62" t="s">
        <v>1065</v>
      </c>
      <c r="AL18" s="169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3"/>
        <v>7</v>
      </c>
      <c r="BL18" s="4">
        <f t="shared" si="14"/>
        <v>0.77777777777777779</v>
      </c>
      <c r="BM18" s="172"/>
      <c r="BN18" s="172"/>
      <c r="BO18" s="172"/>
      <c r="BP18" s="172"/>
      <c r="BQ18" s="172"/>
      <c r="BR18" s="164" t="str">
        <f t="shared" si="15"/>
        <v>En Producción. Termina en 31/May</v>
      </c>
      <c r="BS18" s="166">
        <f t="shared" ref="BS18:BS75" si="18">+AL18</f>
        <v>46252</v>
      </c>
      <c r="BT18" s="164" t="s">
        <v>1066</v>
      </c>
      <c r="CJ18" s="217"/>
      <c r="CK18" s="213"/>
      <c r="CL18" s="213"/>
      <c r="CM18" s="213"/>
      <c r="CN18" s="221"/>
      <c r="CO18" s="161"/>
      <c r="CP18" s="217"/>
      <c r="CQ18" s="213"/>
      <c r="CR18" s="223"/>
      <c r="CS18" s="155"/>
      <c r="CT18" s="217"/>
      <c r="CU18" s="213"/>
      <c r="CV18" s="227"/>
      <c r="CW18" s="154"/>
      <c r="CX18" s="217"/>
      <c r="CY18" s="213"/>
      <c r="CZ18" s="227"/>
      <c r="DA18" s="154"/>
      <c r="DB18" s="217"/>
      <c r="DC18" s="213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1069</v>
      </c>
      <c r="G19" s="52" t="s">
        <v>1070</v>
      </c>
      <c r="H19" s="102" t="s">
        <v>60</v>
      </c>
      <c r="I19" s="95" t="s">
        <v>812</v>
      </c>
      <c r="J19" s="46" t="s">
        <v>1063</v>
      </c>
      <c r="K19" s="52" t="s">
        <v>1064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692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312</v>
      </c>
      <c r="AH19" s="99" t="s">
        <v>134</v>
      </c>
      <c r="AI19" s="19">
        <v>6</v>
      </c>
      <c r="AJ19" s="19">
        <f t="shared" si="7"/>
        <v>144</v>
      </c>
      <c r="AK19" s="62" t="s">
        <v>1065</v>
      </c>
      <c r="AL19" s="169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3"/>
        <v>7</v>
      </c>
      <c r="BL19" s="4">
        <f t="shared" si="14"/>
        <v>0.77777777777777779</v>
      </c>
      <c r="BM19" s="172"/>
      <c r="BN19" s="172"/>
      <c r="BO19" s="172"/>
      <c r="BP19" s="172"/>
      <c r="BQ19" s="172"/>
      <c r="BR19" s="164" t="str">
        <f t="shared" si="15"/>
        <v>En Producción. Termina en 31/May</v>
      </c>
      <c r="BS19" s="166">
        <f t="shared" si="18"/>
        <v>46252</v>
      </c>
      <c r="BT19" s="164" t="s">
        <v>1066</v>
      </c>
      <c r="CJ19" s="217"/>
      <c r="CK19" s="213"/>
      <c r="CL19" s="213"/>
      <c r="CM19" s="213"/>
      <c r="CN19" s="221"/>
      <c r="CO19" s="161"/>
      <c r="CP19" s="217"/>
      <c r="CQ19" s="213"/>
      <c r="CR19" s="223"/>
      <c r="CS19" s="155"/>
      <c r="CT19" s="217"/>
      <c r="CU19" s="213"/>
      <c r="CV19" s="227"/>
      <c r="CW19" s="154"/>
      <c r="CX19" s="217"/>
      <c r="CY19" s="213"/>
      <c r="CZ19" s="227"/>
      <c r="DA19" s="154"/>
      <c r="DB19" s="217"/>
      <c r="DC19" s="213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1071</v>
      </c>
      <c r="G20" s="52" t="s">
        <v>1072</v>
      </c>
      <c r="H20" s="102" t="s">
        <v>60</v>
      </c>
      <c r="I20" s="95" t="s">
        <v>812</v>
      </c>
      <c r="J20" s="46" t="s">
        <v>1063</v>
      </c>
      <c r="K20" s="52" t="s">
        <v>1064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692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312</v>
      </c>
      <c r="AH20" s="99" t="s">
        <v>134</v>
      </c>
      <c r="AI20" s="19">
        <v>6</v>
      </c>
      <c r="AJ20" s="19">
        <f t="shared" si="7"/>
        <v>144</v>
      </c>
      <c r="AK20" s="62" t="s">
        <v>1065</v>
      </c>
      <c r="AL20" s="169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3"/>
        <v>7</v>
      </c>
      <c r="BL20" s="4">
        <f t="shared" si="14"/>
        <v>0.77777777777777779</v>
      </c>
      <c r="BM20" s="172"/>
      <c r="BN20" s="172"/>
      <c r="BO20" s="172"/>
      <c r="BP20" s="172"/>
      <c r="BQ20" s="172"/>
      <c r="BR20" s="164" t="str">
        <f t="shared" si="15"/>
        <v>En Producción. Termina en 31/May</v>
      </c>
      <c r="BS20" s="166">
        <f t="shared" si="18"/>
        <v>46252</v>
      </c>
      <c r="BT20" s="164" t="s">
        <v>1066</v>
      </c>
      <c r="CJ20" s="217"/>
      <c r="CK20" s="213"/>
      <c r="CL20" s="213"/>
      <c r="CM20" s="213"/>
      <c r="CN20" s="221"/>
      <c r="CO20" s="161"/>
      <c r="CP20" s="217"/>
      <c r="CQ20" s="213"/>
      <c r="CR20" s="223"/>
      <c r="CS20" s="155"/>
      <c r="CT20" s="217"/>
      <c r="CU20" s="213"/>
      <c r="CV20" s="227"/>
      <c r="CW20" s="154"/>
      <c r="CX20" s="217"/>
      <c r="CY20" s="213"/>
      <c r="CZ20" s="227"/>
      <c r="DA20" s="154"/>
      <c r="DB20" s="217"/>
      <c r="DC20" s="213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1073</v>
      </c>
      <c r="G21" s="52" t="s">
        <v>1074</v>
      </c>
      <c r="H21" s="102" t="s">
        <v>60</v>
      </c>
      <c r="I21" s="95" t="s">
        <v>371</v>
      </c>
      <c r="J21" s="46" t="s">
        <v>1063</v>
      </c>
      <c r="K21" s="52" t="s">
        <v>1064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692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312</v>
      </c>
      <c r="AH21" s="99" t="s">
        <v>134</v>
      </c>
      <c r="AI21" s="19">
        <v>6</v>
      </c>
      <c r="AJ21" s="19">
        <f t="shared" si="7"/>
        <v>144</v>
      </c>
      <c r="AK21" s="62" t="s">
        <v>1075</v>
      </c>
      <c r="AL21" s="169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3"/>
        <v>7</v>
      </c>
      <c r="BL21" s="4">
        <f t="shared" si="14"/>
        <v>0.77777777777777779</v>
      </c>
      <c r="BM21" s="172"/>
      <c r="BN21" s="172"/>
      <c r="BO21" s="172"/>
      <c r="BP21" s="172"/>
      <c r="BQ21" s="172"/>
      <c r="BR21" s="164" t="str">
        <f t="shared" si="15"/>
        <v>Producción termina 25/May</v>
      </c>
      <c r="BS21" s="166">
        <f t="shared" si="18"/>
        <v>46242</v>
      </c>
      <c r="BT21" s="164" t="s">
        <v>1076</v>
      </c>
      <c r="CJ21" s="217"/>
      <c r="CK21" s="213"/>
      <c r="CL21" s="213"/>
      <c r="CM21" s="213"/>
      <c r="CN21" s="221"/>
      <c r="CO21" s="161"/>
      <c r="CP21" s="217"/>
      <c r="CQ21" s="213"/>
      <c r="CR21" s="223"/>
      <c r="CS21" s="155"/>
      <c r="CT21" s="217"/>
      <c r="CU21" s="213"/>
      <c r="CV21" s="227"/>
      <c r="CW21" s="154"/>
      <c r="CX21" s="217"/>
      <c r="CY21" s="213"/>
      <c r="CZ21" s="227"/>
      <c r="DA21" s="154"/>
      <c r="DB21" s="217"/>
      <c r="DC21" s="213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1077</v>
      </c>
      <c r="G22" s="52" t="s">
        <v>1078</v>
      </c>
      <c r="H22" s="102" t="s">
        <v>60</v>
      </c>
      <c r="I22" s="95" t="s">
        <v>371</v>
      </c>
      <c r="J22" s="46" t="s">
        <v>1063</v>
      </c>
      <c r="K22" s="52" t="s">
        <v>1064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692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312</v>
      </c>
      <c r="AH22" s="99" t="s">
        <v>134</v>
      </c>
      <c r="AI22" s="19">
        <v>6</v>
      </c>
      <c r="AJ22" s="19">
        <f t="shared" si="7"/>
        <v>144</v>
      </c>
      <c r="AK22" s="62" t="s">
        <v>1075</v>
      </c>
      <c r="AL22" s="169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3"/>
        <v>7</v>
      </c>
      <c r="BL22" s="4">
        <f t="shared" si="14"/>
        <v>0.77777777777777779</v>
      </c>
      <c r="BM22" s="172"/>
      <c r="BN22" s="172"/>
      <c r="BO22" s="172"/>
      <c r="BP22" s="172"/>
      <c r="BQ22" s="172"/>
      <c r="BR22" s="164" t="str">
        <f t="shared" si="15"/>
        <v>Producción termina 25/May</v>
      </c>
      <c r="BS22" s="166">
        <f t="shared" si="18"/>
        <v>46242</v>
      </c>
      <c r="BT22" s="164" t="s">
        <v>1076</v>
      </c>
      <c r="CJ22" s="217"/>
      <c r="CK22" s="213"/>
      <c r="CL22" s="213"/>
      <c r="CM22" s="213"/>
      <c r="CN22" s="221"/>
      <c r="CO22" s="161"/>
      <c r="CP22" s="217"/>
      <c r="CQ22" s="213"/>
      <c r="CR22" s="223"/>
      <c r="CS22" s="155"/>
      <c r="CT22" s="217"/>
      <c r="CU22" s="213"/>
      <c r="CV22" s="227"/>
      <c r="CW22" s="154"/>
      <c r="CX22" s="217"/>
      <c r="CY22" s="213"/>
      <c r="CZ22" s="227"/>
      <c r="DA22" s="154"/>
      <c r="DB22" s="217"/>
      <c r="DC22" s="213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1079</v>
      </c>
      <c r="G23" s="52" t="s">
        <v>1080</v>
      </c>
      <c r="H23" s="102" t="s">
        <v>60</v>
      </c>
      <c r="I23" s="95" t="s">
        <v>371</v>
      </c>
      <c r="J23" s="46" t="s">
        <v>1063</v>
      </c>
      <c r="K23" s="52" t="s">
        <v>1064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692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312</v>
      </c>
      <c r="AH23" s="99" t="s">
        <v>134</v>
      </c>
      <c r="AI23" s="19">
        <v>6</v>
      </c>
      <c r="AJ23" s="19">
        <f t="shared" si="7"/>
        <v>144</v>
      </c>
      <c r="AK23" s="62" t="s">
        <v>1075</v>
      </c>
      <c r="AL23" s="169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3"/>
        <v>7</v>
      </c>
      <c r="BL23" s="4">
        <f t="shared" si="14"/>
        <v>0.77777777777777779</v>
      </c>
      <c r="BM23" s="172"/>
      <c r="BN23" s="172"/>
      <c r="BO23" s="172"/>
      <c r="BP23" s="172"/>
      <c r="BQ23" s="172"/>
      <c r="BR23" s="164" t="str">
        <f t="shared" si="15"/>
        <v>Producción termina 25/May</v>
      </c>
      <c r="BS23" s="166">
        <f t="shared" si="18"/>
        <v>46242</v>
      </c>
      <c r="BT23" s="164" t="s">
        <v>1076</v>
      </c>
      <c r="CJ23" s="217"/>
      <c r="CK23" s="213"/>
      <c r="CL23" s="213"/>
      <c r="CM23" s="213"/>
      <c r="CN23" s="221"/>
      <c r="CO23" s="161"/>
      <c r="CP23" s="217"/>
      <c r="CQ23" s="213"/>
      <c r="CR23" s="223"/>
      <c r="CS23" s="155"/>
      <c r="CT23" s="217"/>
      <c r="CU23" s="213"/>
      <c r="CV23" s="227"/>
      <c r="CW23" s="154"/>
      <c r="CX23" s="217"/>
      <c r="CY23" s="213"/>
      <c r="CZ23" s="227"/>
      <c r="DA23" s="154"/>
      <c r="DB23" s="217"/>
      <c r="DC23" s="213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1081</v>
      </c>
      <c r="G24" s="52" t="s">
        <v>1082</v>
      </c>
      <c r="H24" s="102" t="s">
        <v>60</v>
      </c>
      <c r="I24" s="95" t="s">
        <v>371</v>
      </c>
      <c r="J24" s="46" t="s">
        <v>1063</v>
      </c>
      <c r="K24" s="52" t="s">
        <v>1064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692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312</v>
      </c>
      <c r="AH24" s="99" t="s">
        <v>134</v>
      </c>
      <c r="AI24" s="19">
        <v>6</v>
      </c>
      <c r="AJ24" s="19">
        <f t="shared" si="7"/>
        <v>144</v>
      </c>
      <c r="AK24" s="62" t="s">
        <v>1075</v>
      </c>
      <c r="AL24" s="169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3"/>
        <v>7</v>
      </c>
      <c r="BL24" s="4">
        <f t="shared" si="14"/>
        <v>0.77777777777777779</v>
      </c>
      <c r="BM24" s="172"/>
      <c r="BN24" s="172"/>
      <c r="BO24" s="172"/>
      <c r="BP24" s="172"/>
      <c r="BQ24" s="172"/>
      <c r="BR24" s="164" t="str">
        <f t="shared" si="15"/>
        <v>Producción termina 25/May</v>
      </c>
      <c r="BS24" s="166">
        <f t="shared" si="18"/>
        <v>46242</v>
      </c>
      <c r="BT24" s="164" t="s">
        <v>1076</v>
      </c>
      <c r="CJ24" s="217"/>
      <c r="CK24" s="213"/>
      <c r="CL24" s="213"/>
      <c r="CM24" s="213"/>
      <c r="CN24" s="221"/>
      <c r="CO24" s="161"/>
      <c r="CP24" s="217"/>
      <c r="CQ24" s="213"/>
      <c r="CR24" s="223"/>
      <c r="CS24" s="155"/>
      <c r="CT24" s="217"/>
      <c r="CU24" s="213"/>
      <c r="CV24" s="227"/>
      <c r="CW24" s="154"/>
      <c r="CX24" s="217"/>
      <c r="CY24" s="213"/>
      <c r="CZ24" s="227"/>
      <c r="DA24" s="154"/>
      <c r="DB24" s="217"/>
      <c r="DC24" s="213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1083</v>
      </c>
      <c r="G25" s="52" t="s">
        <v>1084</v>
      </c>
      <c r="H25" s="102" t="s">
        <v>60</v>
      </c>
      <c r="I25" s="95" t="s">
        <v>1085</v>
      </c>
      <c r="J25" s="46" t="s">
        <v>1063</v>
      </c>
      <c r="K25" s="52" t="s">
        <v>1064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692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312</v>
      </c>
      <c r="AH25" s="99" t="s">
        <v>134</v>
      </c>
      <c r="AI25" s="19">
        <v>6</v>
      </c>
      <c r="AJ25" s="19">
        <f t="shared" si="7"/>
        <v>144</v>
      </c>
      <c r="AK25" s="62" t="s">
        <v>1065</v>
      </c>
      <c r="AL25" s="169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3"/>
        <v>7</v>
      </c>
      <c r="BL25" s="4">
        <f t="shared" si="14"/>
        <v>0.77777777777777779</v>
      </c>
      <c r="BM25" s="172"/>
      <c r="BN25" s="172"/>
      <c r="BO25" s="172"/>
      <c r="BP25" s="172"/>
      <c r="BQ25" s="172"/>
      <c r="BR25" s="164" t="str">
        <f t="shared" si="15"/>
        <v>En Producción. Termina en 31/May</v>
      </c>
      <c r="BS25" s="166">
        <f t="shared" si="18"/>
        <v>46252</v>
      </c>
      <c r="BT25" s="164" t="s">
        <v>1066</v>
      </c>
      <c r="CJ25" s="217"/>
      <c r="CK25" s="213"/>
      <c r="CL25" s="213"/>
      <c r="CM25" s="213"/>
      <c r="CN25" s="221"/>
      <c r="CO25" s="161"/>
      <c r="CP25" s="217"/>
      <c r="CQ25" s="213"/>
      <c r="CR25" s="223"/>
      <c r="CS25" s="155"/>
      <c r="CT25" s="217"/>
      <c r="CU25" s="213"/>
      <c r="CV25" s="227"/>
      <c r="CW25" s="154"/>
      <c r="CX25" s="217"/>
      <c r="CY25" s="213"/>
      <c r="CZ25" s="227"/>
      <c r="DA25" s="154"/>
      <c r="DB25" s="217"/>
      <c r="DC25" s="213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1086</v>
      </c>
      <c r="G26" s="52" t="s">
        <v>1087</v>
      </c>
      <c r="H26" s="102" t="s">
        <v>60</v>
      </c>
      <c r="I26" s="95" t="s">
        <v>1085</v>
      </c>
      <c r="J26" s="46" t="s">
        <v>1063</v>
      </c>
      <c r="K26" s="52" t="s">
        <v>1064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692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312</v>
      </c>
      <c r="AH26" s="99" t="s">
        <v>134</v>
      </c>
      <c r="AI26" s="19">
        <v>6</v>
      </c>
      <c r="AJ26" s="19">
        <f t="shared" si="7"/>
        <v>144</v>
      </c>
      <c r="AK26" s="62" t="s">
        <v>1065</v>
      </c>
      <c r="AL26" s="169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3"/>
        <v>7</v>
      </c>
      <c r="BL26" s="4">
        <f t="shared" si="14"/>
        <v>0.77777777777777779</v>
      </c>
      <c r="BM26" s="172"/>
      <c r="BN26" s="172"/>
      <c r="BO26" s="172"/>
      <c r="BP26" s="172"/>
      <c r="BQ26" s="172"/>
      <c r="BR26" s="164" t="str">
        <f t="shared" si="15"/>
        <v>En Producción. Termina en 31/May</v>
      </c>
      <c r="BS26" s="166">
        <f t="shared" si="18"/>
        <v>46252</v>
      </c>
      <c r="BT26" s="164" t="s">
        <v>1066</v>
      </c>
      <c r="CJ26" s="217"/>
      <c r="CK26" s="213"/>
      <c r="CL26" s="213"/>
      <c r="CM26" s="213"/>
      <c r="CN26" s="221"/>
      <c r="CO26" s="161"/>
      <c r="CP26" s="217"/>
      <c r="CQ26" s="213"/>
      <c r="CR26" s="223"/>
      <c r="CS26" s="155"/>
      <c r="CT26" s="217"/>
      <c r="CU26" s="213"/>
      <c r="CV26" s="227"/>
      <c r="CW26" s="154"/>
      <c r="CX26" s="217"/>
      <c r="CY26" s="213"/>
      <c r="CZ26" s="227"/>
      <c r="DA26" s="154"/>
      <c r="DB26" s="217"/>
      <c r="DC26" s="213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1088</v>
      </c>
      <c r="G27" s="52" t="s">
        <v>1089</v>
      </c>
      <c r="H27" s="102" t="s">
        <v>60</v>
      </c>
      <c r="I27" s="95" t="s">
        <v>1085</v>
      </c>
      <c r="J27" s="46" t="s">
        <v>1063</v>
      </c>
      <c r="K27" s="52" t="s">
        <v>1064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692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312</v>
      </c>
      <c r="AH27" s="99" t="s">
        <v>134</v>
      </c>
      <c r="AI27" s="19">
        <v>6</v>
      </c>
      <c r="AJ27" s="19">
        <f t="shared" si="7"/>
        <v>144</v>
      </c>
      <c r="AK27" s="62" t="s">
        <v>1065</v>
      </c>
      <c r="AL27" s="169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3"/>
        <v>7</v>
      </c>
      <c r="BL27" s="4">
        <f t="shared" si="14"/>
        <v>0.77777777777777779</v>
      </c>
      <c r="BM27" s="172"/>
      <c r="BN27" s="172"/>
      <c r="BO27" s="172"/>
      <c r="BP27" s="172"/>
      <c r="BQ27" s="172"/>
      <c r="BR27" s="164" t="str">
        <f t="shared" si="15"/>
        <v>En Producción. Termina en 31/May</v>
      </c>
      <c r="BS27" s="166">
        <f t="shared" si="18"/>
        <v>46252</v>
      </c>
      <c r="BT27" s="164" t="s">
        <v>1066</v>
      </c>
      <c r="CJ27" s="217"/>
      <c r="CK27" s="213"/>
      <c r="CL27" s="213"/>
      <c r="CM27" s="213"/>
      <c r="CN27" s="221"/>
      <c r="CO27" s="161"/>
      <c r="CP27" s="217"/>
      <c r="CQ27" s="213"/>
      <c r="CR27" s="223"/>
      <c r="CS27" s="155"/>
      <c r="CT27" s="217"/>
      <c r="CU27" s="213"/>
      <c r="CV27" s="227"/>
      <c r="CW27" s="154"/>
      <c r="CX27" s="217"/>
      <c r="CY27" s="213"/>
      <c r="CZ27" s="227"/>
      <c r="DA27" s="154"/>
      <c r="DB27" s="217"/>
      <c r="DC27" s="213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1090</v>
      </c>
      <c r="G28" s="52" t="s">
        <v>1091</v>
      </c>
      <c r="H28" s="102" t="s">
        <v>60</v>
      </c>
      <c r="I28" s="95" t="s">
        <v>1085</v>
      </c>
      <c r="J28" s="46" t="s">
        <v>1063</v>
      </c>
      <c r="K28" s="52" t="s">
        <v>1064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692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312</v>
      </c>
      <c r="AH28" s="99" t="s">
        <v>134</v>
      </c>
      <c r="AI28" s="19">
        <v>6</v>
      </c>
      <c r="AJ28" s="19">
        <f t="shared" si="7"/>
        <v>144</v>
      </c>
      <c r="AK28" s="62" t="s">
        <v>1065</v>
      </c>
      <c r="AL28" s="169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3"/>
        <v>7</v>
      </c>
      <c r="BL28" s="4">
        <f t="shared" si="14"/>
        <v>0.77777777777777779</v>
      </c>
      <c r="BM28" s="172"/>
      <c r="BN28" s="172"/>
      <c r="BO28" s="172"/>
      <c r="BP28" s="172"/>
      <c r="BQ28" s="172"/>
      <c r="BR28" s="164" t="str">
        <f t="shared" si="15"/>
        <v>En Producción. Termina en 31/May</v>
      </c>
      <c r="BS28" s="166">
        <f t="shared" si="18"/>
        <v>46252</v>
      </c>
      <c r="BT28" s="164" t="s">
        <v>1066</v>
      </c>
      <c r="CJ28" s="217"/>
      <c r="CK28" s="213"/>
      <c r="CL28" s="213"/>
      <c r="CM28" s="213"/>
      <c r="CN28" s="221"/>
      <c r="CO28" s="161"/>
      <c r="CP28" s="217"/>
      <c r="CQ28" s="213"/>
      <c r="CR28" s="223"/>
      <c r="CS28" s="155"/>
      <c r="CT28" s="217"/>
      <c r="CU28" s="213"/>
      <c r="CV28" s="227"/>
      <c r="CW28" s="154"/>
      <c r="CX28" s="217"/>
      <c r="CY28" s="213"/>
      <c r="CZ28" s="227"/>
      <c r="DA28" s="154"/>
      <c r="DB28" s="217"/>
      <c r="DC28" s="213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1092</v>
      </c>
      <c r="G29" s="52" t="s">
        <v>1093</v>
      </c>
      <c r="H29" s="105" t="s">
        <v>60</v>
      </c>
      <c r="I29" s="95" t="s">
        <v>1094</v>
      </c>
      <c r="J29" s="46" t="s">
        <v>1063</v>
      </c>
      <c r="K29" s="52" t="s">
        <v>1064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692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312</v>
      </c>
      <c r="AH29" s="99" t="s">
        <v>134</v>
      </c>
      <c r="AI29" s="19">
        <v>24</v>
      </c>
      <c r="AJ29" s="19">
        <f>+AI29*40</f>
        <v>960</v>
      </c>
      <c r="AK29" s="62" t="s">
        <v>1095</v>
      </c>
      <c r="AL29" s="169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3"/>
        <v>7</v>
      </c>
      <c r="BL29" s="4">
        <f t="shared" si="14"/>
        <v>0.77777777777777779</v>
      </c>
      <c r="BM29" s="172"/>
      <c r="BN29" s="172"/>
      <c r="BO29" s="172"/>
      <c r="BP29" s="172"/>
      <c r="BQ29" s="172"/>
      <c r="BR29" s="164" t="str">
        <f>+AK29</f>
        <v>En espera de recolección</v>
      </c>
      <c r="BS29" s="166">
        <f t="shared" si="18"/>
        <v>46216</v>
      </c>
      <c r="BT29" s="164" t="s">
        <v>1076</v>
      </c>
      <c r="CJ29" s="217"/>
      <c r="CK29" s="213"/>
      <c r="CL29" s="213"/>
      <c r="CM29" s="213"/>
      <c r="CN29" s="221"/>
      <c r="CO29" s="161"/>
      <c r="CP29" s="217"/>
      <c r="CQ29" s="213"/>
      <c r="CR29" s="223"/>
      <c r="CS29" s="155"/>
      <c r="CT29" s="217"/>
      <c r="CU29" s="213"/>
      <c r="CV29" s="227"/>
      <c r="CW29" s="154"/>
      <c r="CX29" s="217"/>
      <c r="CY29" s="213"/>
      <c r="CZ29" s="227"/>
      <c r="DA29" s="154"/>
      <c r="DB29" s="217"/>
      <c r="DC29" s="213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1096</v>
      </c>
      <c r="G30" s="52" t="s">
        <v>1097</v>
      </c>
      <c r="H30" s="105" t="s">
        <v>60</v>
      </c>
      <c r="I30" s="95" t="s">
        <v>1094</v>
      </c>
      <c r="J30" s="46" t="s">
        <v>1063</v>
      </c>
      <c r="K30" s="52" t="s">
        <v>1064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692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312</v>
      </c>
      <c r="AH30" s="99" t="s">
        <v>134</v>
      </c>
      <c r="AI30" s="19">
        <v>24</v>
      </c>
      <c r="AJ30" s="19">
        <f>+AI30*40</f>
        <v>960</v>
      </c>
      <c r="AK30" s="62" t="s">
        <v>1095</v>
      </c>
      <c r="AL30" s="169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3"/>
        <v>7</v>
      </c>
      <c r="BL30" s="4">
        <f t="shared" si="14"/>
        <v>0.77777777777777779</v>
      </c>
      <c r="BM30" s="172"/>
      <c r="BN30" s="172"/>
      <c r="BO30" s="172"/>
      <c r="BP30" s="172"/>
      <c r="BQ30" s="172"/>
      <c r="BR30" s="164" t="str">
        <f>+AK30</f>
        <v>En espera de recolección</v>
      </c>
      <c r="BS30" s="166">
        <f t="shared" si="18"/>
        <v>46216</v>
      </c>
      <c r="BT30" s="164" t="s">
        <v>1076</v>
      </c>
      <c r="CJ30" s="217"/>
      <c r="CK30" s="213"/>
      <c r="CL30" s="213"/>
      <c r="CM30" s="213"/>
      <c r="CN30" s="221"/>
      <c r="CO30" s="161"/>
      <c r="CP30" s="217"/>
      <c r="CQ30" s="213"/>
      <c r="CR30" s="223"/>
      <c r="CS30" s="155"/>
      <c r="CT30" s="217"/>
      <c r="CU30" s="213"/>
      <c r="CV30" s="227"/>
      <c r="CW30" s="154"/>
      <c r="CX30" s="217"/>
      <c r="CY30" s="213"/>
      <c r="CZ30" s="227"/>
      <c r="DA30" s="154"/>
      <c r="DB30" s="217"/>
      <c r="DC30" s="213"/>
    </row>
    <row r="31" spans="1:107" ht="97.5">
      <c r="A31" s="46">
        <v>17</v>
      </c>
      <c r="B31" s="92" t="s">
        <v>57</v>
      </c>
      <c r="C31" s="46" t="s">
        <v>305</v>
      </c>
      <c r="D31" s="46" t="s">
        <v>163</v>
      </c>
      <c r="E31" s="93">
        <v>7506110697800</v>
      </c>
      <c r="F31" s="62" t="s">
        <v>1098</v>
      </c>
      <c r="G31" s="52" t="s">
        <v>1099</v>
      </c>
      <c r="H31" s="102" t="s">
        <v>60</v>
      </c>
      <c r="I31" s="95" t="s">
        <v>1100</v>
      </c>
      <c r="J31" s="46" t="s">
        <v>1063</v>
      </c>
      <c r="K31" s="52" t="s">
        <v>1064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692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312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1101</v>
      </c>
      <c r="AL31" s="169">
        <v>46298</v>
      </c>
      <c r="AM31" s="165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3"/>
        <v>7</v>
      </c>
      <c r="BL31" s="4">
        <f t="shared" si="14"/>
        <v>0.77777777777777779</v>
      </c>
      <c r="BM31" s="172"/>
      <c r="BN31" s="172"/>
      <c r="BO31" s="172"/>
      <c r="BP31" s="172"/>
      <c r="BQ31" s="172"/>
      <c r="BR31" s="164" t="str">
        <f t="shared" ref="BR31:BR34" si="20">+AK31</f>
        <v>En Producción. Aproximadamente terminan el 26/jul</v>
      </c>
      <c r="BS31" s="166">
        <f t="shared" si="18"/>
        <v>46298</v>
      </c>
      <c r="BT31" s="164" t="s">
        <v>1066</v>
      </c>
      <c r="CJ31" s="217"/>
      <c r="CK31" s="213"/>
      <c r="CL31" s="213"/>
      <c r="CM31" s="213"/>
      <c r="CN31" s="221"/>
      <c r="CO31" s="161"/>
      <c r="CP31" s="217"/>
      <c r="CQ31" s="213"/>
      <c r="CR31" s="223"/>
      <c r="CS31" s="155"/>
      <c r="CT31" s="217"/>
      <c r="CU31" s="213"/>
      <c r="CV31" s="227"/>
      <c r="CW31" s="154"/>
      <c r="CX31" s="217"/>
      <c r="CY31" s="213"/>
      <c r="CZ31" s="227"/>
      <c r="DA31" s="154"/>
      <c r="DB31" s="217"/>
      <c r="DC31" s="213"/>
    </row>
    <row r="32" spans="1:107" ht="97.5">
      <c r="A32" s="46">
        <v>18</v>
      </c>
      <c r="B32" s="92" t="s">
        <v>57</v>
      </c>
      <c r="C32" s="46" t="s">
        <v>305</v>
      </c>
      <c r="D32" s="46" t="s">
        <v>163</v>
      </c>
      <c r="E32" s="93">
        <v>7506110697817</v>
      </c>
      <c r="F32" s="62" t="s">
        <v>1102</v>
      </c>
      <c r="G32" s="52" t="s">
        <v>1103</v>
      </c>
      <c r="H32" s="102" t="s">
        <v>60</v>
      </c>
      <c r="I32" s="95" t="s">
        <v>1100</v>
      </c>
      <c r="J32" s="46" t="s">
        <v>1063</v>
      </c>
      <c r="K32" s="52" t="s">
        <v>1064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692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312</v>
      </c>
      <c r="AH32" s="99" t="s">
        <v>134</v>
      </c>
      <c r="AI32" s="19">
        <v>6</v>
      </c>
      <c r="AJ32" s="19">
        <f t="shared" si="19"/>
        <v>144</v>
      </c>
      <c r="AK32" s="62" t="s">
        <v>1101</v>
      </c>
      <c r="AL32" s="169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3"/>
        <v>7</v>
      </c>
      <c r="BL32" s="4">
        <f t="shared" si="14"/>
        <v>0.77777777777777779</v>
      </c>
      <c r="BM32" s="172"/>
      <c r="BN32" s="172"/>
      <c r="BO32" s="172"/>
      <c r="BP32" s="172"/>
      <c r="BQ32" s="172"/>
      <c r="BR32" s="164" t="str">
        <f t="shared" si="20"/>
        <v>En Producción. Aproximadamente terminan el 26/jul</v>
      </c>
      <c r="BS32" s="166">
        <f t="shared" si="18"/>
        <v>46298</v>
      </c>
      <c r="BT32" s="164" t="s">
        <v>1066</v>
      </c>
      <c r="CJ32" s="217"/>
      <c r="CK32" s="213"/>
      <c r="CL32" s="213"/>
      <c r="CM32" s="213"/>
      <c r="CN32" s="221"/>
      <c r="CO32" s="161"/>
      <c r="CP32" s="217"/>
      <c r="CQ32" s="213"/>
      <c r="CR32" s="223"/>
      <c r="CS32" s="155"/>
      <c r="CT32" s="217"/>
      <c r="CU32" s="213"/>
      <c r="CV32" s="227"/>
      <c r="CW32" s="154"/>
      <c r="CX32" s="217"/>
      <c r="CY32" s="213"/>
      <c r="CZ32" s="227"/>
      <c r="DA32" s="154"/>
      <c r="DB32" s="217"/>
      <c r="DC32" s="213"/>
    </row>
    <row r="33" spans="1:107" ht="99">
      <c r="A33" s="46">
        <v>19</v>
      </c>
      <c r="B33" s="92" t="s">
        <v>57</v>
      </c>
      <c r="C33" s="46" t="s">
        <v>305</v>
      </c>
      <c r="D33" s="46" t="s">
        <v>163</v>
      </c>
      <c r="E33" s="93">
        <v>7506110697824</v>
      </c>
      <c r="F33" s="62" t="s">
        <v>1104</v>
      </c>
      <c r="G33" s="106" t="s">
        <v>1105</v>
      </c>
      <c r="H33" s="102" t="s">
        <v>60</v>
      </c>
      <c r="I33" s="95" t="s">
        <v>1100</v>
      </c>
      <c r="J33" s="46" t="s">
        <v>1063</v>
      </c>
      <c r="K33" s="52" t="s">
        <v>1064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692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312</v>
      </c>
      <c r="AH33" s="99" t="s">
        <v>134</v>
      </c>
      <c r="AI33" s="19">
        <v>6</v>
      </c>
      <c r="AJ33" s="19">
        <f t="shared" si="19"/>
        <v>144</v>
      </c>
      <c r="AK33" s="62" t="s">
        <v>1101</v>
      </c>
      <c r="AL33" s="169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3"/>
        <v>7</v>
      </c>
      <c r="BL33" s="4">
        <f t="shared" si="14"/>
        <v>0.77777777777777779</v>
      </c>
      <c r="BM33" s="172"/>
      <c r="BN33" s="172"/>
      <c r="BO33" s="172"/>
      <c r="BP33" s="172"/>
      <c r="BQ33" s="172"/>
      <c r="BR33" s="164" t="str">
        <f t="shared" si="20"/>
        <v>En Producción. Aproximadamente terminan el 26/jul</v>
      </c>
      <c r="BS33" s="166">
        <f t="shared" si="18"/>
        <v>46298</v>
      </c>
      <c r="BT33" s="164" t="s">
        <v>1066</v>
      </c>
      <c r="CJ33" s="217"/>
      <c r="CK33" s="213"/>
      <c r="CL33" s="213"/>
      <c r="CM33" s="213"/>
      <c r="CN33" s="221"/>
      <c r="CO33" s="161"/>
      <c r="CP33" s="217"/>
      <c r="CQ33" s="213"/>
      <c r="CR33" s="223"/>
      <c r="CS33" s="155"/>
      <c r="CT33" s="217"/>
      <c r="CU33" s="213"/>
      <c r="CV33" s="227"/>
      <c r="CW33" s="154"/>
      <c r="CX33" s="217"/>
      <c r="CY33" s="213"/>
      <c r="CZ33" s="227"/>
      <c r="DA33" s="154"/>
      <c r="DB33" s="217"/>
      <c r="DC33" s="213"/>
    </row>
    <row r="34" spans="1:107" ht="97.5">
      <c r="A34" s="46">
        <v>20</v>
      </c>
      <c r="B34" s="92" t="s">
        <v>57</v>
      </c>
      <c r="C34" s="46" t="s">
        <v>305</v>
      </c>
      <c r="D34" s="46" t="s">
        <v>163</v>
      </c>
      <c r="E34" s="93">
        <v>7506110697831</v>
      </c>
      <c r="F34" s="62" t="s">
        <v>1106</v>
      </c>
      <c r="G34" s="52" t="s">
        <v>1107</v>
      </c>
      <c r="H34" s="102" t="s">
        <v>60</v>
      </c>
      <c r="I34" s="95" t="s">
        <v>1100</v>
      </c>
      <c r="J34" s="46" t="s">
        <v>1063</v>
      </c>
      <c r="K34" s="52" t="s">
        <v>1064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692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312</v>
      </c>
      <c r="AH34" s="99" t="s">
        <v>134</v>
      </c>
      <c r="AI34" s="19">
        <v>6</v>
      </c>
      <c r="AJ34" s="19">
        <f t="shared" si="19"/>
        <v>144</v>
      </c>
      <c r="AK34" s="62" t="s">
        <v>1101</v>
      </c>
      <c r="AL34" s="169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3"/>
        <v>7</v>
      </c>
      <c r="BL34" s="4">
        <f t="shared" si="14"/>
        <v>0.77777777777777779</v>
      </c>
      <c r="BM34" s="172"/>
      <c r="BN34" s="172"/>
      <c r="BO34" s="172"/>
      <c r="BP34" s="172"/>
      <c r="BQ34" s="172"/>
      <c r="BR34" s="164" t="str">
        <f t="shared" si="20"/>
        <v>En Producción. Aproximadamente terminan el 26/jul</v>
      </c>
      <c r="BS34" s="166">
        <f t="shared" si="18"/>
        <v>46298</v>
      </c>
      <c r="BT34" s="164" t="s">
        <v>1066</v>
      </c>
      <c r="CJ34" s="217"/>
      <c r="CK34" s="213"/>
      <c r="CL34" s="213"/>
      <c r="CM34" s="213"/>
      <c r="CN34" s="221"/>
      <c r="CO34" s="161"/>
      <c r="CP34" s="217"/>
      <c r="CQ34" s="213"/>
      <c r="CR34" s="223"/>
      <c r="CS34" s="155"/>
      <c r="CT34" s="217"/>
      <c r="CU34" s="213"/>
      <c r="CV34" s="227"/>
      <c r="CW34" s="154"/>
      <c r="CX34" s="217"/>
      <c r="CY34" s="213"/>
      <c r="CZ34" s="227"/>
      <c r="DA34" s="154"/>
      <c r="DB34" s="217"/>
      <c r="DC34" s="213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1108</v>
      </c>
      <c r="G35" s="52" t="s">
        <v>1109</v>
      </c>
      <c r="H35" s="102" t="s">
        <v>60</v>
      </c>
      <c r="I35" s="95" t="s">
        <v>510</v>
      </c>
      <c r="J35" s="46" t="s">
        <v>1063</v>
      </c>
      <c r="K35" s="52" t="s">
        <v>1064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692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312</v>
      </c>
      <c r="AH35" s="99" t="s">
        <v>134</v>
      </c>
      <c r="AI35" s="19">
        <v>6</v>
      </c>
      <c r="AJ35" s="19">
        <f t="shared" si="19"/>
        <v>144</v>
      </c>
      <c r="AK35" s="62" t="s">
        <v>1065</v>
      </c>
      <c r="AL35" s="169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3"/>
        <v>7</v>
      </c>
      <c r="BL35" s="4">
        <f t="shared" si="14"/>
        <v>0.77777777777777779</v>
      </c>
      <c r="BM35" s="172"/>
      <c r="BN35" s="172"/>
      <c r="BO35" s="172"/>
      <c r="BP35" s="172"/>
      <c r="BQ35" s="172"/>
      <c r="BR35" s="164" t="str">
        <f t="shared" si="15"/>
        <v>En Producción. Termina en 31/May</v>
      </c>
      <c r="BS35" s="166">
        <f t="shared" si="18"/>
        <v>46261</v>
      </c>
      <c r="BT35" s="164" t="s">
        <v>1066</v>
      </c>
      <c r="CJ35" s="217"/>
      <c r="CK35" s="213"/>
      <c r="CL35" s="213"/>
      <c r="CM35" s="213"/>
      <c r="CN35" s="221"/>
      <c r="CO35" s="161"/>
      <c r="CP35" s="217"/>
      <c r="CQ35" s="213"/>
      <c r="CR35" s="223"/>
      <c r="CS35" s="155"/>
      <c r="CT35" s="217"/>
      <c r="CU35" s="213"/>
      <c r="CV35" s="227"/>
      <c r="CW35" s="154"/>
      <c r="CX35" s="217"/>
      <c r="CY35" s="213"/>
      <c r="CZ35" s="227"/>
      <c r="DA35" s="154"/>
      <c r="DB35" s="217"/>
      <c r="DC35" s="213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1110</v>
      </c>
      <c r="G36" s="52" t="s">
        <v>1111</v>
      </c>
      <c r="H36" s="102" t="s">
        <v>60</v>
      </c>
      <c r="I36" s="95" t="s">
        <v>510</v>
      </c>
      <c r="J36" s="46" t="s">
        <v>1063</v>
      </c>
      <c r="K36" s="52" t="s">
        <v>1064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692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312</v>
      </c>
      <c r="AH36" s="99" t="s">
        <v>134</v>
      </c>
      <c r="AI36" s="19">
        <v>6</v>
      </c>
      <c r="AJ36" s="19">
        <f t="shared" si="19"/>
        <v>144</v>
      </c>
      <c r="AK36" s="62" t="s">
        <v>1065</v>
      </c>
      <c r="AL36" s="169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3"/>
        <v>7</v>
      </c>
      <c r="BL36" s="4">
        <f t="shared" si="14"/>
        <v>0.77777777777777779</v>
      </c>
      <c r="BM36" s="172"/>
      <c r="BN36" s="172"/>
      <c r="BO36" s="172"/>
      <c r="BP36" s="172"/>
      <c r="BQ36" s="172"/>
      <c r="BR36" s="164" t="str">
        <f t="shared" si="15"/>
        <v>En Producción. Termina en 31/May</v>
      </c>
      <c r="BS36" s="166">
        <f t="shared" si="18"/>
        <v>46261</v>
      </c>
      <c r="BT36" s="164" t="s">
        <v>1066</v>
      </c>
      <c r="CJ36" s="217"/>
      <c r="CK36" s="213"/>
      <c r="CL36" s="213"/>
      <c r="CM36" s="213"/>
      <c r="CN36" s="221"/>
      <c r="CO36" s="161"/>
      <c r="CP36" s="217"/>
      <c r="CQ36" s="213"/>
      <c r="CR36" s="223"/>
      <c r="CS36" s="155"/>
      <c r="CT36" s="217"/>
      <c r="CU36" s="213"/>
      <c r="CV36" s="227"/>
      <c r="CW36" s="154"/>
      <c r="CX36" s="217"/>
      <c r="CY36" s="213"/>
      <c r="CZ36" s="227"/>
      <c r="DA36" s="154"/>
      <c r="DB36" s="217"/>
      <c r="DC36" s="213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1112</v>
      </c>
      <c r="G37" s="52" t="s">
        <v>1113</v>
      </c>
      <c r="H37" s="102" t="s">
        <v>60</v>
      </c>
      <c r="I37" s="95" t="s">
        <v>510</v>
      </c>
      <c r="J37" s="46" t="s">
        <v>1063</v>
      </c>
      <c r="K37" s="52" t="s">
        <v>1064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692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312</v>
      </c>
      <c r="AH37" s="99" t="s">
        <v>134</v>
      </c>
      <c r="AI37" s="19">
        <v>6</v>
      </c>
      <c r="AJ37" s="19">
        <f t="shared" si="19"/>
        <v>144</v>
      </c>
      <c r="AK37" s="62" t="s">
        <v>1065</v>
      </c>
      <c r="AL37" s="169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3"/>
        <v>7</v>
      </c>
      <c r="BL37" s="4">
        <f t="shared" si="14"/>
        <v>0.77777777777777779</v>
      </c>
      <c r="BM37" s="172"/>
      <c r="BN37" s="172"/>
      <c r="BO37" s="172"/>
      <c r="BP37" s="172"/>
      <c r="BQ37" s="172"/>
      <c r="BR37" s="164" t="str">
        <f t="shared" si="15"/>
        <v>En Producción. Termina en 31/May</v>
      </c>
      <c r="BS37" s="166">
        <f t="shared" si="18"/>
        <v>46261</v>
      </c>
      <c r="BT37" s="164" t="s">
        <v>1066</v>
      </c>
      <c r="CJ37" s="217"/>
      <c r="CK37" s="213"/>
      <c r="CL37" s="213"/>
      <c r="CM37" s="213"/>
      <c r="CN37" s="221"/>
      <c r="CO37" s="161"/>
      <c r="CP37" s="217"/>
      <c r="CQ37" s="213"/>
      <c r="CR37" s="223"/>
      <c r="CS37" s="155"/>
      <c r="CT37" s="217"/>
      <c r="CU37" s="213"/>
      <c r="CV37" s="227"/>
      <c r="CW37" s="154"/>
      <c r="CX37" s="217"/>
      <c r="CY37" s="213"/>
      <c r="CZ37" s="227"/>
      <c r="DA37" s="154"/>
      <c r="DB37" s="217"/>
      <c r="DC37" s="213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1114</v>
      </c>
      <c r="G38" s="52" t="s">
        <v>1115</v>
      </c>
      <c r="H38" s="102" t="s">
        <v>60</v>
      </c>
      <c r="I38" s="95" t="s">
        <v>510</v>
      </c>
      <c r="J38" s="46" t="s">
        <v>1063</v>
      </c>
      <c r="K38" s="52" t="s">
        <v>1064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692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312</v>
      </c>
      <c r="AH38" s="99" t="s">
        <v>134</v>
      </c>
      <c r="AI38" s="19">
        <v>6</v>
      </c>
      <c r="AJ38" s="19">
        <f t="shared" si="19"/>
        <v>144</v>
      </c>
      <c r="AK38" s="62" t="s">
        <v>1065</v>
      </c>
      <c r="AL38" s="169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3"/>
        <v>7</v>
      </c>
      <c r="BL38" s="4">
        <f t="shared" si="14"/>
        <v>0.77777777777777779</v>
      </c>
      <c r="BM38" s="172"/>
      <c r="BN38" s="172"/>
      <c r="BO38" s="172"/>
      <c r="BP38" s="172"/>
      <c r="BQ38" s="172"/>
      <c r="BR38" s="164" t="str">
        <f t="shared" si="15"/>
        <v>En Producción. Termina en 31/May</v>
      </c>
      <c r="BS38" s="166">
        <f t="shared" si="18"/>
        <v>46261</v>
      </c>
      <c r="BT38" s="164" t="s">
        <v>1066</v>
      </c>
      <c r="CJ38" s="217"/>
      <c r="CK38" s="213"/>
      <c r="CL38" s="213"/>
      <c r="CM38" s="213"/>
      <c r="CN38" s="221"/>
      <c r="CO38" s="161"/>
      <c r="CP38" s="217"/>
      <c r="CQ38" s="213"/>
      <c r="CR38" s="223"/>
      <c r="CS38" s="155"/>
      <c r="CT38" s="217"/>
      <c r="CU38" s="213"/>
      <c r="CV38" s="227"/>
      <c r="CW38" s="154"/>
      <c r="CX38" s="217"/>
      <c r="CY38" s="213"/>
      <c r="CZ38" s="227"/>
      <c r="DA38" s="154"/>
      <c r="DB38" s="217"/>
      <c r="DC38" s="213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1116</v>
      </c>
      <c r="G39" s="52" t="s">
        <v>1117</v>
      </c>
      <c r="H39" s="102"/>
      <c r="I39" s="95" t="s">
        <v>957</v>
      </c>
      <c r="J39" s="46" t="s">
        <v>1063</v>
      </c>
      <c r="K39" s="52" t="s">
        <v>1064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692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312</v>
      </c>
      <c r="AH39" s="99" t="s">
        <v>134</v>
      </c>
      <c r="AI39" s="19">
        <v>6</v>
      </c>
      <c r="AJ39" s="19">
        <f t="shared" si="19"/>
        <v>144</v>
      </c>
      <c r="AK39" s="62" t="s">
        <v>1075</v>
      </c>
      <c r="AL39" s="169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3"/>
        <v>7</v>
      </c>
      <c r="BL39" s="4">
        <f t="shared" si="14"/>
        <v>0.77777777777777779</v>
      </c>
      <c r="BM39" s="172"/>
      <c r="BN39" s="172"/>
      <c r="BO39" s="172"/>
      <c r="BP39" s="172"/>
      <c r="BQ39" s="172"/>
      <c r="BR39" s="164" t="str">
        <f t="shared" si="15"/>
        <v>Producción termina 25/May</v>
      </c>
      <c r="BS39" s="166">
        <f t="shared" si="18"/>
        <v>46261</v>
      </c>
      <c r="BT39" s="164" t="s">
        <v>1066</v>
      </c>
      <c r="CJ39" s="217"/>
      <c r="CK39" s="213"/>
      <c r="CL39" s="213"/>
      <c r="CM39" s="213"/>
      <c r="CN39" s="221"/>
      <c r="CO39" s="161"/>
      <c r="CP39" s="217"/>
      <c r="CQ39" s="213"/>
      <c r="CR39" s="223"/>
      <c r="CS39" s="155"/>
      <c r="CT39" s="217"/>
      <c r="CU39" s="213"/>
      <c r="CV39" s="227"/>
      <c r="CW39" s="154"/>
      <c r="CX39" s="217"/>
      <c r="CY39" s="213"/>
      <c r="CZ39" s="227"/>
      <c r="DA39" s="154"/>
      <c r="DB39" s="217"/>
      <c r="DC39" s="213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1118</v>
      </c>
      <c r="G40" s="52" t="s">
        <v>1119</v>
      </c>
      <c r="H40" s="102" t="s">
        <v>60</v>
      </c>
      <c r="I40" s="95" t="s">
        <v>395</v>
      </c>
      <c r="J40" s="46" t="s">
        <v>1063</v>
      </c>
      <c r="K40" s="52" t="s">
        <v>1064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692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312</v>
      </c>
      <c r="AH40" s="99" t="s">
        <v>134</v>
      </c>
      <c r="AI40" s="19">
        <v>6</v>
      </c>
      <c r="AJ40" s="19">
        <f t="shared" si="19"/>
        <v>144</v>
      </c>
      <c r="AK40" s="62" t="s">
        <v>1120</v>
      </c>
      <c r="AL40" s="169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3"/>
        <v>7</v>
      </c>
      <c r="BL40" s="4">
        <f t="shared" si="14"/>
        <v>0.77777777777777779</v>
      </c>
      <c r="BM40" s="172"/>
      <c r="BN40" s="172"/>
      <c r="BO40" s="172"/>
      <c r="BP40" s="172"/>
      <c r="BQ40" s="172"/>
      <c r="BR40" s="164" t="str">
        <f t="shared" si="15"/>
        <v>Producción termina 31/May</v>
      </c>
      <c r="BS40" s="166">
        <f t="shared" si="18"/>
        <v>46242</v>
      </c>
      <c r="BT40" s="164" t="s">
        <v>1066</v>
      </c>
      <c r="CJ40" s="217"/>
      <c r="CK40" s="213"/>
      <c r="CL40" s="213"/>
      <c r="CM40" s="213"/>
      <c r="CN40" s="221"/>
      <c r="CO40" s="161"/>
      <c r="CP40" s="217"/>
      <c r="CQ40" s="213"/>
      <c r="CR40" s="223"/>
      <c r="CS40" s="155"/>
      <c r="CT40" s="217"/>
      <c r="CU40" s="213"/>
      <c r="CV40" s="227"/>
      <c r="CW40" s="154"/>
      <c r="CX40" s="217"/>
      <c r="CY40" s="213"/>
      <c r="CZ40" s="227"/>
      <c r="DA40" s="154"/>
      <c r="DB40" s="217"/>
      <c r="DC40" s="213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1121</v>
      </c>
      <c r="G41" s="52" t="s">
        <v>1122</v>
      </c>
      <c r="H41" s="102" t="s">
        <v>60</v>
      </c>
      <c r="I41" s="52"/>
      <c r="J41" s="46" t="s">
        <v>1063</v>
      </c>
      <c r="K41" s="52" t="s">
        <v>1064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692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312</v>
      </c>
      <c r="AH41" s="99" t="s">
        <v>134</v>
      </c>
      <c r="AI41" s="19">
        <v>6</v>
      </c>
      <c r="AJ41" s="19">
        <f t="shared" si="19"/>
        <v>144</v>
      </c>
      <c r="AK41" s="62" t="s">
        <v>1075</v>
      </c>
      <c r="AL41" s="169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3"/>
        <v>7</v>
      </c>
      <c r="BL41" s="4">
        <f t="shared" si="14"/>
        <v>0.77777777777777779</v>
      </c>
      <c r="BM41" s="172"/>
      <c r="BN41" s="172"/>
      <c r="BO41" s="172"/>
      <c r="BP41" s="172"/>
      <c r="BQ41" s="172"/>
      <c r="BR41" s="164" t="str">
        <f t="shared" si="15"/>
        <v>Producción termina 25/May</v>
      </c>
      <c r="BS41" s="166">
        <f t="shared" si="18"/>
        <v>46242</v>
      </c>
      <c r="BT41" s="164" t="s">
        <v>1066</v>
      </c>
      <c r="CJ41" s="217"/>
      <c r="CK41" s="213"/>
      <c r="CL41" s="213"/>
      <c r="CM41" s="213"/>
      <c r="CN41" s="221"/>
      <c r="CO41" s="161"/>
      <c r="CP41" s="217"/>
      <c r="CQ41" s="213"/>
      <c r="CR41" s="223"/>
      <c r="CS41" s="155"/>
      <c r="CT41" s="217"/>
      <c r="CU41" s="213"/>
      <c r="CV41" s="227"/>
      <c r="CW41" s="154"/>
      <c r="CX41" s="217"/>
      <c r="CY41" s="213"/>
      <c r="CZ41" s="227"/>
      <c r="DA41" s="154"/>
      <c r="DB41" s="217"/>
      <c r="DC41" s="213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1123</v>
      </c>
      <c r="G42" s="52" t="s">
        <v>1124</v>
      </c>
      <c r="H42" s="102" t="s">
        <v>60</v>
      </c>
      <c r="I42" s="52"/>
      <c r="J42" s="46" t="s">
        <v>1063</v>
      </c>
      <c r="K42" s="52" t="s">
        <v>1064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692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312</v>
      </c>
      <c r="AH42" s="99" t="s">
        <v>134</v>
      </c>
      <c r="AI42" s="19">
        <v>6</v>
      </c>
      <c r="AJ42" s="19">
        <f t="shared" si="19"/>
        <v>144</v>
      </c>
      <c r="AK42" s="62" t="s">
        <v>1075</v>
      </c>
      <c r="AL42" s="169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3"/>
        <v>7</v>
      </c>
      <c r="BL42" s="4">
        <f t="shared" si="14"/>
        <v>0.77777777777777779</v>
      </c>
      <c r="BM42" s="172"/>
      <c r="BN42" s="172"/>
      <c r="BO42" s="172"/>
      <c r="BP42" s="172"/>
      <c r="BQ42" s="172"/>
      <c r="BR42" s="164" t="str">
        <f t="shared" si="15"/>
        <v>Producción termina 25/May</v>
      </c>
      <c r="BS42" s="166">
        <f t="shared" si="18"/>
        <v>46242</v>
      </c>
      <c r="BT42" s="164" t="s">
        <v>1066</v>
      </c>
      <c r="CJ42" s="217"/>
      <c r="CK42" s="213"/>
      <c r="CL42" s="213"/>
      <c r="CM42" s="213"/>
      <c r="CN42" s="221"/>
      <c r="CO42" s="161"/>
      <c r="CP42" s="217"/>
      <c r="CQ42" s="213"/>
      <c r="CR42" s="223"/>
      <c r="CS42" s="155"/>
      <c r="CT42" s="217"/>
      <c r="CU42" s="213"/>
      <c r="CV42" s="227"/>
      <c r="CW42" s="154"/>
      <c r="CX42" s="217"/>
      <c r="CY42" s="213"/>
      <c r="CZ42" s="227"/>
      <c r="DA42" s="154"/>
      <c r="DB42" s="217"/>
      <c r="DC42" s="213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1125</v>
      </c>
      <c r="G43" s="52" t="s">
        <v>1126</v>
      </c>
      <c r="H43" s="102" t="s">
        <v>60</v>
      </c>
      <c r="I43" s="52"/>
      <c r="J43" s="46" t="s">
        <v>1063</v>
      </c>
      <c r="K43" s="52" t="s">
        <v>1064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692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312</v>
      </c>
      <c r="AH43" s="99" t="s">
        <v>134</v>
      </c>
      <c r="AI43" s="19">
        <v>6</v>
      </c>
      <c r="AJ43" s="19">
        <f t="shared" si="19"/>
        <v>144</v>
      </c>
      <c r="AK43" s="62" t="s">
        <v>1075</v>
      </c>
      <c r="AL43" s="169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3"/>
        <v>7</v>
      </c>
      <c r="BL43" s="4">
        <f t="shared" si="14"/>
        <v>0.77777777777777779</v>
      </c>
      <c r="BM43" s="172"/>
      <c r="BN43" s="172"/>
      <c r="BO43" s="172"/>
      <c r="BP43" s="172"/>
      <c r="BQ43" s="172"/>
      <c r="BR43" s="164" t="str">
        <f t="shared" si="15"/>
        <v>Producción termina 25/May</v>
      </c>
      <c r="BS43" s="166">
        <f t="shared" si="18"/>
        <v>46242</v>
      </c>
      <c r="BT43" s="164" t="s">
        <v>1066</v>
      </c>
      <c r="CJ43" s="217"/>
      <c r="CK43" s="213"/>
      <c r="CL43" s="213"/>
      <c r="CM43" s="213"/>
      <c r="CN43" s="221"/>
      <c r="CO43" s="161"/>
      <c r="CP43" s="217"/>
      <c r="CQ43" s="213"/>
      <c r="CR43" s="223"/>
      <c r="CS43" s="155"/>
      <c r="CT43" s="217"/>
      <c r="CU43" s="213"/>
      <c r="CV43" s="227"/>
      <c r="CW43" s="154"/>
      <c r="CX43" s="217"/>
      <c r="CY43" s="213"/>
      <c r="CZ43" s="227"/>
      <c r="DA43" s="154"/>
      <c r="DB43" s="217"/>
      <c r="DC43" s="213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1127</v>
      </c>
      <c r="G44" s="52" t="s">
        <v>1128</v>
      </c>
      <c r="H44" s="102" t="s">
        <v>60</v>
      </c>
      <c r="I44" s="52"/>
      <c r="J44" s="46" t="s">
        <v>1063</v>
      </c>
      <c r="K44" s="52" t="s">
        <v>1064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692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312</v>
      </c>
      <c r="AH44" s="99" t="s">
        <v>134</v>
      </c>
      <c r="AI44" s="19">
        <v>6</v>
      </c>
      <c r="AJ44" s="19">
        <f t="shared" si="19"/>
        <v>144</v>
      </c>
      <c r="AK44" s="62" t="s">
        <v>1075</v>
      </c>
      <c r="AL44" s="169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3"/>
        <v>7</v>
      </c>
      <c r="BL44" s="4">
        <f t="shared" si="14"/>
        <v>0.77777777777777779</v>
      </c>
      <c r="BM44" s="172"/>
      <c r="BN44" s="172"/>
      <c r="BO44" s="172"/>
      <c r="BP44" s="172"/>
      <c r="BQ44" s="172"/>
      <c r="BR44" s="164" t="str">
        <f t="shared" si="15"/>
        <v>Producción termina 25/May</v>
      </c>
      <c r="BS44" s="166">
        <f t="shared" si="18"/>
        <v>46242</v>
      </c>
      <c r="BT44" s="164" t="s">
        <v>1066</v>
      </c>
      <c r="CJ44" s="217"/>
      <c r="CK44" s="213"/>
      <c r="CL44" s="213"/>
      <c r="CM44" s="213"/>
      <c r="CN44" s="221"/>
      <c r="CO44" s="161"/>
      <c r="CP44" s="217"/>
      <c r="CQ44" s="213"/>
      <c r="CR44" s="223"/>
      <c r="CS44" s="155"/>
      <c r="CT44" s="217"/>
      <c r="CU44" s="213"/>
      <c r="CV44" s="224"/>
      <c r="CW44" s="200"/>
      <c r="CX44" s="217"/>
      <c r="CY44" s="213"/>
      <c r="CZ44" s="224"/>
      <c r="DA44" s="200"/>
      <c r="DB44" s="217"/>
      <c r="DC44" s="213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1129</v>
      </c>
      <c r="G45" s="52" t="s">
        <v>1130</v>
      </c>
      <c r="H45" s="102" t="s">
        <v>60</v>
      </c>
      <c r="I45" s="52"/>
      <c r="J45" s="46" t="s">
        <v>1063</v>
      </c>
      <c r="K45" s="52" t="s">
        <v>1064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692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876</v>
      </c>
      <c r="AH45" s="99" t="s">
        <v>134</v>
      </c>
      <c r="AI45" s="19">
        <v>6</v>
      </c>
      <c r="AJ45" s="19">
        <f t="shared" si="19"/>
        <v>144</v>
      </c>
      <c r="AK45" s="62" t="s">
        <v>1065</v>
      </c>
      <c r="AL45" s="169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3"/>
        <v>7</v>
      </c>
      <c r="BL45" s="4">
        <f t="shared" si="14"/>
        <v>0.77777777777777779</v>
      </c>
      <c r="BM45" s="172"/>
      <c r="BN45" s="172"/>
      <c r="BO45" s="172"/>
      <c r="BP45" s="172"/>
      <c r="BQ45" s="172"/>
      <c r="BR45" s="164" t="str">
        <f t="shared" si="15"/>
        <v>En Producción. Termina en 31/May</v>
      </c>
      <c r="BS45" s="166">
        <f t="shared" si="18"/>
        <v>46252</v>
      </c>
      <c r="BT45" s="164" t="s">
        <v>1066</v>
      </c>
      <c r="CJ45" s="217"/>
      <c r="CK45" s="213"/>
      <c r="CL45" s="213"/>
      <c r="CM45" s="213"/>
      <c r="CN45" s="221"/>
      <c r="CO45" s="161"/>
      <c r="CP45" s="217"/>
      <c r="CQ45" s="213"/>
      <c r="CR45" s="223"/>
      <c r="CS45" s="155"/>
      <c r="CT45" s="217"/>
      <c r="CU45" s="213"/>
      <c r="CV45" s="227"/>
      <c r="CW45" s="154"/>
      <c r="CX45" s="217"/>
      <c r="CY45" s="213"/>
      <c r="CZ45" s="227"/>
      <c r="DA45" s="154"/>
      <c r="DB45" s="217"/>
      <c r="DC45" s="213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1131</v>
      </c>
      <c r="G46" s="52" t="s">
        <v>1132</v>
      </c>
      <c r="H46" s="102" t="s">
        <v>60</v>
      </c>
      <c r="I46" s="52"/>
      <c r="J46" s="46" t="s">
        <v>1063</v>
      </c>
      <c r="K46" s="52" t="s">
        <v>1064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692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876</v>
      </c>
      <c r="AH46" s="99" t="s">
        <v>134</v>
      </c>
      <c r="AI46" s="19">
        <v>6</v>
      </c>
      <c r="AJ46" s="19">
        <f t="shared" si="19"/>
        <v>144</v>
      </c>
      <c r="AK46" s="62" t="s">
        <v>1065</v>
      </c>
      <c r="AL46" s="169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3"/>
        <v>7</v>
      </c>
      <c r="BL46" s="4">
        <f t="shared" si="14"/>
        <v>0.77777777777777779</v>
      </c>
      <c r="BM46" s="172"/>
      <c r="BN46" s="172"/>
      <c r="BO46" s="172"/>
      <c r="BP46" s="172"/>
      <c r="BQ46" s="172"/>
      <c r="BR46" s="164" t="str">
        <f t="shared" si="15"/>
        <v>En Producción. Termina en 31/May</v>
      </c>
      <c r="BS46" s="166">
        <f t="shared" si="18"/>
        <v>46252</v>
      </c>
      <c r="BT46" s="164" t="s">
        <v>1066</v>
      </c>
      <c r="CJ46" s="217"/>
      <c r="CK46" s="213"/>
      <c r="CL46" s="213"/>
      <c r="CM46" s="213"/>
      <c r="CN46" s="221"/>
      <c r="CO46" s="161"/>
      <c r="CP46" s="217"/>
      <c r="CQ46" s="213"/>
      <c r="CR46" s="223"/>
      <c r="CS46" s="155"/>
      <c r="CT46" s="217"/>
      <c r="CU46" s="213"/>
      <c r="CV46" s="227"/>
      <c r="CW46" s="154"/>
      <c r="CX46" s="217"/>
      <c r="CY46" s="213"/>
      <c r="CZ46" s="227"/>
      <c r="DA46" s="154"/>
      <c r="DB46" s="217"/>
      <c r="DC46" s="213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1133</v>
      </c>
      <c r="G47" s="109" t="s">
        <v>1134</v>
      </c>
      <c r="H47" s="102" t="s">
        <v>60</v>
      </c>
      <c r="I47" s="109"/>
      <c r="J47" s="46" t="s">
        <v>1063</v>
      </c>
      <c r="K47" s="52" t="s">
        <v>1064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692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876</v>
      </c>
      <c r="AH47" s="99" t="s">
        <v>134</v>
      </c>
      <c r="AI47" s="19">
        <v>6</v>
      </c>
      <c r="AJ47" s="19">
        <f t="shared" si="19"/>
        <v>144</v>
      </c>
      <c r="AK47" s="62" t="s">
        <v>1065</v>
      </c>
      <c r="AL47" s="169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3"/>
        <v>7</v>
      </c>
      <c r="BL47" s="4">
        <f t="shared" si="14"/>
        <v>0.77777777777777779</v>
      </c>
      <c r="BM47" s="172"/>
      <c r="BN47" s="172"/>
      <c r="BO47" s="172"/>
      <c r="BP47" s="172"/>
      <c r="BQ47" s="172"/>
      <c r="BR47" s="164" t="str">
        <f t="shared" si="15"/>
        <v>En Producción. Termina en 31/May</v>
      </c>
      <c r="BS47" s="166">
        <f t="shared" si="18"/>
        <v>46252</v>
      </c>
      <c r="BT47" s="164" t="s">
        <v>1066</v>
      </c>
      <c r="CJ47" s="217"/>
      <c r="CK47" s="213"/>
      <c r="CL47" s="213"/>
      <c r="CM47" s="213"/>
      <c r="CN47" s="221"/>
      <c r="CO47" s="161"/>
      <c r="CP47" s="217"/>
      <c r="CQ47" s="213"/>
      <c r="CR47" s="223"/>
      <c r="CS47" s="155"/>
      <c r="CT47" s="217"/>
      <c r="CU47" s="213"/>
      <c r="CV47" s="227"/>
      <c r="CW47" s="154"/>
      <c r="CX47" s="217"/>
      <c r="CY47" s="213"/>
      <c r="CZ47" s="227"/>
      <c r="DA47" s="154"/>
      <c r="DB47" s="217"/>
      <c r="DC47" s="213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1135</v>
      </c>
      <c r="G48" s="109" t="s">
        <v>1136</v>
      </c>
      <c r="H48" s="102" t="s">
        <v>60</v>
      </c>
      <c r="I48" s="109"/>
      <c r="J48" s="46" t="s">
        <v>1063</v>
      </c>
      <c r="K48" s="52" t="s">
        <v>1064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692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876</v>
      </c>
      <c r="AH48" s="99" t="s">
        <v>134</v>
      </c>
      <c r="AI48" s="19">
        <v>6</v>
      </c>
      <c r="AJ48" s="19">
        <f t="shared" si="19"/>
        <v>144</v>
      </c>
      <c r="AK48" s="62" t="s">
        <v>1065</v>
      </c>
      <c r="AL48" s="169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3"/>
        <v>7</v>
      </c>
      <c r="BL48" s="4">
        <f t="shared" si="14"/>
        <v>0.77777777777777779</v>
      </c>
      <c r="BM48" s="172"/>
      <c r="BN48" s="172"/>
      <c r="BO48" s="172"/>
      <c r="BP48" s="172"/>
      <c r="BQ48" s="172"/>
      <c r="BR48" s="164" t="str">
        <f t="shared" si="15"/>
        <v>En Producción. Termina en 31/May</v>
      </c>
      <c r="BS48" s="166">
        <f t="shared" si="18"/>
        <v>46252</v>
      </c>
      <c r="BT48" s="164" t="s">
        <v>1066</v>
      </c>
      <c r="CJ48" s="217"/>
      <c r="CK48" s="213"/>
      <c r="CL48" s="213"/>
      <c r="CM48" s="213"/>
      <c r="CN48" s="221"/>
      <c r="CO48" s="161"/>
      <c r="CP48" s="217"/>
      <c r="CQ48" s="213"/>
      <c r="CR48" s="223"/>
      <c r="CS48" s="155"/>
      <c r="CT48" s="217"/>
      <c r="CU48" s="213"/>
      <c r="CV48" s="227"/>
      <c r="CW48" s="154"/>
      <c r="CX48" s="217"/>
      <c r="CY48" s="213"/>
      <c r="CZ48" s="227"/>
      <c r="DA48" s="154"/>
      <c r="DB48" s="217"/>
      <c r="DC48" s="213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1137</v>
      </c>
      <c r="G49" s="109" t="s">
        <v>1138</v>
      </c>
      <c r="H49" s="102" t="s">
        <v>60</v>
      </c>
      <c r="I49" s="109"/>
      <c r="J49" s="46" t="s">
        <v>1063</v>
      </c>
      <c r="K49" s="52" t="s">
        <v>1064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692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876</v>
      </c>
      <c r="AH49" s="99" t="s">
        <v>134</v>
      </c>
      <c r="AI49" s="19">
        <v>6</v>
      </c>
      <c r="AJ49" s="19">
        <f t="shared" si="19"/>
        <v>144</v>
      </c>
      <c r="AK49" s="62" t="s">
        <v>1065</v>
      </c>
      <c r="AL49" s="169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5" si="33">SUM(BA49:BI49)</f>
        <v>7</v>
      </c>
      <c r="BL49" s="4">
        <f t="shared" ref="BL49:BL75" si="34">+BK49/BJ49</f>
        <v>0.77777777777777779</v>
      </c>
      <c r="BM49" s="172"/>
      <c r="BN49" s="172"/>
      <c r="BO49" s="172"/>
      <c r="BP49" s="172"/>
      <c r="BQ49" s="172"/>
      <c r="BR49" s="164" t="str">
        <f t="shared" si="15"/>
        <v>En Producción. Termina en 31/May</v>
      </c>
      <c r="BS49" s="166">
        <f t="shared" si="18"/>
        <v>46252</v>
      </c>
      <c r="BT49" s="164" t="s">
        <v>1066</v>
      </c>
      <c r="CJ49" s="217"/>
      <c r="CK49" s="213"/>
      <c r="CL49" s="213"/>
      <c r="CM49" s="213"/>
      <c r="CN49" s="221"/>
      <c r="CO49" s="161"/>
      <c r="CP49" s="217"/>
      <c r="CQ49" s="213"/>
      <c r="CR49" s="223"/>
      <c r="CS49" s="155"/>
      <c r="CT49" s="217"/>
      <c r="CU49" s="213"/>
      <c r="CV49" s="227"/>
      <c r="CW49" s="154"/>
      <c r="CX49" s="217"/>
      <c r="CY49" s="213"/>
      <c r="CZ49" s="227"/>
      <c r="DA49" s="154"/>
      <c r="DB49" s="217"/>
      <c r="DC49" s="213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1139</v>
      </c>
      <c r="G50" s="110" t="s">
        <v>1140</v>
      </c>
      <c r="H50" s="102" t="s">
        <v>60</v>
      </c>
      <c r="I50" s="110"/>
      <c r="J50" s="46" t="s">
        <v>1063</v>
      </c>
      <c r="K50" s="52" t="s">
        <v>1064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692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876</v>
      </c>
      <c r="AH50" s="99" t="s">
        <v>134</v>
      </c>
      <c r="AI50" s="19">
        <v>6</v>
      </c>
      <c r="AJ50" s="19">
        <f t="shared" si="19"/>
        <v>144</v>
      </c>
      <c r="AK50" s="62" t="s">
        <v>1065</v>
      </c>
      <c r="AL50" s="169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3"/>
        <v>7</v>
      </c>
      <c r="BL50" s="4">
        <f t="shared" si="34"/>
        <v>0.77777777777777779</v>
      </c>
      <c r="BM50" s="172"/>
      <c r="BN50" s="172"/>
      <c r="BO50" s="172"/>
      <c r="BP50" s="172"/>
      <c r="BQ50" s="172"/>
      <c r="BR50" s="164" t="str">
        <f t="shared" si="15"/>
        <v>En Producción. Termina en 31/May</v>
      </c>
      <c r="BS50" s="166">
        <f t="shared" si="18"/>
        <v>46252</v>
      </c>
      <c r="BT50" s="164" t="s">
        <v>1066</v>
      </c>
      <c r="CJ50" s="217"/>
      <c r="CK50" s="213"/>
      <c r="CL50" s="213"/>
      <c r="CM50" s="213"/>
      <c r="CN50" s="221"/>
      <c r="CO50" s="161"/>
      <c r="CP50" s="217"/>
      <c r="CQ50" s="213"/>
      <c r="CR50" s="223"/>
      <c r="CS50" s="155"/>
      <c r="CT50" s="217"/>
      <c r="CU50" s="213"/>
      <c r="CV50" s="227"/>
      <c r="CW50" s="154"/>
      <c r="CX50" s="217"/>
      <c r="CY50" s="213"/>
      <c r="CZ50" s="227"/>
      <c r="DA50" s="154"/>
      <c r="DB50" s="217"/>
      <c r="DC50" s="213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1141</v>
      </c>
      <c r="G51" s="110" t="s">
        <v>1142</v>
      </c>
      <c r="H51" s="102" t="s">
        <v>60</v>
      </c>
      <c r="I51" s="110"/>
      <c r="J51" s="46" t="s">
        <v>1063</v>
      </c>
      <c r="K51" s="52" t="s">
        <v>1064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692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876</v>
      </c>
      <c r="AH51" s="99" t="s">
        <v>134</v>
      </c>
      <c r="AI51" s="19">
        <v>6</v>
      </c>
      <c r="AJ51" s="19">
        <f t="shared" si="19"/>
        <v>144</v>
      </c>
      <c r="AK51" s="62" t="s">
        <v>1065</v>
      </c>
      <c r="AL51" s="169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3"/>
        <v>7</v>
      </c>
      <c r="BL51" s="4">
        <f t="shared" si="34"/>
        <v>0.77777777777777779</v>
      </c>
      <c r="BM51" s="172"/>
      <c r="BN51" s="172"/>
      <c r="BO51" s="172"/>
      <c r="BP51" s="172"/>
      <c r="BQ51" s="172"/>
      <c r="BR51" s="164" t="str">
        <f t="shared" si="15"/>
        <v>En Producción. Termina en 31/May</v>
      </c>
      <c r="BS51" s="166">
        <f t="shared" si="18"/>
        <v>46252</v>
      </c>
      <c r="BT51" s="164" t="s">
        <v>1066</v>
      </c>
      <c r="CJ51" s="217"/>
      <c r="CK51" s="213"/>
      <c r="CL51" s="213"/>
      <c r="CM51" s="213"/>
      <c r="CN51" s="221"/>
      <c r="CO51" s="161"/>
      <c r="CP51" s="217"/>
      <c r="CQ51" s="213"/>
      <c r="CR51" s="223"/>
      <c r="CS51" s="155"/>
      <c r="CT51" s="217"/>
      <c r="CU51" s="213"/>
      <c r="CV51" s="227"/>
      <c r="CW51" s="154"/>
      <c r="CX51" s="217"/>
      <c r="CY51" s="213"/>
      <c r="CZ51" s="227"/>
      <c r="DA51" s="154"/>
      <c r="DB51" s="217"/>
      <c r="DC51" s="213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1143</v>
      </c>
      <c r="G52" s="110" t="s">
        <v>1144</v>
      </c>
      <c r="H52" s="102" t="s">
        <v>60</v>
      </c>
      <c r="I52" s="110"/>
      <c r="J52" s="46" t="s">
        <v>1063</v>
      </c>
      <c r="K52" s="52" t="s">
        <v>1064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692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876</v>
      </c>
      <c r="AH52" s="99" t="s">
        <v>134</v>
      </c>
      <c r="AI52" s="19">
        <v>6</v>
      </c>
      <c r="AJ52" s="19">
        <f t="shared" si="19"/>
        <v>144</v>
      </c>
      <c r="AK52" s="62" t="s">
        <v>1065</v>
      </c>
      <c r="AL52" s="169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3"/>
        <v>7</v>
      </c>
      <c r="BL52" s="4">
        <f t="shared" si="34"/>
        <v>0.77777777777777779</v>
      </c>
      <c r="BM52" s="172"/>
      <c r="BN52" s="172"/>
      <c r="BO52" s="172"/>
      <c r="BP52" s="172"/>
      <c r="BQ52" s="172"/>
      <c r="BR52" s="164" t="str">
        <f t="shared" si="15"/>
        <v>En Producción. Termina en 31/May</v>
      </c>
      <c r="BS52" s="166">
        <f t="shared" si="18"/>
        <v>46252</v>
      </c>
      <c r="BT52" s="164" t="s">
        <v>1066</v>
      </c>
      <c r="CJ52" s="217"/>
      <c r="CK52" s="213"/>
      <c r="CL52" s="213"/>
      <c r="CM52" s="213"/>
      <c r="CN52" s="221"/>
      <c r="CO52" s="161"/>
      <c r="CP52" s="217"/>
      <c r="CQ52" s="213"/>
      <c r="CR52" s="223"/>
      <c r="CS52" s="155"/>
      <c r="CT52" s="217"/>
      <c r="CU52" s="213"/>
      <c r="CV52" s="227"/>
      <c r="CW52" s="154"/>
      <c r="CX52" s="217"/>
      <c r="CY52" s="213"/>
      <c r="CZ52" s="227"/>
      <c r="DA52" s="154"/>
      <c r="DB52" s="217"/>
      <c r="DC52" s="213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1145</v>
      </c>
      <c r="G53" s="110" t="s">
        <v>1146</v>
      </c>
      <c r="H53" s="102" t="s">
        <v>60</v>
      </c>
      <c r="I53" s="110"/>
      <c r="J53" s="46" t="s">
        <v>1063</v>
      </c>
      <c r="K53" s="52" t="s">
        <v>1064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692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876</v>
      </c>
      <c r="AH53" s="99" t="s">
        <v>134</v>
      </c>
      <c r="AI53" s="19">
        <v>6</v>
      </c>
      <c r="AJ53" s="19">
        <f t="shared" si="19"/>
        <v>144</v>
      </c>
      <c r="AK53" s="62" t="s">
        <v>1065</v>
      </c>
      <c r="AL53" s="169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3"/>
        <v>7</v>
      </c>
      <c r="BL53" s="4">
        <f t="shared" si="34"/>
        <v>0.77777777777777779</v>
      </c>
      <c r="BM53" s="172"/>
      <c r="BN53" s="172"/>
      <c r="BO53" s="172"/>
      <c r="BP53" s="172"/>
      <c r="BQ53" s="172"/>
      <c r="BR53" s="164" t="str">
        <f t="shared" si="15"/>
        <v>En Producción. Termina en 31/May</v>
      </c>
      <c r="BS53" s="166">
        <f t="shared" si="18"/>
        <v>46252</v>
      </c>
      <c r="BT53" s="164" t="s">
        <v>1066</v>
      </c>
      <c r="CJ53" s="217"/>
      <c r="CK53" s="213"/>
      <c r="CL53" s="213"/>
      <c r="CM53" s="213"/>
      <c r="CN53" s="221"/>
      <c r="CO53" s="161"/>
      <c r="CP53" s="217"/>
      <c r="CQ53" s="213"/>
      <c r="CR53" s="223"/>
      <c r="CS53" s="155"/>
      <c r="CT53" s="217"/>
      <c r="CU53" s="213"/>
      <c r="CV53" s="227"/>
      <c r="CW53" s="154"/>
      <c r="CX53" s="217"/>
      <c r="CY53" s="213"/>
      <c r="CZ53" s="227"/>
      <c r="DA53" s="154"/>
      <c r="DB53" s="217"/>
      <c r="DC53" s="213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1147</v>
      </c>
      <c r="G54" s="52" t="s">
        <v>1148</v>
      </c>
      <c r="H54" s="102" t="s">
        <v>60</v>
      </c>
      <c r="I54" s="52"/>
      <c r="J54" s="46" t="s">
        <v>1063</v>
      </c>
      <c r="K54" s="111" t="s">
        <v>593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692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1149</v>
      </c>
      <c r="AH54" s="99" t="s">
        <v>134</v>
      </c>
      <c r="AI54" s="19">
        <v>24</v>
      </c>
      <c r="AJ54" s="19">
        <f>+AI54*12</f>
        <v>288</v>
      </c>
      <c r="AK54" s="62" t="s">
        <v>1075</v>
      </c>
      <c r="AL54" s="169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3"/>
        <v>7</v>
      </c>
      <c r="BL54" s="4">
        <f t="shared" si="34"/>
        <v>0.77777777777777779</v>
      </c>
      <c r="BM54" s="172"/>
      <c r="BN54" s="172"/>
      <c r="BO54" s="172"/>
      <c r="BP54" s="172"/>
      <c r="BQ54" s="172"/>
      <c r="BR54" s="164" t="str">
        <f t="shared" si="15"/>
        <v>Producción termina 25/May</v>
      </c>
      <c r="BS54" s="166">
        <f t="shared" si="18"/>
        <v>46232</v>
      </c>
      <c r="BT54" s="164" t="s">
        <v>1066</v>
      </c>
      <c r="CJ54" s="217"/>
      <c r="CK54" s="213"/>
      <c r="CL54" s="213"/>
      <c r="CM54" s="213"/>
      <c r="CN54" s="221"/>
      <c r="CO54" s="161"/>
      <c r="CP54" s="217"/>
      <c r="CQ54" s="213"/>
      <c r="CR54" s="223"/>
      <c r="CS54" s="155"/>
      <c r="CT54" s="217"/>
      <c r="CU54" s="213"/>
      <c r="CV54" s="227"/>
      <c r="CW54" s="154"/>
      <c r="CX54" s="217"/>
      <c r="CY54" s="213"/>
      <c r="CZ54" s="227"/>
      <c r="DA54" s="154"/>
      <c r="DB54" s="217"/>
      <c r="DC54" s="213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1150</v>
      </c>
      <c r="G55" s="52" t="s">
        <v>1151</v>
      </c>
      <c r="H55" s="102" t="s">
        <v>60</v>
      </c>
      <c r="I55" s="52"/>
      <c r="J55" s="46" t="s">
        <v>1063</v>
      </c>
      <c r="K55" s="111" t="s">
        <v>593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692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1149</v>
      </c>
      <c r="AH55" s="99" t="s">
        <v>134</v>
      </c>
      <c r="AI55" s="19">
        <v>24</v>
      </c>
      <c r="AJ55" s="19">
        <f>+AI55*12</f>
        <v>288</v>
      </c>
      <c r="AK55" s="62" t="s">
        <v>1075</v>
      </c>
      <c r="AL55" s="169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3"/>
        <v>7</v>
      </c>
      <c r="BL55" s="4">
        <f t="shared" si="34"/>
        <v>0.77777777777777779</v>
      </c>
      <c r="BM55" s="172"/>
      <c r="BN55" s="172"/>
      <c r="BO55" s="172"/>
      <c r="BP55" s="172"/>
      <c r="BQ55" s="172"/>
      <c r="BR55" s="164" t="str">
        <f t="shared" si="15"/>
        <v>Producción termina 25/May</v>
      </c>
      <c r="BS55" s="166">
        <f t="shared" si="18"/>
        <v>46232</v>
      </c>
      <c r="BT55" s="164" t="s">
        <v>1066</v>
      </c>
      <c r="CJ55" s="217"/>
      <c r="CK55" s="213"/>
      <c r="CL55" s="213"/>
      <c r="CM55" s="213"/>
      <c r="CN55" s="221"/>
      <c r="CO55" s="161"/>
      <c r="CP55" s="217"/>
      <c r="CQ55" s="213"/>
      <c r="CR55" s="223"/>
      <c r="CS55" s="155"/>
      <c r="CT55" s="217"/>
      <c r="CU55" s="213"/>
      <c r="CV55" s="227"/>
      <c r="CW55" s="154"/>
      <c r="CX55" s="217"/>
      <c r="CY55" s="213"/>
      <c r="CZ55" s="227"/>
      <c r="DA55" s="154"/>
      <c r="DB55" s="217"/>
      <c r="DC55" s="213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1152</v>
      </c>
      <c r="G56" s="52" t="s">
        <v>1153</v>
      </c>
      <c r="H56" s="102" t="s">
        <v>60</v>
      </c>
      <c r="I56" s="52"/>
      <c r="J56" s="46" t="s">
        <v>1063</v>
      </c>
      <c r="K56" s="52" t="s">
        <v>1064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692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1149</v>
      </c>
      <c r="AH56" s="99" t="s">
        <v>134</v>
      </c>
      <c r="AI56" s="19">
        <v>6</v>
      </c>
      <c r="AJ56" s="19">
        <f>+AI56*24</f>
        <v>144</v>
      </c>
      <c r="AK56" s="62" t="s">
        <v>1154</v>
      </c>
      <c r="AL56" s="169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/>
      <c r="BI56" s="3"/>
      <c r="BJ56" s="3">
        <v>9</v>
      </c>
      <c r="BK56" s="3">
        <f t="shared" si="33"/>
        <v>7</v>
      </c>
      <c r="BL56" s="4">
        <f t="shared" si="34"/>
        <v>0.77777777777777779</v>
      </c>
      <c r="BM56" s="172"/>
      <c r="BN56" s="172"/>
      <c r="BO56" s="172"/>
      <c r="BP56" s="172"/>
      <c r="BQ56" s="172"/>
      <c r="BR56" s="164" t="str">
        <f t="shared" si="15"/>
        <v>En Producción. Aproximadamente terminan el 10/jun</v>
      </c>
      <c r="BS56" s="166">
        <f t="shared" si="18"/>
        <v>46252</v>
      </c>
      <c r="BT56" s="164" t="s">
        <v>170</v>
      </c>
      <c r="CJ56" s="217"/>
      <c r="CK56" s="213"/>
      <c r="CL56" s="213"/>
      <c r="CM56" s="213"/>
      <c r="CN56" s="221"/>
      <c r="CO56" s="161"/>
      <c r="CP56" s="217"/>
      <c r="CQ56" s="213"/>
      <c r="CR56" s="223"/>
      <c r="CS56" s="155"/>
      <c r="CT56" s="217"/>
      <c r="CU56" s="213"/>
      <c r="CV56" s="227"/>
      <c r="CW56" s="154"/>
      <c r="CX56" s="217"/>
      <c r="CY56" s="213"/>
      <c r="CZ56" s="227"/>
      <c r="DA56" s="154"/>
      <c r="DB56" s="217"/>
      <c r="DC56" s="213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1155</v>
      </c>
      <c r="G57" s="52" t="s">
        <v>1156</v>
      </c>
      <c r="H57" s="102" t="s">
        <v>60</v>
      </c>
      <c r="I57" s="52"/>
      <c r="J57" s="46" t="s">
        <v>1063</v>
      </c>
      <c r="K57" s="52" t="s">
        <v>1064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692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1149</v>
      </c>
      <c r="AH57" s="99" t="s">
        <v>134</v>
      </c>
      <c r="AI57" s="19">
        <v>6</v>
      </c>
      <c r="AJ57" s="19">
        <f>+AI57*24</f>
        <v>144</v>
      </c>
      <c r="AK57" s="62" t="s">
        <v>1154</v>
      </c>
      <c r="AL57" s="169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3"/>
        <v>7</v>
      </c>
      <c r="BL57" s="4">
        <f t="shared" si="34"/>
        <v>0.77777777777777779</v>
      </c>
      <c r="BM57" s="172"/>
      <c r="BN57" s="172"/>
      <c r="BO57" s="172"/>
      <c r="BP57" s="172"/>
      <c r="BQ57" s="172"/>
      <c r="BR57" s="164" t="str">
        <f t="shared" si="15"/>
        <v>En Producción. Aproximadamente terminan el 10/jun</v>
      </c>
      <c r="BS57" s="166">
        <f t="shared" si="18"/>
        <v>46252</v>
      </c>
      <c r="BT57" s="164" t="s">
        <v>170</v>
      </c>
      <c r="CJ57" s="217"/>
      <c r="CK57" s="213"/>
      <c r="CL57" s="213"/>
      <c r="CM57" s="213"/>
      <c r="CN57" s="221"/>
      <c r="CO57" s="161"/>
      <c r="CP57" s="217"/>
      <c r="CQ57" s="213"/>
      <c r="CR57" s="223"/>
      <c r="CS57" s="155"/>
      <c r="CT57" s="217"/>
      <c r="CU57" s="213"/>
      <c r="CV57" s="227"/>
      <c r="CW57" s="154"/>
      <c r="CX57" s="217"/>
      <c r="CY57" s="213"/>
      <c r="CZ57" s="227"/>
      <c r="DA57" s="154"/>
      <c r="DB57" s="217"/>
      <c r="DC57" s="213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1157</v>
      </c>
      <c r="G58" s="52" t="s">
        <v>1158</v>
      </c>
      <c r="H58" s="102" t="s">
        <v>60</v>
      </c>
      <c r="I58" s="52"/>
      <c r="J58" s="46" t="s">
        <v>1063</v>
      </c>
      <c r="K58" s="52" t="s">
        <v>1064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1159</v>
      </c>
      <c r="R58" s="97">
        <v>0</v>
      </c>
      <c r="S58" s="97" t="s">
        <v>692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1149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1095</v>
      </c>
      <c r="AL58" s="169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3"/>
        <v>7</v>
      </c>
      <c r="BL58" s="4">
        <f t="shared" si="34"/>
        <v>0.77777777777777779</v>
      </c>
      <c r="BM58" s="172"/>
      <c r="BN58" s="172"/>
      <c r="BO58" s="172"/>
      <c r="BP58" s="172"/>
      <c r="BQ58" s="172"/>
      <c r="BR58" s="164" t="str">
        <f>+AK58</f>
        <v>En espera de recolección</v>
      </c>
      <c r="BS58" s="166">
        <f t="shared" si="18"/>
        <v>46252</v>
      </c>
      <c r="BT58" s="164" t="s">
        <v>1076</v>
      </c>
      <c r="CJ58" s="217"/>
      <c r="CK58" s="213"/>
      <c r="CL58" s="213"/>
      <c r="CM58" s="213"/>
      <c r="CN58" s="221"/>
      <c r="CO58" s="161"/>
      <c r="CP58" s="217"/>
      <c r="CQ58" s="213"/>
      <c r="CR58" s="223"/>
      <c r="CS58" s="155"/>
      <c r="CT58" s="217"/>
      <c r="CU58" s="213"/>
      <c r="CV58" s="227"/>
      <c r="CW58" s="154"/>
      <c r="CX58" s="217"/>
      <c r="CY58" s="213"/>
      <c r="CZ58" s="227"/>
      <c r="DA58" s="154"/>
      <c r="DB58" s="217"/>
      <c r="DC58" s="213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1160</v>
      </c>
      <c r="G59" s="52" t="s">
        <v>1161</v>
      </c>
      <c r="H59" s="102"/>
      <c r="I59" s="52"/>
      <c r="J59" s="46" t="s">
        <v>1063</v>
      </c>
      <c r="K59" s="52" t="s">
        <v>1064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692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1149</v>
      </c>
      <c r="AH59" s="99" t="s">
        <v>134</v>
      </c>
      <c r="AI59" s="19">
        <v>12</v>
      </c>
      <c r="AJ59" s="19">
        <f t="shared" si="37"/>
        <v>480</v>
      </c>
      <c r="AK59" s="62" t="s">
        <v>1154</v>
      </c>
      <c r="AL59" s="169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3"/>
        <v>7</v>
      </c>
      <c r="BL59" s="4">
        <f t="shared" si="34"/>
        <v>0.77777777777777779</v>
      </c>
      <c r="BM59" s="172"/>
      <c r="BN59" s="172"/>
      <c r="BO59" s="172"/>
      <c r="BP59" s="172"/>
      <c r="BQ59" s="172"/>
      <c r="BR59" s="164" t="str">
        <f>+AK59</f>
        <v>En Producción. Aproximadamente terminan el 10/jun</v>
      </c>
      <c r="BS59" s="166">
        <f t="shared" si="18"/>
        <v>46252</v>
      </c>
      <c r="BT59" s="164" t="s">
        <v>70</v>
      </c>
      <c r="CJ59" s="217"/>
      <c r="CK59" s="213"/>
      <c r="CL59" s="213"/>
      <c r="CM59" s="213"/>
      <c r="CN59" s="221"/>
      <c r="CO59" s="161"/>
      <c r="CP59" s="217"/>
      <c r="CQ59" s="213"/>
      <c r="CR59" s="223"/>
      <c r="CS59" s="155"/>
      <c r="CT59" s="217"/>
      <c r="CU59" s="213"/>
      <c r="CV59" s="227"/>
      <c r="CW59" s="154"/>
      <c r="CX59" s="217"/>
      <c r="CY59" s="213"/>
      <c r="CZ59" s="227"/>
      <c r="DA59" s="154"/>
      <c r="DB59" s="217"/>
      <c r="DC59" s="213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1162</v>
      </c>
      <c r="G60" s="52" t="s">
        <v>1163</v>
      </c>
      <c r="H60" s="102" t="s">
        <v>60</v>
      </c>
      <c r="I60" s="52"/>
      <c r="J60" s="46" t="s">
        <v>1063</v>
      </c>
      <c r="K60" s="52" t="s">
        <v>1064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692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1149</v>
      </c>
      <c r="AH60" s="99" t="s">
        <v>134</v>
      </c>
      <c r="AI60" s="19">
        <v>12</v>
      </c>
      <c r="AJ60" s="19">
        <f t="shared" si="37"/>
        <v>480</v>
      </c>
      <c r="AK60" s="62" t="s">
        <v>1154</v>
      </c>
      <c r="AL60" s="169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3"/>
        <v>7</v>
      </c>
      <c r="BL60" s="4">
        <f t="shared" si="34"/>
        <v>0.77777777777777779</v>
      </c>
      <c r="BM60" s="172"/>
      <c r="BN60" s="172"/>
      <c r="BO60" s="172"/>
      <c r="BP60" s="172"/>
      <c r="BQ60" s="172"/>
      <c r="BR60" s="164" t="str">
        <f t="shared" si="15"/>
        <v>En Producción. Aproximadamente terminan el 10/jun</v>
      </c>
      <c r="BS60" s="166">
        <f t="shared" si="18"/>
        <v>46252</v>
      </c>
      <c r="BT60" s="164" t="s">
        <v>70</v>
      </c>
      <c r="CJ60" s="217"/>
      <c r="CK60" s="213"/>
      <c r="CL60" s="213"/>
      <c r="CM60" s="213"/>
      <c r="CN60" s="221"/>
      <c r="CO60" s="161"/>
      <c r="CP60" s="217"/>
      <c r="CQ60" s="213"/>
      <c r="CR60" s="223"/>
      <c r="CS60" s="155"/>
      <c r="CT60" s="217"/>
      <c r="CU60" s="213"/>
      <c r="CV60" s="227"/>
      <c r="CW60" s="154"/>
      <c r="CX60" s="217"/>
      <c r="CY60" s="213"/>
      <c r="CZ60" s="227"/>
      <c r="DA60" s="154"/>
      <c r="DB60" s="217"/>
      <c r="DC60" s="213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1164</v>
      </c>
      <c r="G61" s="52" t="s">
        <v>1165</v>
      </c>
      <c r="H61" s="102" t="s">
        <v>60</v>
      </c>
      <c r="I61" s="52"/>
      <c r="J61" s="46" t="s">
        <v>1063</v>
      </c>
      <c r="K61" s="52" t="s">
        <v>1064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692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1149</v>
      </c>
      <c r="AH61" s="99" t="s">
        <v>134</v>
      </c>
      <c r="AI61" s="19">
        <v>12</v>
      </c>
      <c r="AJ61" s="19">
        <f t="shared" si="37"/>
        <v>480</v>
      </c>
      <c r="AK61" s="62" t="s">
        <v>1154</v>
      </c>
      <c r="AL61" s="169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3"/>
        <v>7</v>
      </c>
      <c r="BL61" s="4">
        <f t="shared" si="34"/>
        <v>0.77777777777777779</v>
      </c>
      <c r="BM61" s="172"/>
      <c r="BN61" s="172"/>
      <c r="BO61" s="172"/>
      <c r="BP61" s="172"/>
      <c r="BQ61" s="172"/>
      <c r="BR61" s="164" t="str">
        <f t="shared" si="15"/>
        <v>En Producción. Aproximadamente terminan el 10/jun</v>
      </c>
      <c r="BS61" s="166">
        <f t="shared" si="18"/>
        <v>46252</v>
      </c>
      <c r="BT61" s="164" t="s">
        <v>70</v>
      </c>
      <c r="CJ61" s="217"/>
      <c r="CK61" s="213"/>
      <c r="CL61" s="213"/>
      <c r="CM61" s="213"/>
      <c r="CN61" s="221"/>
      <c r="CO61" s="161"/>
      <c r="CP61" s="217"/>
      <c r="CQ61" s="213"/>
      <c r="CR61" s="223"/>
      <c r="CS61" s="155"/>
      <c r="CT61" s="217"/>
      <c r="CU61" s="213"/>
      <c r="CV61" s="227"/>
      <c r="CW61" s="154"/>
      <c r="CX61" s="217"/>
      <c r="CY61" s="213"/>
      <c r="CZ61" s="227"/>
      <c r="DA61" s="154"/>
      <c r="DB61" s="217"/>
      <c r="DC61" s="213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1166</v>
      </c>
      <c r="G62" s="52" t="s">
        <v>1167</v>
      </c>
      <c r="H62" s="102" t="s">
        <v>60</v>
      </c>
      <c r="I62" s="52"/>
      <c r="J62" s="46" t="s">
        <v>1063</v>
      </c>
      <c r="K62" s="52" t="s">
        <v>1064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692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1149</v>
      </c>
      <c r="AH62" s="99" t="s">
        <v>134</v>
      </c>
      <c r="AI62" s="19">
        <v>12</v>
      </c>
      <c r="AJ62" s="19">
        <f t="shared" si="37"/>
        <v>480</v>
      </c>
      <c r="AK62" s="62" t="s">
        <v>1154</v>
      </c>
      <c r="AL62" s="169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3"/>
        <v>7</v>
      </c>
      <c r="BL62" s="4">
        <f t="shared" si="34"/>
        <v>0.77777777777777779</v>
      </c>
      <c r="BM62" s="172"/>
      <c r="BN62" s="172"/>
      <c r="BO62" s="172"/>
      <c r="BP62" s="172"/>
      <c r="BQ62" s="172"/>
      <c r="BR62" s="164" t="str">
        <f t="shared" ref="BR62:BR75" si="41">+AK62</f>
        <v>En Producción. Aproximadamente terminan el 10/jun</v>
      </c>
      <c r="BS62" s="166">
        <f t="shared" si="18"/>
        <v>46252</v>
      </c>
      <c r="BT62" s="164" t="s">
        <v>70</v>
      </c>
      <c r="CJ62" s="217"/>
      <c r="CK62" s="213"/>
      <c r="CL62" s="213"/>
      <c r="CM62" s="213"/>
      <c r="CN62" s="221"/>
      <c r="CO62" s="161"/>
      <c r="CP62" s="217"/>
      <c r="CQ62" s="213"/>
      <c r="CR62" s="223"/>
      <c r="CS62" s="155"/>
      <c r="CT62" s="217"/>
      <c r="CU62" s="213"/>
      <c r="CV62" s="227"/>
      <c r="CW62" s="154"/>
      <c r="CX62" s="217"/>
      <c r="CY62" s="213"/>
      <c r="CZ62" s="227"/>
      <c r="DA62" s="154"/>
      <c r="DB62" s="217"/>
      <c r="DC62" s="213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1168</v>
      </c>
      <c r="G63" s="52" t="s">
        <v>1169</v>
      </c>
      <c r="H63" s="102" t="s">
        <v>60</v>
      </c>
      <c r="I63" s="52"/>
      <c r="J63" s="46" t="s">
        <v>1063</v>
      </c>
      <c r="K63" s="52" t="s">
        <v>1064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692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1149</v>
      </c>
      <c r="AH63" s="99" t="s">
        <v>134</v>
      </c>
      <c r="AI63" s="19">
        <v>12</v>
      </c>
      <c r="AJ63" s="19">
        <f t="shared" si="37"/>
        <v>480</v>
      </c>
      <c r="AK63" s="62" t="s">
        <v>1154</v>
      </c>
      <c r="AL63" s="169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72"/>
      <c r="BN63" s="172"/>
      <c r="BO63" s="172"/>
      <c r="BP63" s="172"/>
      <c r="BQ63" s="172"/>
      <c r="BR63" s="164" t="str">
        <f t="shared" si="41"/>
        <v>En Producción. Aproximadamente terminan el 10/jun</v>
      </c>
      <c r="BS63" s="166">
        <f t="shared" si="18"/>
        <v>46252</v>
      </c>
      <c r="BT63" s="164" t="s">
        <v>70</v>
      </c>
      <c r="CJ63" s="217"/>
      <c r="CK63" s="213"/>
      <c r="CL63" s="213"/>
      <c r="CM63" s="213"/>
      <c r="CN63" s="221"/>
      <c r="CO63" s="161"/>
      <c r="CP63" s="217"/>
      <c r="CQ63" s="213"/>
      <c r="CR63" s="223"/>
      <c r="CS63" s="155"/>
      <c r="CT63" s="217"/>
      <c r="CU63" s="213"/>
      <c r="CV63" s="227"/>
      <c r="CW63" s="154"/>
      <c r="CX63" s="217"/>
      <c r="CY63" s="213"/>
      <c r="CZ63" s="227"/>
      <c r="DA63" s="154"/>
      <c r="DB63" s="217"/>
      <c r="DC63" s="213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1170</v>
      </c>
      <c r="G64" s="52" t="s">
        <v>1171</v>
      </c>
      <c r="H64" s="102" t="s">
        <v>60</v>
      </c>
      <c r="I64" s="52"/>
      <c r="J64" s="46" t="s">
        <v>1063</v>
      </c>
      <c r="K64" s="52" t="s">
        <v>1064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692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1149</v>
      </c>
      <c r="AH64" s="99" t="s">
        <v>134</v>
      </c>
      <c r="AI64" s="19">
        <v>12</v>
      </c>
      <c r="AJ64" s="19">
        <f t="shared" si="37"/>
        <v>480</v>
      </c>
      <c r="AK64" s="62" t="s">
        <v>1154</v>
      </c>
      <c r="AL64" s="169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72"/>
      <c r="BN64" s="172"/>
      <c r="BO64" s="172"/>
      <c r="BP64" s="172"/>
      <c r="BQ64" s="172"/>
      <c r="BR64" s="164" t="str">
        <f t="shared" si="41"/>
        <v>En Producción. Aproximadamente terminan el 10/jun</v>
      </c>
      <c r="BS64" s="166">
        <f t="shared" si="18"/>
        <v>46252</v>
      </c>
      <c r="BT64" s="164" t="s">
        <v>70</v>
      </c>
      <c r="CJ64" s="217"/>
      <c r="CK64" s="213"/>
      <c r="CL64" s="213"/>
      <c r="CM64" s="213"/>
      <c r="CN64" s="221"/>
      <c r="CO64" s="161"/>
      <c r="CP64" s="217"/>
      <c r="CQ64" s="213"/>
      <c r="CR64" s="223"/>
      <c r="CS64" s="155"/>
      <c r="CT64" s="217"/>
      <c r="CU64" s="213"/>
      <c r="CV64" s="227"/>
      <c r="CW64" s="154"/>
      <c r="CX64" s="217"/>
      <c r="CY64" s="213"/>
      <c r="CZ64" s="227"/>
      <c r="DA64" s="154"/>
      <c r="DB64" s="217"/>
      <c r="DC64" s="213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1172</v>
      </c>
      <c r="G65" s="52" t="s">
        <v>1173</v>
      </c>
      <c r="H65" s="102" t="s">
        <v>60</v>
      </c>
      <c r="I65" s="52"/>
      <c r="J65" s="46" t="s">
        <v>1063</v>
      </c>
      <c r="K65" s="52" t="s">
        <v>1064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692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1149</v>
      </c>
      <c r="AH65" s="99" t="s">
        <v>134</v>
      </c>
      <c r="AI65" s="19">
        <v>12</v>
      </c>
      <c r="AJ65" s="19">
        <f t="shared" si="37"/>
        <v>480</v>
      </c>
      <c r="AK65" s="62" t="s">
        <v>1154</v>
      </c>
      <c r="AL65" s="169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72"/>
      <c r="BN65" s="172"/>
      <c r="BO65" s="172"/>
      <c r="BP65" s="172"/>
      <c r="BQ65" s="172"/>
      <c r="BR65" s="164" t="str">
        <f t="shared" si="41"/>
        <v>En Producción. Aproximadamente terminan el 10/jun</v>
      </c>
      <c r="BS65" s="166">
        <f t="shared" si="18"/>
        <v>46252</v>
      </c>
      <c r="BT65" s="164" t="s">
        <v>70</v>
      </c>
      <c r="CJ65" s="217"/>
      <c r="CK65" s="213"/>
      <c r="CL65" s="213"/>
      <c r="CM65" s="213"/>
      <c r="CN65" s="221"/>
      <c r="CO65" s="161"/>
      <c r="CP65" s="217"/>
      <c r="CQ65" s="213"/>
      <c r="CR65" s="223"/>
      <c r="CS65" s="155"/>
      <c r="CT65" s="217"/>
      <c r="CU65" s="213"/>
      <c r="CV65" s="227"/>
      <c r="CW65" s="154"/>
      <c r="CX65" s="217"/>
      <c r="CY65" s="213"/>
      <c r="CZ65" s="227"/>
      <c r="DA65" s="154"/>
      <c r="DB65" s="217"/>
      <c r="DC65" s="213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1174</v>
      </c>
      <c r="G66" s="52" t="s">
        <v>1175</v>
      </c>
      <c r="H66" s="102" t="s">
        <v>60</v>
      </c>
      <c r="I66" s="52"/>
      <c r="J66" s="46" t="s">
        <v>1063</v>
      </c>
      <c r="K66" s="52" t="s">
        <v>1064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692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1149</v>
      </c>
      <c r="AH66" s="99" t="s">
        <v>134</v>
      </c>
      <c r="AI66" s="19">
        <v>12</v>
      </c>
      <c r="AJ66" s="19">
        <f t="shared" si="37"/>
        <v>480</v>
      </c>
      <c r="AK66" s="62" t="s">
        <v>1154</v>
      </c>
      <c r="AL66" s="169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72"/>
      <c r="BN66" s="172"/>
      <c r="BO66" s="172"/>
      <c r="BP66" s="172"/>
      <c r="BQ66" s="172"/>
      <c r="BR66" s="164" t="str">
        <f t="shared" si="41"/>
        <v>En Producción. Aproximadamente terminan el 10/jun</v>
      </c>
      <c r="BS66" s="166">
        <f t="shared" si="18"/>
        <v>46252</v>
      </c>
      <c r="BT66" s="164" t="s">
        <v>70</v>
      </c>
      <c r="CJ66" s="217"/>
      <c r="CK66" s="213"/>
      <c r="CL66" s="213"/>
      <c r="CM66" s="213"/>
      <c r="CN66" s="221"/>
      <c r="CO66" s="161"/>
      <c r="CP66" s="217"/>
      <c r="CQ66" s="213"/>
      <c r="CR66" s="223"/>
      <c r="CS66" s="155"/>
      <c r="CT66" s="217"/>
      <c r="CU66" s="213"/>
      <c r="CV66" s="227"/>
      <c r="CW66" s="154"/>
      <c r="CX66" s="217"/>
      <c r="CY66" s="213"/>
      <c r="CZ66" s="227"/>
      <c r="DA66" s="154"/>
      <c r="DB66" s="217"/>
      <c r="DC66" s="213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1176</v>
      </c>
      <c r="G67" s="52" t="s">
        <v>1177</v>
      </c>
      <c r="H67" s="102" t="s">
        <v>60</v>
      </c>
      <c r="I67" s="52"/>
      <c r="J67" s="46" t="s">
        <v>1063</v>
      </c>
      <c r="K67" s="52" t="s">
        <v>1064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692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312</v>
      </c>
      <c r="AH67" s="99" t="s">
        <v>134</v>
      </c>
      <c r="AI67" s="19">
        <v>6</v>
      </c>
      <c r="AJ67" s="19">
        <f>+AI67*12</f>
        <v>72</v>
      </c>
      <c r="AK67" s="62" t="s">
        <v>1075</v>
      </c>
      <c r="AL67" s="169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72"/>
      <c r="BN67" s="172"/>
      <c r="BO67" s="172"/>
      <c r="BP67" s="172"/>
      <c r="BQ67" s="172"/>
      <c r="BR67" s="164" t="str">
        <f t="shared" si="41"/>
        <v>Producción termina 25/May</v>
      </c>
      <c r="BS67" s="166">
        <f t="shared" si="18"/>
        <v>46261</v>
      </c>
      <c r="BT67" s="164" t="s">
        <v>1066</v>
      </c>
      <c r="CJ67" s="217"/>
      <c r="CK67" s="213"/>
      <c r="CL67" s="213"/>
      <c r="CM67" s="213"/>
      <c r="CN67" s="221"/>
      <c r="CO67" s="161"/>
      <c r="CP67" s="217"/>
      <c r="CQ67" s="213"/>
      <c r="CR67" s="223"/>
      <c r="CS67" s="155"/>
      <c r="CT67" s="217"/>
      <c r="CU67" s="213"/>
      <c r="CV67" s="227"/>
      <c r="CW67" s="154"/>
      <c r="CX67" s="217"/>
      <c r="CY67" s="213"/>
      <c r="CZ67" s="227"/>
      <c r="DA67" s="154"/>
      <c r="DB67" s="217"/>
      <c r="DC67" s="213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1178</v>
      </c>
      <c r="G68" s="52" t="s">
        <v>1179</v>
      </c>
      <c r="H68" s="102" t="s">
        <v>60</v>
      </c>
      <c r="I68" s="52"/>
      <c r="J68" s="46" t="s">
        <v>1063</v>
      </c>
      <c r="K68" s="52" t="s">
        <v>1064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952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1149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1180</v>
      </c>
      <c r="AL68" s="169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72"/>
      <c r="BN68" s="172"/>
      <c r="BO68" s="172"/>
      <c r="BP68" s="172"/>
      <c r="BQ68" s="172"/>
      <c r="BR68" s="164" t="str">
        <f t="shared" si="41"/>
        <v>Se puso pedido de etiquetas y exhibicajas, llegada aprox 7 de agosto</v>
      </c>
      <c r="BS68" s="166">
        <f t="shared" si="18"/>
        <v>46283</v>
      </c>
      <c r="BT68" s="164" t="s">
        <v>1066</v>
      </c>
      <c r="CJ68" s="217"/>
      <c r="CK68" s="213"/>
      <c r="CL68" s="213"/>
      <c r="CM68" s="213"/>
      <c r="CN68" s="221"/>
      <c r="CO68" s="161"/>
      <c r="CP68" s="217"/>
      <c r="CQ68" s="213"/>
      <c r="CR68" s="223"/>
      <c r="CS68" s="155"/>
      <c r="CT68" s="217"/>
      <c r="CU68" s="213"/>
      <c r="CV68" s="227"/>
      <c r="CW68" s="154"/>
      <c r="CX68" s="217"/>
      <c r="CY68" s="213"/>
      <c r="CZ68" s="227"/>
      <c r="DA68" s="154"/>
      <c r="DB68" s="217"/>
      <c r="DC68" s="213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1181</v>
      </c>
      <c r="G69" s="52" t="s">
        <v>1182</v>
      </c>
      <c r="H69" s="102" t="s">
        <v>60</v>
      </c>
      <c r="I69" s="52"/>
      <c r="J69" s="46" t="s">
        <v>1063</v>
      </c>
      <c r="K69" s="52" t="s">
        <v>1064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952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1149</v>
      </c>
      <c r="AH69" s="99" t="s">
        <v>67</v>
      </c>
      <c r="AI69" s="19">
        <v>6</v>
      </c>
      <c r="AJ69" s="19">
        <f t="shared" si="42"/>
        <v>144</v>
      </c>
      <c r="AK69" s="62" t="s">
        <v>1180</v>
      </c>
      <c r="AL69" s="169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72"/>
      <c r="BN69" s="172"/>
      <c r="BO69" s="172"/>
      <c r="BP69" s="172"/>
      <c r="BQ69" s="172"/>
      <c r="BR69" s="164" t="str">
        <f t="shared" si="41"/>
        <v>Se puso pedido de etiquetas y exhibicajas, llegada aprox 7 de agosto</v>
      </c>
      <c r="BS69" s="166">
        <f t="shared" si="18"/>
        <v>46283</v>
      </c>
      <c r="BT69" s="164" t="s">
        <v>1066</v>
      </c>
      <c r="CJ69" s="218"/>
      <c r="CK69" s="214"/>
      <c r="CL69" s="214"/>
      <c r="CM69" s="214"/>
      <c r="CN69" s="222"/>
      <c r="CO69" s="211"/>
      <c r="CP69" s="218"/>
      <c r="CQ69" s="214"/>
      <c r="CR69" s="224"/>
      <c r="CS69" s="200"/>
      <c r="CT69" s="218"/>
      <c r="CU69" s="214"/>
      <c r="CV69" s="224"/>
      <c r="CW69" s="200"/>
      <c r="CX69" s="218"/>
      <c r="CY69" s="214"/>
      <c r="CZ69" s="224"/>
      <c r="DA69" s="200"/>
      <c r="DB69" s="218"/>
      <c r="DC69" s="214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1183</v>
      </c>
      <c r="G70" s="52" t="s">
        <v>1184</v>
      </c>
      <c r="H70" s="102"/>
      <c r="I70" s="52"/>
      <c r="J70" s="46" t="s">
        <v>1063</v>
      </c>
      <c r="K70" s="52" t="s">
        <v>1064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692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556</v>
      </c>
      <c r="AH70" s="99" t="s">
        <v>134</v>
      </c>
      <c r="AI70" s="19">
        <v>12</v>
      </c>
      <c r="AJ70" s="19">
        <f t="shared" si="42"/>
        <v>288</v>
      </c>
      <c r="AK70" s="62" t="s">
        <v>1075</v>
      </c>
      <c r="AL70" s="169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72"/>
      <c r="BN70" s="172"/>
      <c r="BO70" s="172"/>
      <c r="BP70" s="172"/>
      <c r="BQ70" s="172"/>
      <c r="BR70" s="164" t="str">
        <f t="shared" si="41"/>
        <v>Producción termina 25/May</v>
      </c>
      <c r="BS70" s="166">
        <f t="shared" si="18"/>
        <v>46252</v>
      </c>
      <c r="BT70" s="164" t="s">
        <v>1066</v>
      </c>
      <c r="CJ70" s="218"/>
      <c r="CK70" s="214"/>
      <c r="CL70" s="214"/>
      <c r="CM70" s="214"/>
      <c r="CN70" s="222"/>
      <c r="CO70" s="211"/>
      <c r="CP70" s="218"/>
      <c r="CQ70" s="214"/>
      <c r="CR70" s="224"/>
      <c r="CS70" s="200"/>
      <c r="CT70" s="218"/>
      <c r="CU70" s="214"/>
      <c r="CV70" s="224"/>
      <c r="CW70" s="200"/>
      <c r="CX70" s="218"/>
      <c r="CY70" s="214"/>
      <c r="CZ70" s="224"/>
      <c r="DA70" s="200"/>
      <c r="DB70" s="218"/>
      <c r="DC70" s="214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1185</v>
      </c>
      <c r="G71" s="52" t="s">
        <v>1186</v>
      </c>
      <c r="H71" s="102"/>
      <c r="I71" s="52"/>
      <c r="J71" s="46" t="s">
        <v>1063</v>
      </c>
      <c r="K71" s="52" t="s">
        <v>1064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692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556</v>
      </c>
      <c r="AH71" s="99" t="s">
        <v>134</v>
      </c>
      <c r="AI71" s="19">
        <v>6</v>
      </c>
      <c r="AJ71" s="19">
        <f t="shared" si="42"/>
        <v>144</v>
      </c>
      <c r="AK71" s="62" t="s">
        <v>1065</v>
      </c>
      <c r="AL71" s="169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72"/>
      <c r="BN71" s="172"/>
      <c r="BO71" s="172"/>
      <c r="BP71" s="172"/>
      <c r="BQ71" s="172"/>
      <c r="BR71" s="164" t="str">
        <f t="shared" si="41"/>
        <v>En Producción. Termina en 31/May</v>
      </c>
      <c r="BS71" s="166">
        <f t="shared" si="18"/>
        <v>46261</v>
      </c>
      <c r="BT71" s="164" t="s">
        <v>1066</v>
      </c>
      <c r="CJ71" s="218"/>
      <c r="CK71" s="214"/>
      <c r="CL71" s="214"/>
      <c r="CM71" s="214"/>
      <c r="CN71" s="222"/>
      <c r="CO71" s="211"/>
      <c r="CP71" s="218"/>
      <c r="CQ71" s="214"/>
      <c r="CR71" s="224"/>
      <c r="CS71" s="200"/>
      <c r="CT71" s="218"/>
      <c r="CU71" s="214"/>
      <c r="CV71" s="224"/>
      <c r="CW71" s="200"/>
      <c r="CX71" s="218"/>
      <c r="CY71" s="214"/>
      <c r="CZ71" s="224"/>
      <c r="DA71" s="200"/>
      <c r="DB71" s="218"/>
      <c r="DC71" s="214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1187</v>
      </c>
      <c r="G72" s="52" t="s">
        <v>1188</v>
      </c>
      <c r="H72" s="102" t="s">
        <v>60</v>
      </c>
      <c r="I72" s="52"/>
      <c r="J72" s="46" t="s">
        <v>1063</v>
      </c>
      <c r="K72" s="52" t="s">
        <v>1064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692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556</v>
      </c>
      <c r="AH72" s="99" t="s">
        <v>134</v>
      </c>
      <c r="AI72" s="19">
        <v>6</v>
      </c>
      <c r="AJ72" s="19">
        <f t="shared" si="42"/>
        <v>144</v>
      </c>
      <c r="AK72" s="62" t="s">
        <v>1189</v>
      </c>
      <c r="AL72" s="169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72"/>
      <c r="BN72" s="172"/>
      <c r="BO72" s="172"/>
      <c r="BP72" s="172"/>
      <c r="BQ72" s="172"/>
      <c r="BR72" s="164" t="str">
        <f t="shared" si="41"/>
        <v>ETD - 11/JUN</v>
      </c>
      <c r="BS72" s="166">
        <f t="shared" si="18"/>
        <v>46219</v>
      </c>
      <c r="BT72" s="164" t="s">
        <v>1066</v>
      </c>
      <c r="CJ72" s="218"/>
      <c r="CK72" s="214"/>
      <c r="CL72" s="214"/>
      <c r="CM72" s="214"/>
      <c r="CN72" s="222"/>
      <c r="CO72" s="211"/>
      <c r="CP72" s="218"/>
      <c r="CQ72" s="214"/>
      <c r="CR72" s="224"/>
      <c r="CS72" s="200"/>
      <c r="CT72" s="218"/>
      <c r="CU72" s="214"/>
      <c r="CV72" s="224"/>
      <c r="CW72" s="200"/>
      <c r="CX72" s="218"/>
      <c r="CY72" s="214"/>
      <c r="CZ72" s="224"/>
      <c r="DA72" s="200"/>
      <c r="DB72" s="218"/>
      <c r="DC72" s="214"/>
    </row>
    <row r="73" spans="1:107" ht="162.5">
      <c r="A73" s="46">
        <v>82</v>
      </c>
      <c r="B73" s="92" t="s">
        <v>57</v>
      </c>
      <c r="C73" s="46" t="s">
        <v>305</v>
      </c>
      <c r="D73" s="46" t="s">
        <v>163</v>
      </c>
      <c r="E73" s="93">
        <v>7506110698418</v>
      </c>
      <c r="F73" s="62" t="s">
        <v>1190</v>
      </c>
      <c r="G73" s="52" t="s">
        <v>1191</v>
      </c>
      <c r="H73" s="102" t="s">
        <v>60</v>
      </c>
      <c r="I73" s="52"/>
      <c r="J73" s="46" t="s">
        <v>1063</v>
      </c>
      <c r="K73" s="22" t="s">
        <v>593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692</v>
      </c>
      <c r="T73" s="98">
        <v>0.64</v>
      </c>
      <c r="U73" s="19" t="s">
        <v>74</v>
      </c>
      <c r="V73" s="99" t="s">
        <v>1192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312</v>
      </c>
      <c r="AH73" s="99" t="s">
        <v>134</v>
      </c>
      <c r="AI73" s="19">
        <v>12</v>
      </c>
      <c r="AJ73" s="19">
        <f t="shared" si="42"/>
        <v>288</v>
      </c>
      <c r="AK73" s="62" t="s">
        <v>1193</v>
      </c>
      <c r="AL73" s="169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72"/>
      <c r="BN73" s="172"/>
      <c r="BO73" s="172"/>
      <c r="BP73" s="172"/>
      <c r="BQ73" s="172"/>
      <c r="BR73" s="164" t="str">
        <f t="shared" si="41"/>
        <v>Por problemas en el granel, se paró la producción, en proceso de resolución</v>
      </c>
      <c r="BS73" s="166">
        <f t="shared" si="18"/>
        <v>0</v>
      </c>
      <c r="BT73" s="164" t="s">
        <v>1066</v>
      </c>
      <c r="CJ73" s="218"/>
      <c r="CK73" s="214"/>
      <c r="CL73" s="214"/>
      <c r="CM73" s="214"/>
      <c r="CN73" s="222"/>
      <c r="CO73" s="211"/>
      <c r="CP73" s="218"/>
      <c r="CQ73" s="214"/>
      <c r="CR73" s="224"/>
      <c r="CS73" s="200"/>
      <c r="CT73" s="218"/>
      <c r="CU73" s="214"/>
      <c r="CV73" s="224"/>
      <c r="CW73" s="200"/>
      <c r="CX73" s="218"/>
      <c r="CY73" s="214"/>
      <c r="CZ73" s="224"/>
      <c r="DA73" s="200"/>
      <c r="DB73" s="218"/>
      <c r="DC73" s="214"/>
    </row>
    <row r="74" spans="1:107" ht="162.5">
      <c r="A74" s="46">
        <v>83</v>
      </c>
      <c r="B74" s="92" t="s">
        <v>57</v>
      </c>
      <c r="C74" s="46" t="s">
        <v>305</v>
      </c>
      <c r="D74" s="46" t="s">
        <v>163</v>
      </c>
      <c r="E74" s="93">
        <v>7506110698487</v>
      </c>
      <c r="F74" s="62" t="s">
        <v>1194</v>
      </c>
      <c r="G74" s="52" t="s">
        <v>1195</v>
      </c>
      <c r="H74" s="102" t="s">
        <v>60</v>
      </c>
      <c r="I74" s="52"/>
      <c r="J74" s="46" t="s">
        <v>1063</v>
      </c>
      <c r="K74" s="22" t="s">
        <v>593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692</v>
      </c>
      <c r="T74" s="98">
        <v>0.74</v>
      </c>
      <c r="U74" s="19" t="s">
        <v>74</v>
      </c>
      <c r="V74" s="99" t="s">
        <v>1192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312</v>
      </c>
      <c r="AH74" s="99" t="s">
        <v>134</v>
      </c>
      <c r="AI74" s="19">
        <v>12</v>
      </c>
      <c r="AJ74" s="19">
        <f t="shared" si="42"/>
        <v>288</v>
      </c>
      <c r="AK74" s="62" t="s">
        <v>1193</v>
      </c>
      <c r="AL74" s="169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72"/>
      <c r="BN74" s="172"/>
      <c r="BO74" s="172"/>
      <c r="BP74" s="172"/>
      <c r="BQ74" s="172"/>
      <c r="BR74" s="164" t="str">
        <f t="shared" si="41"/>
        <v>Por problemas en el granel, se paró la producción, en proceso de resolución</v>
      </c>
      <c r="BS74" s="166">
        <f t="shared" si="18"/>
        <v>0</v>
      </c>
      <c r="BT74" s="164" t="s">
        <v>1066</v>
      </c>
      <c r="CJ74" s="218"/>
      <c r="CK74" s="214"/>
      <c r="CL74" s="214"/>
      <c r="CM74" s="214"/>
      <c r="CN74" s="222"/>
      <c r="CO74" s="211"/>
      <c r="CP74" s="218"/>
      <c r="CQ74" s="214"/>
      <c r="CR74" s="224"/>
      <c r="CS74" s="200"/>
      <c r="CT74" s="218"/>
      <c r="CU74" s="214"/>
      <c r="CV74" s="224"/>
      <c r="CW74" s="200"/>
      <c r="CX74" s="218"/>
      <c r="CY74" s="214"/>
      <c r="CZ74" s="224"/>
      <c r="DA74" s="200"/>
      <c r="DB74" s="218"/>
      <c r="DC74" s="214"/>
    </row>
    <row r="75" spans="1:107" ht="162.5">
      <c r="A75" s="46">
        <v>84</v>
      </c>
      <c r="B75" s="92" t="s">
        <v>57</v>
      </c>
      <c r="C75" s="46" t="s">
        <v>305</v>
      </c>
      <c r="D75" s="46" t="s">
        <v>163</v>
      </c>
      <c r="E75" s="93">
        <v>7506110698494</v>
      </c>
      <c r="F75" s="62" t="s">
        <v>1196</v>
      </c>
      <c r="G75" s="52" t="s">
        <v>1197</v>
      </c>
      <c r="H75" s="102" t="s">
        <v>60</v>
      </c>
      <c r="I75" s="52"/>
      <c r="J75" s="46" t="s">
        <v>1063</v>
      </c>
      <c r="K75" s="22" t="s">
        <v>593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692</v>
      </c>
      <c r="T75" s="98">
        <v>0.74</v>
      </c>
      <c r="U75" s="19" t="s">
        <v>74</v>
      </c>
      <c r="V75" s="99" t="s">
        <v>1192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312</v>
      </c>
      <c r="AH75" s="99" t="s">
        <v>134</v>
      </c>
      <c r="AI75" s="19">
        <v>12</v>
      </c>
      <c r="AJ75" s="19">
        <f t="shared" si="42"/>
        <v>288</v>
      </c>
      <c r="AK75" s="62" t="s">
        <v>1193</v>
      </c>
      <c r="AL75" s="169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72"/>
      <c r="BN75" s="172"/>
      <c r="BO75" s="172"/>
      <c r="BP75" s="172"/>
      <c r="BQ75" s="172"/>
      <c r="BR75" s="164" t="str">
        <f t="shared" si="41"/>
        <v>Por problemas en el granel, se paró la producción, en proceso de resolución</v>
      </c>
      <c r="BS75" s="166">
        <f t="shared" si="18"/>
        <v>0</v>
      </c>
      <c r="BT75" s="164" t="s">
        <v>170</v>
      </c>
      <c r="CJ75" s="218"/>
      <c r="CK75" s="214"/>
      <c r="CL75" s="214"/>
      <c r="CM75" s="214"/>
      <c r="CN75" s="222"/>
      <c r="CO75" s="211"/>
      <c r="CP75" s="218"/>
      <c r="CQ75" s="214"/>
      <c r="CR75" s="224"/>
      <c r="CS75" s="200"/>
      <c r="CT75" s="218"/>
      <c r="CU75" s="214"/>
      <c r="CV75" s="224"/>
      <c r="CW75" s="200"/>
      <c r="CX75" s="218"/>
      <c r="CY75" s="214"/>
      <c r="CZ75" s="224"/>
      <c r="DA75" s="200"/>
      <c r="DB75" s="218"/>
      <c r="DC75" s="214"/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0"/>
  <sheetViews>
    <sheetView zoomScale="55" zoomScaleNormal="55" workbookViewId="0"/>
  </sheetViews>
  <sheetFormatPr baseColWidth="10" defaultColWidth="11" defaultRowHeight="15.5"/>
  <cols>
    <col min="1" max="1" width="28.81640625" style="300" bestFit="1" customWidth="1"/>
    <col min="2" max="2" width="15.453125" style="300" bestFit="1" customWidth="1"/>
    <col min="3" max="5" width="19.81640625" style="300" customWidth="1"/>
    <col min="6" max="7" width="20.453125" style="300" customWidth="1"/>
    <col min="8" max="8" width="39.81640625" style="300" customWidth="1"/>
    <col min="9" max="9" width="9.453125" style="300" hidden="1" customWidth="1"/>
    <col min="10" max="10" width="15.1796875" style="300" hidden="1" customWidth="1"/>
    <col min="11" max="11" width="11" style="300" hidden="1" customWidth="1"/>
    <col min="12" max="12" width="16.26953125" style="300" hidden="1" customWidth="1"/>
    <col min="13" max="20" width="14.81640625" style="300" hidden="1" customWidth="1"/>
    <col min="21" max="25" width="18.54296875" style="300" hidden="1" customWidth="1"/>
    <col min="26" max="28" width="18.453125" style="300" hidden="1" customWidth="1"/>
    <col min="29" max="29" width="18.453125" style="300" customWidth="1"/>
    <col min="30" max="30" width="8.54296875" style="300" bestFit="1" customWidth="1"/>
    <col min="31" max="31" width="11.1796875" style="300" bestFit="1" customWidth="1"/>
    <col min="32" max="32" width="41" style="300" bestFit="1" customWidth="1"/>
    <col min="33" max="33" width="21" style="300" customWidth="1"/>
    <col min="34" max="34" width="11.1796875" style="300" customWidth="1"/>
    <col min="35" max="39" width="17.26953125" style="300" customWidth="1"/>
    <col min="40" max="53" width="4.7265625" style="300" customWidth="1"/>
    <col min="54" max="65" width="11" style="300"/>
    <col min="66" max="69" width="11" style="291"/>
    <col min="70" max="87" width="11" style="300"/>
    <col min="88" max="93" width="11" style="332"/>
    <col min="94" max="16384" width="11" style="300"/>
  </cols>
  <sheetData>
    <row r="1" spans="1:105">
      <c r="A1" s="333"/>
      <c r="B1" s="334" t="s">
        <v>13</v>
      </c>
      <c r="C1" s="335" t="s">
        <v>276</v>
      </c>
      <c r="D1" s="472"/>
      <c r="E1" s="472"/>
      <c r="F1" s="472"/>
      <c r="G1" s="472"/>
      <c r="H1" s="472"/>
      <c r="I1" s="472"/>
      <c r="J1" s="472"/>
      <c r="K1" s="472"/>
      <c r="L1" s="472"/>
      <c r="M1" s="472"/>
      <c r="N1" s="473"/>
      <c r="O1" s="474"/>
      <c r="P1" s="474"/>
      <c r="Q1" s="474"/>
      <c r="R1" s="474"/>
      <c r="S1" s="474"/>
      <c r="T1" s="474"/>
      <c r="U1" s="472"/>
      <c r="V1" s="472"/>
      <c r="W1" s="472"/>
      <c r="X1" s="472"/>
      <c r="Y1" s="472"/>
      <c r="Z1" s="472"/>
      <c r="AA1" s="472"/>
      <c r="AB1" s="472"/>
      <c r="AC1" s="472"/>
      <c r="AD1" s="472"/>
      <c r="AE1" s="472"/>
      <c r="AF1" s="472"/>
      <c r="AG1" s="472"/>
      <c r="AH1" s="475"/>
      <c r="AI1" s="287"/>
      <c r="AJ1" s="287"/>
      <c r="AK1" s="287"/>
      <c r="AL1" s="287"/>
      <c r="AM1" s="287"/>
      <c r="AN1" s="291"/>
      <c r="AO1" s="291"/>
      <c r="AP1" s="291"/>
      <c r="AQ1" s="291"/>
      <c r="AR1" s="291"/>
      <c r="AS1" s="291"/>
      <c r="AT1" s="291"/>
      <c r="AU1" s="291"/>
      <c r="AV1" s="291"/>
      <c r="AW1" s="291"/>
      <c r="AX1" s="291"/>
      <c r="AY1" s="291"/>
      <c r="AZ1" s="291"/>
      <c r="BA1" s="291"/>
      <c r="BB1" s="286"/>
      <c r="BC1" s="286"/>
      <c r="BD1" s="286"/>
      <c r="BE1" s="286"/>
      <c r="BF1" s="286"/>
      <c r="BG1" s="286"/>
      <c r="BH1" s="286"/>
      <c r="BI1" s="286"/>
      <c r="BJ1" s="286"/>
      <c r="BK1" s="286"/>
      <c r="BL1" s="286"/>
      <c r="BM1" s="286"/>
      <c r="BN1" s="286"/>
      <c r="BO1" s="286"/>
      <c r="BP1" s="286"/>
      <c r="BQ1" s="286"/>
      <c r="BR1" s="472"/>
      <c r="BS1" s="472"/>
      <c r="BT1" s="472"/>
      <c r="CJ1" s="286"/>
      <c r="CK1" s="286"/>
      <c r="CL1" s="286"/>
      <c r="CM1" s="286"/>
      <c r="CN1" s="286"/>
      <c r="CO1" s="286"/>
      <c r="CP1" s="286"/>
      <c r="CQ1" s="286"/>
      <c r="CR1" s="286"/>
      <c r="CS1" s="286"/>
      <c r="CT1" s="286"/>
      <c r="CU1" s="286"/>
      <c r="CV1" s="286"/>
      <c r="CW1" s="286"/>
      <c r="CX1" s="286"/>
      <c r="CY1" s="286"/>
      <c r="CZ1" s="286"/>
      <c r="DA1" s="286"/>
    </row>
    <row r="2" spans="1:105" ht="16">
      <c r="A2" s="515" t="s">
        <v>1198</v>
      </c>
      <c r="B2" s="515"/>
      <c r="C2" s="476" t="s">
        <v>1199</v>
      </c>
      <c r="D2" s="472"/>
      <c r="E2" s="472"/>
      <c r="F2" s="472"/>
      <c r="G2" s="472"/>
      <c r="H2" s="472"/>
      <c r="I2" s="472"/>
      <c r="J2" s="472"/>
      <c r="K2" s="472"/>
      <c r="L2" s="472"/>
      <c r="M2" s="472"/>
      <c r="N2" s="473"/>
      <c r="O2" s="474"/>
      <c r="P2" s="474"/>
      <c r="Q2" s="474"/>
      <c r="R2" s="474"/>
      <c r="S2" s="474"/>
      <c r="T2" s="474"/>
      <c r="U2" s="472"/>
      <c r="V2" s="472"/>
      <c r="W2" s="472"/>
      <c r="X2" s="472"/>
      <c r="Y2" s="472"/>
      <c r="Z2" s="472"/>
      <c r="AA2" s="472"/>
      <c r="AB2" s="472"/>
      <c r="AC2" s="472"/>
      <c r="AD2" s="472"/>
      <c r="AE2" s="472"/>
      <c r="AF2" s="472"/>
      <c r="AG2" s="472"/>
      <c r="AH2" s="475"/>
      <c r="AI2" s="287"/>
      <c r="AJ2" s="287"/>
      <c r="AK2" s="287"/>
      <c r="AL2" s="287"/>
      <c r="AM2" s="287"/>
      <c r="AN2" s="291"/>
      <c r="AO2" s="291"/>
      <c r="AP2" s="291"/>
      <c r="AQ2" s="291"/>
      <c r="AR2" s="291"/>
      <c r="AS2" s="291"/>
      <c r="AT2" s="291"/>
      <c r="AU2" s="291"/>
      <c r="AV2" s="291"/>
      <c r="AW2" s="291"/>
      <c r="AX2" s="291"/>
      <c r="AY2" s="291"/>
      <c r="AZ2" s="291"/>
      <c r="BA2" s="291"/>
      <c r="BB2" s="286"/>
      <c r="BC2" s="286"/>
      <c r="BD2" s="286"/>
      <c r="BE2" s="286"/>
      <c r="BF2" s="286"/>
      <c r="BG2" s="286"/>
      <c r="BH2" s="286"/>
      <c r="BI2" s="286"/>
      <c r="BJ2" s="286"/>
      <c r="BK2" s="286"/>
      <c r="BL2" s="286"/>
      <c r="BM2" s="286"/>
      <c r="BN2" s="286"/>
      <c r="BO2" s="286"/>
      <c r="BP2" s="286"/>
      <c r="BQ2" s="286"/>
      <c r="BR2" s="472"/>
      <c r="BS2" s="472"/>
      <c r="BT2" s="472"/>
      <c r="CJ2" s="286"/>
      <c r="CK2" s="286"/>
      <c r="CL2" s="286"/>
      <c r="CM2" s="286"/>
      <c r="CN2" s="286"/>
      <c r="CO2" s="286"/>
      <c r="CP2" s="286"/>
      <c r="CQ2" s="286"/>
      <c r="CR2" s="286"/>
      <c r="CS2" s="286"/>
      <c r="CT2" s="286"/>
      <c r="CU2" s="286"/>
      <c r="CV2" s="286"/>
      <c r="CW2" s="286"/>
      <c r="CX2" s="286"/>
      <c r="CY2" s="286"/>
      <c r="CZ2" s="286"/>
      <c r="DA2" s="286"/>
    </row>
    <row r="3" spans="1:105" ht="16">
      <c r="A3" s="342" t="s">
        <v>1200</v>
      </c>
      <c r="B3" s="477">
        <v>46111</v>
      </c>
      <c r="C3" s="478">
        <v>46112</v>
      </c>
      <c r="D3" s="472"/>
      <c r="E3" s="472"/>
      <c r="F3" s="472"/>
      <c r="G3" s="472"/>
      <c r="H3" s="472"/>
      <c r="I3" s="472"/>
      <c r="J3" s="472"/>
      <c r="K3" s="472"/>
      <c r="L3" s="472"/>
      <c r="M3" s="472"/>
      <c r="N3" s="473"/>
      <c r="O3" s="474"/>
      <c r="P3" s="474"/>
      <c r="Q3" s="474"/>
      <c r="R3" s="474"/>
      <c r="S3" s="474"/>
      <c r="T3" s="474"/>
      <c r="U3" s="472"/>
      <c r="V3" s="472"/>
      <c r="W3" s="472"/>
      <c r="X3" s="472"/>
      <c r="Y3" s="472"/>
      <c r="Z3" s="472"/>
      <c r="AA3" s="472"/>
      <c r="AB3" s="472"/>
      <c r="AC3" s="472"/>
      <c r="AD3" s="472"/>
      <c r="AE3" s="472"/>
      <c r="AF3" s="472"/>
      <c r="AG3" s="472"/>
      <c r="AH3" s="475"/>
      <c r="AI3" s="287"/>
      <c r="AJ3" s="287"/>
      <c r="AK3" s="287"/>
      <c r="AL3" s="287"/>
      <c r="AM3" s="287"/>
      <c r="AN3" s="291"/>
      <c r="AO3" s="291"/>
      <c r="AP3" s="291"/>
      <c r="AQ3" s="291"/>
      <c r="AR3" s="291"/>
      <c r="AS3" s="291"/>
      <c r="AT3" s="291"/>
      <c r="AU3" s="291"/>
      <c r="AV3" s="291"/>
      <c r="AW3" s="291"/>
      <c r="AX3" s="291"/>
      <c r="AY3" s="291"/>
      <c r="AZ3" s="291"/>
      <c r="BA3" s="291"/>
      <c r="BB3" s="286"/>
      <c r="BC3" s="286"/>
      <c r="BD3" s="286"/>
      <c r="BE3" s="286"/>
      <c r="BF3" s="286"/>
      <c r="BG3" s="286"/>
      <c r="BH3" s="286"/>
      <c r="BI3" s="286"/>
      <c r="BJ3" s="286"/>
      <c r="BK3" s="286"/>
      <c r="BL3" s="286"/>
      <c r="BM3" s="286"/>
      <c r="BN3" s="286"/>
      <c r="BO3" s="286"/>
      <c r="BP3" s="286"/>
      <c r="BQ3" s="286"/>
      <c r="BR3" s="472"/>
      <c r="BS3" s="472"/>
      <c r="BT3" s="472"/>
      <c r="CJ3" s="286"/>
      <c r="CK3" s="286"/>
      <c r="CL3" s="286"/>
      <c r="CM3" s="286"/>
      <c r="CN3" s="286"/>
      <c r="CO3" s="286"/>
      <c r="CP3" s="286"/>
      <c r="CQ3" s="286"/>
      <c r="CR3" s="286"/>
      <c r="CS3" s="286"/>
      <c r="CT3" s="286"/>
      <c r="CU3" s="286"/>
      <c r="CV3" s="286"/>
      <c r="CW3" s="286"/>
      <c r="CX3" s="286"/>
      <c r="CY3" s="286"/>
      <c r="CZ3" s="286"/>
      <c r="DA3" s="286"/>
    </row>
    <row r="4" spans="1:105" ht="16">
      <c r="A4" s="479"/>
      <c r="B4" s="480"/>
      <c r="C4" s="481"/>
      <c r="D4" s="472"/>
      <c r="E4" s="472"/>
      <c r="F4" s="472"/>
      <c r="G4" s="472"/>
      <c r="H4" s="472"/>
      <c r="I4" s="472"/>
      <c r="J4" s="472"/>
      <c r="K4" s="472"/>
      <c r="L4" s="472"/>
      <c r="M4" s="472"/>
      <c r="N4" s="473"/>
      <c r="O4" s="474"/>
      <c r="P4" s="474"/>
      <c r="Q4" s="474"/>
      <c r="R4" s="474"/>
      <c r="S4" s="474"/>
      <c r="T4" s="474"/>
      <c r="U4" s="472"/>
      <c r="V4" s="472"/>
      <c r="W4" s="472"/>
      <c r="X4" s="472"/>
      <c r="Y4" s="472"/>
      <c r="Z4" s="472"/>
      <c r="AA4" s="472"/>
      <c r="AB4" s="472"/>
      <c r="AC4" s="472"/>
      <c r="AD4" s="472"/>
      <c r="AE4" s="472"/>
      <c r="AF4" s="472"/>
      <c r="AG4" s="472"/>
      <c r="AH4" s="475"/>
      <c r="AI4" s="287"/>
      <c r="AJ4" s="287"/>
      <c r="AK4" s="287"/>
      <c r="AL4" s="287"/>
      <c r="AM4" s="287"/>
      <c r="AN4" s="291"/>
      <c r="AO4" s="291"/>
      <c r="AP4" s="291"/>
      <c r="AQ4" s="291"/>
      <c r="AR4" s="291"/>
      <c r="AS4" s="291"/>
      <c r="AT4" s="291"/>
      <c r="AU4" s="291"/>
      <c r="AV4" s="291"/>
      <c r="AW4" s="291"/>
      <c r="AX4" s="291"/>
      <c r="AY4" s="291"/>
      <c r="AZ4" s="291"/>
      <c r="BA4" s="291"/>
      <c r="BB4" s="286"/>
      <c r="BC4" s="286"/>
      <c r="BD4" s="286"/>
      <c r="BE4" s="286"/>
      <c r="BF4" s="286"/>
      <c r="BG4" s="286"/>
      <c r="BH4" s="286"/>
      <c r="BI4" s="286"/>
      <c r="BJ4" s="286"/>
      <c r="BK4" s="286"/>
      <c r="BL4" s="286"/>
      <c r="BM4" s="286"/>
      <c r="BN4" s="286"/>
      <c r="BO4" s="286"/>
      <c r="BP4" s="286"/>
      <c r="BQ4" s="286"/>
      <c r="BR4" s="472"/>
      <c r="BS4" s="472"/>
      <c r="BT4" s="472"/>
      <c r="CJ4" s="286"/>
      <c r="CK4" s="286"/>
      <c r="CL4" s="286"/>
      <c r="CM4" s="286"/>
      <c r="CN4" s="286"/>
      <c r="CO4" s="286"/>
      <c r="CP4" s="286"/>
      <c r="CQ4" s="286"/>
      <c r="CR4" s="286"/>
      <c r="CS4" s="286"/>
      <c r="CT4" s="286"/>
      <c r="CU4" s="286"/>
      <c r="CV4" s="286"/>
      <c r="CW4" s="286"/>
      <c r="CX4" s="286"/>
      <c r="CY4" s="286"/>
      <c r="CZ4" s="286"/>
      <c r="DA4" s="286"/>
    </row>
    <row r="5" spans="1:105" ht="16">
      <c r="A5" s="342" t="s">
        <v>280</v>
      </c>
      <c r="B5" s="343">
        <f>+B3+15</f>
        <v>46126</v>
      </c>
      <c r="C5" s="345">
        <f>+C3+15</f>
        <v>46127</v>
      </c>
      <c r="D5" s="472"/>
      <c r="E5" s="472"/>
      <c r="F5" s="472"/>
      <c r="G5" s="472"/>
      <c r="H5" s="472"/>
      <c r="I5" s="472"/>
      <c r="J5" s="472"/>
      <c r="K5" s="472"/>
      <c r="L5" s="472"/>
      <c r="M5" s="472"/>
      <c r="N5" s="473"/>
      <c r="O5" s="474"/>
      <c r="P5" s="474"/>
      <c r="Q5" s="474"/>
      <c r="R5" s="474"/>
      <c r="S5" s="474"/>
      <c r="T5" s="474"/>
      <c r="U5" s="472"/>
      <c r="V5" s="472"/>
      <c r="W5" s="472"/>
      <c r="X5" s="472"/>
      <c r="Y5" s="472"/>
      <c r="Z5" s="472"/>
      <c r="AA5" s="472"/>
      <c r="AB5" s="472"/>
      <c r="AC5" s="472"/>
      <c r="AD5" s="472"/>
      <c r="AE5" s="472"/>
      <c r="AF5" s="472"/>
      <c r="AG5" s="472"/>
      <c r="AH5" s="475"/>
      <c r="AI5" s="287"/>
      <c r="AJ5" s="287"/>
      <c r="AK5" s="287"/>
      <c r="AL5" s="287"/>
      <c r="AM5" s="287"/>
      <c r="AN5" s="291"/>
      <c r="AO5" s="291"/>
      <c r="AP5" s="291"/>
      <c r="AQ5" s="291"/>
      <c r="AR5" s="291"/>
      <c r="AS5" s="291"/>
      <c r="AT5" s="291"/>
      <c r="AU5" s="291"/>
      <c r="AV5" s="291"/>
      <c r="AW5" s="291"/>
      <c r="AX5" s="291"/>
      <c r="AY5" s="291"/>
      <c r="AZ5" s="291"/>
      <c r="BA5" s="291"/>
      <c r="BB5" s="286"/>
      <c r="BC5" s="286"/>
      <c r="BD5" s="286"/>
      <c r="BE5" s="286"/>
      <c r="BF5" s="286"/>
      <c r="BG5" s="286"/>
      <c r="BH5" s="286"/>
      <c r="BI5" s="286"/>
      <c r="BJ5" s="286"/>
      <c r="BK5" s="286"/>
      <c r="BL5" s="286"/>
      <c r="BM5" s="286"/>
      <c r="BN5" s="286"/>
      <c r="BO5" s="286"/>
      <c r="BP5" s="286"/>
      <c r="BQ5" s="286"/>
      <c r="BR5" s="472"/>
      <c r="BS5" s="472"/>
      <c r="BT5" s="472"/>
      <c r="CJ5" s="286"/>
      <c r="CK5" s="286"/>
      <c r="CL5" s="286"/>
      <c r="CM5" s="286"/>
      <c r="CN5" s="286"/>
      <c r="CO5" s="286"/>
      <c r="CP5" s="286"/>
      <c r="CQ5" s="286"/>
      <c r="CR5" s="286"/>
      <c r="CS5" s="286"/>
      <c r="CT5" s="286"/>
      <c r="CU5" s="286"/>
      <c r="CV5" s="286"/>
      <c r="CW5" s="286"/>
      <c r="CX5" s="286"/>
      <c r="CY5" s="286"/>
      <c r="CZ5" s="286"/>
      <c r="DA5" s="286"/>
    </row>
    <row r="6" spans="1:105" ht="16">
      <c r="A6" s="342" t="s">
        <v>1201</v>
      </c>
      <c r="B6" s="343">
        <f>+B5+10</f>
        <v>46136</v>
      </c>
      <c r="C6" s="345">
        <f>+C5+10</f>
        <v>46137</v>
      </c>
      <c r="D6" s="472"/>
      <c r="E6" s="472"/>
      <c r="F6" s="472"/>
      <c r="G6" s="472"/>
      <c r="H6" s="472"/>
      <c r="I6" s="472"/>
      <c r="J6" s="472"/>
      <c r="K6" s="472"/>
      <c r="L6" s="472"/>
      <c r="M6" s="472"/>
      <c r="N6" s="473"/>
      <c r="O6" s="474"/>
      <c r="P6" s="474"/>
      <c r="Q6" s="474"/>
      <c r="R6" s="474"/>
      <c r="S6" s="474"/>
      <c r="T6" s="474"/>
      <c r="U6" s="472"/>
      <c r="V6" s="472"/>
      <c r="W6" s="472"/>
      <c r="X6" s="472"/>
      <c r="Y6" s="472"/>
      <c r="Z6" s="472"/>
      <c r="AA6" s="472"/>
      <c r="AB6" s="472"/>
      <c r="AC6" s="472"/>
      <c r="AD6" s="472"/>
      <c r="AE6" s="472"/>
      <c r="AF6" s="472"/>
      <c r="AG6" s="472"/>
      <c r="AH6" s="475"/>
      <c r="AI6" s="287"/>
      <c r="AJ6" s="287"/>
      <c r="AK6" s="287"/>
      <c r="AL6" s="287"/>
      <c r="AM6" s="287"/>
      <c r="AN6" s="291"/>
      <c r="AO6" s="291"/>
      <c r="AP6" s="291"/>
      <c r="AQ6" s="291"/>
      <c r="AR6" s="291"/>
      <c r="AS6" s="291"/>
      <c r="AT6" s="291"/>
      <c r="AU6" s="291"/>
      <c r="AV6" s="291"/>
      <c r="AW6" s="291"/>
      <c r="AX6" s="291"/>
      <c r="AY6" s="291"/>
      <c r="AZ6" s="291"/>
      <c r="BA6" s="291"/>
      <c r="BB6" s="286"/>
      <c r="BC6" s="286"/>
      <c r="BD6" s="286"/>
      <c r="BE6" s="286"/>
      <c r="BF6" s="286"/>
      <c r="BG6" s="286"/>
      <c r="BH6" s="286"/>
      <c r="BI6" s="286"/>
      <c r="BJ6" s="286"/>
      <c r="BK6" s="286"/>
      <c r="BL6" s="286"/>
      <c r="BM6" s="286"/>
      <c r="BN6" s="286"/>
      <c r="BO6" s="286"/>
      <c r="BP6" s="286"/>
      <c r="BQ6" s="286"/>
      <c r="BR6" s="472"/>
      <c r="BS6" s="472"/>
      <c r="BT6" s="472"/>
      <c r="CJ6" s="286"/>
      <c r="CK6" s="286"/>
      <c r="CL6" s="286"/>
      <c r="CM6" s="286"/>
      <c r="CN6" s="286"/>
      <c r="CO6" s="286"/>
      <c r="CP6" s="286"/>
      <c r="CQ6" s="286"/>
      <c r="CR6" s="286"/>
      <c r="CS6" s="286"/>
      <c r="CT6" s="286"/>
      <c r="CU6" s="286"/>
      <c r="CV6" s="286"/>
      <c r="CW6" s="286"/>
      <c r="CX6" s="286"/>
      <c r="CY6" s="286"/>
      <c r="CZ6" s="286"/>
      <c r="DA6" s="286"/>
    </row>
    <row r="7" spans="1:105" ht="16">
      <c r="A7" s="342" t="s">
        <v>282</v>
      </c>
      <c r="B7" s="343">
        <f>+B6+2</f>
        <v>46138</v>
      </c>
      <c r="C7" s="345">
        <f>+C6+2</f>
        <v>46139</v>
      </c>
      <c r="D7" s="472"/>
      <c r="E7" s="472"/>
      <c r="F7" s="472"/>
      <c r="G7" s="472"/>
      <c r="H7" s="472"/>
      <c r="I7" s="472"/>
      <c r="J7" s="472"/>
      <c r="K7" s="472"/>
      <c r="L7" s="472"/>
      <c r="M7" s="472"/>
      <c r="N7" s="473"/>
      <c r="O7" s="474"/>
      <c r="P7" s="474"/>
      <c r="Q7" s="474"/>
      <c r="R7" s="474"/>
      <c r="S7" s="474"/>
      <c r="T7" s="474"/>
      <c r="U7" s="472"/>
      <c r="V7" s="472"/>
      <c r="W7" s="472"/>
      <c r="X7" s="472"/>
      <c r="Y7" s="472"/>
      <c r="Z7" s="472"/>
      <c r="AA7" s="472"/>
      <c r="AB7" s="472"/>
      <c r="AC7" s="472"/>
      <c r="AD7" s="472"/>
      <c r="AE7" s="472"/>
      <c r="AF7" s="472"/>
      <c r="AG7" s="472"/>
      <c r="AH7" s="475"/>
      <c r="AI7" s="287"/>
      <c r="AJ7" s="287"/>
      <c r="AK7" s="287"/>
      <c r="AL7" s="287"/>
      <c r="AM7" s="287"/>
      <c r="AN7" s="291"/>
      <c r="AO7" s="291"/>
      <c r="AP7" s="291"/>
      <c r="AQ7" s="291"/>
      <c r="AR7" s="291"/>
      <c r="AS7" s="291"/>
      <c r="AT7" s="291"/>
      <c r="AU7" s="291"/>
      <c r="AV7" s="291"/>
      <c r="AW7" s="291"/>
      <c r="AX7" s="291"/>
      <c r="AY7" s="291"/>
      <c r="AZ7" s="291"/>
      <c r="BA7" s="291"/>
      <c r="BB7" s="286"/>
      <c r="BC7" s="286"/>
      <c r="BD7" s="286"/>
      <c r="BE7" s="286"/>
      <c r="BF7" s="286"/>
      <c r="BG7" s="286"/>
      <c r="BH7" s="286"/>
      <c r="BI7" s="286"/>
      <c r="BJ7" s="286"/>
      <c r="BK7" s="286"/>
      <c r="BL7" s="286"/>
      <c r="BM7" s="286"/>
      <c r="BN7" s="286"/>
      <c r="BO7" s="286"/>
      <c r="BP7" s="286"/>
      <c r="BQ7" s="286"/>
      <c r="BR7" s="472"/>
      <c r="BS7" s="472"/>
      <c r="BT7" s="472"/>
      <c r="CJ7" s="286"/>
      <c r="CK7" s="286"/>
      <c r="CL7" s="286"/>
      <c r="CM7" s="286"/>
      <c r="CN7" s="286"/>
      <c r="CO7" s="286"/>
      <c r="CP7" s="286"/>
      <c r="CQ7" s="286"/>
      <c r="CR7" s="286"/>
      <c r="CS7" s="286"/>
      <c r="CT7" s="286"/>
      <c r="CU7" s="286"/>
      <c r="CV7" s="286"/>
      <c r="CW7" s="286"/>
      <c r="CX7" s="286"/>
      <c r="CY7" s="286"/>
      <c r="CZ7" s="286"/>
      <c r="DA7" s="286"/>
    </row>
    <row r="8" spans="1:105" ht="16">
      <c r="A8" s="342" t="s">
        <v>284</v>
      </c>
      <c r="B8" s="343">
        <f>+B7+40</f>
        <v>46178</v>
      </c>
      <c r="C8" s="345">
        <f>+C7+40</f>
        <v>46179</v>
      </c>
      <c r="D8" s="472"/>
      <c r="E8" s="472"/>
      <c r="F8" s="472"/>
      <c r="G8" s="472"/>
      <c r="H8" s="472"/>
      <c r="I8" s="472"/>
      <c r="J8" s="472"/>
      <c r="K8" s="472"/>
      <c r="L8" s="472"/>
      <c r="M8" s="472"/>
      <c r="N8" s="473"/>
      <c r="O8" s="474"/>
      <c r="P8" s="474"/>
      <c r="Q8" s="474"/>
      <c r="R8" s="474"/>
      <c r="S8" s="474"/>
      <c r="T8" s="474"/>
      <c r="U8" s="472"/>
      <c r="V8" s="472"/>
      <c r="W8" s="472"/>
      <c r="X8" s="472"/>
      <c r="Y8" s="472"/>
      <c r="Z8" s="472"/>
      <c r="AA8" s="472"/>
      <c r="AB8" s="472"/>
      <c r="AC8" s="472"/>
      <c r="AD8" s="472"/>
      <c r="AE8" s="472"/>
      <c r="AF8" s="472"/>
      <c r="AG8" s="472"/>
      <c r="AH8" s="475"/>
      <c r="AI8" s="287"/>
      <c r="AJ8" s="287"/>
      <c r="AK8" s="287"/>
      <c r="AL8" s="287"/>
      <c r="AM8" s="287"/>
      <c r="AN8" s="291"/>
      <c r="AO8" s="291"/>
      <c r="AP8" s="291"/>
      <c r="AQ8" s="291"/>
      <c r="AR8" s="291"/>
      <c r="AS8" s="291"/>
      <c r="AT8" s="291"/>
      <c r="AU8" s="291"/>
      <c r="AV8" s="291"/>
      <c r="AW8" s="291"/>
      <c r="AX8" s="291"/>
      <c r="AY8" s="291"/>
      <c r="AZ8" s="291"/>
      <c r="BA8" s="291"/>
      <c r="BB8" s="286"/>
      <c r="BC8" s="286"/>
      <c r="BD8" s="286"/>
      <c r="BE8" s="286"/>
      <c r="BF8" s="286"/>
      <c r="BG8" s="286"/>
      <c r="BH8" s="286"/>
      <c r="BI8" s="286"/>
      <c r="BJ8" s="286"/>
      <c r="BK8" s="286"/>
      <c r="BL8" s="286"/>
      <c r="BM8" s="286"/>
      <c r="BN8" s="286"/>
      <c r="BO8" s="286"/>
      <c r="BP8" s="286"/>
      <c r="BQ8" s="286"/>
      <c r="BR8" s="472"/>
      <c r="BS8" s="472"/>
      <c r="BT8" s="472"/>
      <c r="CJ8" s="286"/>
      <c r="CK8" s="286"/>
      <c r="CL8" s="286"/>
      <c r="CM8" s="286"/>
      <c r="CN8" s="286"/>
      <c r="CO8" s="286"/>
      <c r="CP8" s="286"/>
      <c r="CQ8" s="286"/>
      <c r="CR8" s="286"/>
      <c r="CS8" s="286"/>
      <c r="CT8" s="286"/>
      <c r="CU8" s="286"/>
      <c r="CV8" s="286"/>
      <c r="CW8" s="286"/>
      <c r="CX8" s="286"/>
      <c r="CY8" s="286"/>
      <c r="CZ8" s="286"/>
      <c r="DA8" s="286"/>
    </row>
    <row r="9" spans="1:105" ht="16">
      <c r="A9" s="342" t="s">
        <v>283</v>
      </c>
      <c r="B9" s="343">
        <f>+B8+45</f>
        <v>46223</v>
      </c>
      <c r="C9" s="345">
        <f>+C8+45</f>
        <v>46224</v>
      </c>
      <c r="D9" s="472"/>
      <c r="E9" s="472"/>
      <c r="F9" s="472"/>
      <c r="G9" s="472"/>
      <c r="H9" s="472"/>
      <c r="I9" s="472"/>
      <c r="J9" s="472"/>
      <c r="K9" s="472"/>
      <c r="L9" s="472"/>
      <c r="M9" s="472"/>
      <c r="N9" s="473"/>
      <c r="O9" s="474"/>
      <c r="P9" s="474"/>
      <c r="Q9" s="474"/>
      <c r="R9" s="474"/>
      <c r="S9" s="474"/>
      <c r="T9" s="474"/>
      <c r="U9" s="472"/>
      <c r="V9" s="472"/>
      <c r="W9" s="472"/>
      <c r="X9" s="472"/>
      <c r="Y9" s="472"/>
      <c r="Z9" s="472"/>
      <c r="AA9" s="472"/>
      <c r="AB9" s="472"/>
      <c r="AC9" s="472"/>
      <c r="AD9" s="472"/>
      <c r="AE9" s="472"/>
      <c r="AF9" s="472"/>
      <c r="AG9" s="472"/>
      <c r="AH9" s="475"/>
      <c r="AI9" s="287"/>
      <c r="AJ9" s="287"/>
      <c r="AK9" s="287"/>
      <c r="AL9" s="287"/>
      <c r="AM9" s="287"/>
      <c r="AN9" s="291"/>
      <c r="AO9" s="291"/>
      <c r="AP9" s="291"/>
      <c r="AQ9" s="291"/>
      <c r="AR9" s="291"/>
      <c r="AS9" s="291"/>
      <c r="AT9" s="291"/>
      <c r="AU9" s="291"/>
      <c r="AV9" s="291"/>
      <c r="AW9" s="291"/>
      <c r="AX9" s="291"/>
      <c r="AY9" s="291"/>
      <c r="AZ9" s="291"/>
      <c r="BA9" s="291"/>
      <c r="BB9" s="286"/>
      <c r="BC9" s="286"/>
      <c r="BD9" s="286"/>
      <c r="BE9" s="286"/>
      <c r="BF9" s="286"/>
      <c r="BG9" s="286"/>
      <c r="BH9" s="286"/>
      <c r="BI9" s="286"/>
      <c r="BJ9" s="286"/>
      <c r="BK9" s="286"/>
      <c r="BL9" s="286"/>
      <c r="BM9" s="286"/>
      <c r="BN9" s="286"/>
      <c r="BO9" s="286"/>
      <c r="BP9" s="286"/>
      <c r="BQ9" s="286"/>
      <c r="BR9" s="472"/>
      <c r="BS9" s="472"/>
      <c r="BT9" s="472"/>
      <c r="CJ9" s="286"/>
      <c r="CK9" s="286"/>
      <c r="CL9" s="286"/>
      <c r="CM9" s="286"/>
      <c r="CN9" s="286"/>
      <c r="CO9" s="286"/>
      <c r="CP9" s="286"/>
      <c r="CQ9" s="286"/>
      <c r="CR9" s="286"/>
      <c r="CS9" s="286"/>
      <c r="CT9" s="286"/>
      <c r="CU9" s="286"/>
      <c r="CV9" s="286"/>
      <c r="CW9" s="286"/>
      <c r="CX9" s="286"/>
      <c r="CY9" s="286"/>
      <c r="CZ9" s="286"/>
      <c r="DA9" s="286"/>
    </row>
    <row r="10" spans="1:105" ht="16">
      <c r="A10" s="342" t="s">
        <v>285</v>
      </c>
      <c r="B10" s="343">
        <f>+B8+65</f>
        <v>46243</v>
      </c>
      <c r="C10" s="345">
        <f>+C8+65</f>
        <v>46244</v>
      </c>
      <c r="D10" s="472"/>
      <c r="E10" s="472"/>
      <c r="F10" s="472"/>
      <c r="G10" s="472"/>
      <c r="H10" s="472"/>
      <c r="I10" s="472"/>
      <c r="J10" s="472"/>
      <c r="K10" s="472"/>
      <c r="L10" s="472"/>
      <c r="M10" s="472"/>
      <c r="N10" s="473"/>
      <c r="O10" s="474"/>
      <c r="P10" s="474"/>
      <c r="Q10" s="474"/>
      <c r="R10" s="474"/>
      <c r="S10" s="474"/>
      <c r="T10" s="474"/>
      <c r="U10" s="472"/>
      <c r="V10" s="472"/>
      <c r="W10" s="472"/>
      <c r="X10" s="472"/>
      <c r="Y10" s="472"/>
      <c r="Z10" s="472"/>
      <c r="AA10" s="472"/>
      <c r="AB10" s="472"/>
      <c r="AC10" s="472"/>
      <c r="AD10" s="472"/>
      <c r="AE10" s="472"/>
      <c r="AF10" s="472"/>
      <c r="AG10" s="472"/>
      <c r="AH10" s="475"/>
      <c r="AI10" s="287"/>
      <c r="AJ10" s="287"/>
      <c r="AK10" s="287"/>
      <c r="AL10" s="287"/>
      <c r="AM10" s="287"/>
      <c r="AN10" s="291"/>
      <c r="AO10" s="291"/>
      <c r="AP10" s="291"/>
      <c r="AQ10" s="291"/>
      <c r="AR10" s="291"/>
      <c r="AS10" s="291"/>
      <c r="AT10" s="291"/>
      <c r="AU10" s="291"/>
      <c r="AV10" s="291"/>
      <c r="AW10" s="291"/>
      <c r="AX10" s="291"/>
      <c r="AY10" s="291"/>
      <c r="AZ10" s="291"/>
      <c r="BA10" s="291"/>
      <c r="BB10" s="286"/>
      <c r="BC10" s="286"/>
      <c r="BD10" s="286"/>
      <c r="BE10" s="286"/>
      <c r="BF10" s="286"/>
      <c r="BG10" s="286"/>
      <c r="BH10" s="286"/>
      <c r="BI10" s="286"/>
      <c r="BJ10" s="286"/>
      <c r="BK10" s="286"/>
      <c r="BL10" s="286"/>
      <c r="BM10" s="286"/>
      <c r="BN10" s="286"/>
      <c r="BO10" s="286"/>
      <c r="BP10" s="286"/>
      <c r="BQ10" s="286"/>
      <c r="BR10" s="472"/>
      <c r="BS10" s="472"/>
      <c r="BT10" s="472"/>
      <c r="CJ10" s="286"/>
      <c r="CK10" s="286"/>
      <c r="CL10" s="286"/>
      <c r="CM10" s="286"/>
      <c r="CN10" s="286"/>
      <c r="CO10" s="286"/>
      <c r="CP10" s="286"/>
      <c r="CQ10" s="286"/>
      <c r="CR10" s="286"/>
      <c r="CS10" s="286"/>
      <c r="CT10" s="286"/>
      <c r="CU10" s="286"/>
      <c r="CV10" s="286"/>
      <c r="CW10" s="286"/>
      <c r="CX10" s="286"/>
      <c r="CY10" s="286"/>
      <c r="CZ10" s="286"/>
      <c r="DA10" s="286"/>
    </row>
    <row r="11" spans="1:105" ht="16">
      <c r="A11" s="346" t="s">
        <v>286</v>
      </c>
      <c r="B11" s="347">
        <f>+B10+8</f>
        <v>46251</v>
      </c>
      <c r="C11" s="348">
        <f>+C10+8</f>
        <v>46252</v>
      </c>
      <c r="D11" s="472"/>
      <c r="E11" s="472"/>
      <c r="F11" s="472"/>
      <c r="G11" s="472"/>
      <c r="H11" s="472"/>
      <c r="I11" s="472"/>
      <c r="J11" s="472"/>
      <c r="K11" s="472"/>
      <c r="L11" s="472"/>
      <c r="M11" s="472"/>
      <c r="N11" s="473"/>
      <c r="O11" s="474"/>
      <c r="P11" s="474"/>
      <c r="Q11" s="474"/>
      <c r="R11" s="474"/>
      <c r="S11" s="474"/>
      <c r="T11" s="474"/>
      <c r="U11" s="472"/>
      <c r="V11" s="472"/>
      <c r="W11" s="472"/>
      <c r="X11" s="472"/>
      <c r="Y11" s="472"/>
      <c r="Z11" s="472"/>
      <c r="AA11" s="472"/>
      <c r="AB11" s="472"/>
      <c r="AC11" s="472"/>
      <c r="AD11" s="472"/>
      <c r="AE11" s="472"/>
      <c r="AF11" s="472"/>
      <c r="AG11" s="472"/>
      <c r="AH11" s="475"/>
      <c r="AI11" s="287"/>
      <c r="AJ11" s="287"/>
      <c r="AK11" s="287"/>
      <c r="AL11" s="287"/>
      <c r="AM11" s="287"/>
      <c r="AN11" s="291"/>
      <c r="AO11" s="291"/>
      <c r="AP11" s="291"/>
      <c r="AQ11" s="291"/>
      <c r="AR11" s="291"/>
      <c r="AS11" s="291"/>
      <c r="AT11" s="291"/>
      <c r="AU11" s="291"/>
      <c r="AV11" s="291"/>
      <c r="AW11" s="291"/>
      <c r="AX11" s="291"/>
      <c r="AY11" s="291"/>
      <c r="AZ11" s="291"/>
      <c r="BA11" s="291"/>
      <c r="BB11" s="286"/>
      <c r="BC11" s="286"/>
      <c r="BD11" s="286"/>
      <c r="BE11" s="286"/>
      <c r="BF11" s="286"/>
      <c r="BG11" s="286"/>
      <c r="BH11" s="286"/>
      <c r="BI11" s="286"/>
      <c r="BJ11" s="286"/>
      <c r="BK11" s="286"/>
      <c r="BL11" s="286"/>
      <c r="BM11" s="286"/>
      <c r="BN11" s="286"/>
      <c r="BO11" s="286"/>
      <c r="BP11" s="286"/>
      <c r="BQ11" s="286"/>
      <c r="BR11" s="472"/>
      <c r="BS11" s="472"/>
      <c r="BT11" s="472"/>
      <c r="CJ11" s="286"/>
      <c r="CK11" s="286"/>
      <c r="CL11" s="286"/>
      <c r="CM11" s="286"/>
      <c r="CN11" s="286"/>
      <c r="CO11" s="286"/>
      <c r="CP11" s="286"/>
      <c r="CQ11" s="286"/>
      <c r="CR11" s="286"/>
      <c r="CS11" s="286"/>
      <c r="CT11" s="286"/>
      <c r="CU11" s="286"/>
      <c r="CV11" s="286"/>
      <c r="CW11" s="286"/>
      <c r="CX11" s="286"/>
      <c r="CY11" s="286"/>
      <c r="CZ11" s="286"/>
      <c r="DA11" s="286"/>
    </row>
    <row r="12" spans="1:105" s="291" customFormat="1">
      <c r="A12" s="472"/>
      <c r="B12" s="474"/>
      <c r="C12" s="472"/>
      <c r="D12" s="472"/>
      <c r="E12" s="472"/>
      <c r="F12" s="472"/>
      <c r="G12" s="472"/>
      <c r="H12" s="472"/>
      <c r="I12" s="472"/>
      <c r="J12" s="472"/>
      <c r="K12" s="472"/>
      <c r="L12" s="472"/>
      <c r="M12" s="472"/>
      <c r="N12" s="473"/>
      <c r="O12" s="474"/>
      <c r="P12" s="474"/>
      <c r="Q12" s="474"/>
      <c r="R12" s="474"/>
      <c r="S12" s="474"/>
      <c r="T12" s="474"/>
      <c r="U12" s="472"/>
      <c r="V12" s="472"/>
      <c r="W12" s="472"/>
      <c r="X12" s="472"/>
      <c r="Y12" s="472"/>
      <c r="Z12" s="472"/>
      <c r="AA12" s="472"/>
      <c r="AB12" s="472"/>
      <c r="AC12" s="472"/>
      <c r="AD12" s="472"/>
      <c r="AE12" s="472"/>
      <c r="AF12" s="472"/>
      <c r="AG12" s="472"/>
      <c r="AH12" s="475"/>
      <c r="AI12" s="287"/>
      <c r="AJ12" s="287"/>
      <c r="AK12" s="287"/>
      <c r="AL12" s="287"/>
      <c r="AM12" s="287"/>
      <c r="BB12" s="286"/>
      <c r="BC12" s="286"/>
      <c r="BD12" s="286"/>
      <c r="BE12" s="286"/>
      <c r="BF12" s="286"/>
      <c r="BG12" s="286"/>
      <c r="BH12" s="286"/>
      <c r="BI12" s="286"/>
      <c r="BJ12" s="286"/>
      <c r="BK12" s="286"/>
      <c r="BL12" s="286"/>
      <c r="BM12" s="286"/>
      <c r="BN12" s="286"/>
      <c r="BO12" s="286"/>
      <c r="BP12" s="286"/>
      <c r="BQ12" s="286"/>
      <c r="BR12" s="472"/>
      <c r="BS12" s="472"/>
      <c r="BT12" s="472"/>
      <c r="CJ12" s="286"/>
      <c r="CK12" s="286"/>
      <c r="CL12" s="286"/>
      <c r="CM12" s="286"/>
      <c r="CN12" s="286"/>
      <c r="CO12" s="286"/>
      <c r="CP12" s="286"/>
      <c r="CQ12" s="286"/>
      <c r="CR12" s="286"/>
      <c r="CS12" s="286"/>
      <c r="CT12" s="286"/>
      <c r="CU12" s="286"/>
      <c r="CV12" s="286"/>
      <c r="CW12" s="286"/>
      <c r="CX12" s="286"/>
      <c r="CY12" s="286"/>
      <c r="CZ12" s="286"/>
      <c r="DA12" s="286"/>
    </row>
    <row r="13" spans="1:105" s="291" customFormat="1">
      <c r="A13" s="472"/>
      <c r="B13" s="474"/>
      <c r="C13" s="472"/>
      <c r="D13" s="472"/>
      <c r="E13" s="472"/>
      <c r="F13" s="472"/>
      <c r="G13" s="472"/>
      <c r="H13" s="472"/>
      <c r="I13" s="472"/>
      <c r="J13" s="472"/>
      <c r="K13" s="472"/>
      <c r="L13" s="472"/>
      <c r="M13" s="472"/>
      <c r="N13" s="473"/>
      <c r="O13" s="474"/>
      <c r="P13" s="474"/>
      <c r="Q13" s="474"/>
      <c r="R13" s="474"/>
      <c r="S13" s="474"/>
      <c r="T13" s="474"/>
      <c r="U13" s="472"/>
      <c r="V13" s="472"/>
      <c r="W13" s="472"/>
      <c r="X13" s="472"/>
      <c r="Y13" s="472"/>
      <c r="Z13" s="472"/>
      <c r="AA13" s="472"/>
      <c r="AB13" s="472"/>
      <c r="AC13" s="472"/>
      <c r="AD13" s="472"/>
      <c r="AE13" s="472"/>
      <c r="AF13" s="472"/>
      <c r="AG13" s="472"/>
      <c r="AH13" s="475"/>
      <c r="AI13" s="287"/>
      <c r="AJ13" s="287"/>
      <c r="AK13" s="287"/>
      <c r="AL13" s="287"/>
      <c r="AM13" s="287"/>
      <c r="BB13" s="286"/>
      <c r="BC13" s="286"/>
      <c r="BD13" s="286"/>
      <c r="BE13" s="286"/>
      <c r="BF13" s="286"/>
      <c r="BG13" s="286"/>
      <c r="BH13" s="286"/>
      <c r="BI13" s="286"/>
      <c r="BJ13" s="286"/>
      <c r="BK13" s="286"/>
      <c r="BL13" s="286"/>
      <c r="BM13" s="286"/>
      <c r="BN13" s="286"/>
      <c r="BO13" s="286"/>
      <c r="BP13" s="286"/>
      <c r="BQ13" s="286"/>
      <c r="BR13" s="472"/>
      <c r="BS13" s="472"/>
      <c r="BT13" s="472"/>
    </row>
    <row r="14" spans="1:105" s="291" customFormat="1" ht="35.15" customHeight="1">
      <c r="A14" s="472"/>
      <c r="B14" s="474"/>
      <c r="C14" s="472"/>
      <c r="D14" s="472"/>
      <c r="E14" s="472"/>
      <c r="F14" s="472"/>
      <c r="G14" s="472"/>
      <c r="H14" s="472"/>
      <c r="I14" s="472"/>
      <c r="J14" s="472"/>
      <c r="K14" s="472"/>
      <c r="L14" s="472"/>
      <c r="M14" s="472"/>
      <c r="N14" s="473"/>
      <c r="O14" s="474"/>
      <c r="P14" s="474"/>
      <c r="Q14" s="474"/>
      <c r="R14" s="474"/>
      <c r="S14" s="474"/>
      <c r="T14" s="474"/>
      <c r="U14" s="472"/>
      <c r="V14" s="472"/>
      <c r="W14" s="472"/>
      <c r="X14" s="472"/>
      <c r="Y14" s="472"/>
      <c r="Z14" s="472"/>
      <c r="AA14" s="472"/>
      <c r="AB14" s="472"/>
      <c r="AC14" s="472"/>
      <c r="AD14" s="472"/>
      <c r="AE14" s="472"/>
      <c r="AF14" s="472"/>
      <c r="AG14" s="472"/>
      <c r="AH14" s="475"/>
      <c r="AI14" s="287"/>
      <c r="AJ14" s="287"/>
      <c r="AK14" s="287"/>
      <c r="AL14" s="287"/>
      <c r="AM14" s="287"/>
      <c r="BB14" s="286"/>
      <c r="BC14" s="286"/>
      <c r="BD14" s="286"/>
      <c r="BE14" s="286"/>
      <c r="BF14" s="286"/>
      <c r="BG14" s="286"/>
      <c r="BH14" s="286"/>
      <c r="BI14" s="286"/>
      <c r="BJ14" s="286"/>
      <c r="BK14" s="286"/>
      <c r="BL14" s="286"/>
      <c r="BM14" s="286"/>
      <c r="BN14" s="286"/>
      <c r="BO14" s="286"/>
      <c r="BP14" s="286"/>
      <c r="BQ14" s="286"/>
      <c r="BR14" s="472"/>
      <c r="BS14" s="472"/>
      <c r="BT14" s="472"/>
      <c r="CJ14" s="518" t="s">
        <v>0</v>
      </c>
      <c r="CK14" s="519"/>
      <c r="CL14" s="519"/>
      <c r="CM14" s="519"/>
      <c r="CN14" s="519"/>
      <c r="CO14" s="519"/>
      <c r="CP14" s="519"/>
      <c r="CQ14" s="519"/>
      <c r="CR14" s="519"/>
      <c r="CS14" s="519"/>
      <c r="CT14" s="519"/>
      <c r="CU14" s="519"/>
      <c r="CV14" s="519"/>
      <c r="CW14" s="519"/>
      <c r="CX14" s="519"/>
      <c r="CY14" s="519"/>
      <c r="CZ14" s="519"/>
      <c r="DA14" s="519"/>
    </row>
    <row r="15" spans="1:105" s="291" customFormat="1" ht="77.5">
      <c r="A15" s="472"/>
      <c r="B15" s="474"/>
      <c r="C15" s="472"/>
      <c r="D15" s="472"/>
      <c r="E15" s="472"/>
      <c r="F15" s="472"/>
      <c r="G15" s="472"/>
      <c r="H15" s="472"/>
      <c r="I15" s="472"/>
      <c r="J15" s="472"/>
      <c r="K15" s="472"/>
      <c r="L15" s="472"/>
      <c r="M15" s="472"/>
      <c r="N15" s="473"/>
      <c r="O15" s="474">
        <v>18.5</v>
      </c>
      <c r="P15" s="474"/>
      <c r="Q15" s="474"/>
      <c r="R15" s="474">
        <v>18.5</v>
      </c>
      <c r="S15" s="474"/>
      <c r="T15" s="474"/>
      <c r="U15" s="472"/>
      <c r="V15" s="472"/>
      <c r="W15" s="472"/>
      <c r="X15" s="472"/>
      <c r="Y15" s="472"/>
      <c r="Z15" s="472"/>
      <c r="AA15" s="472"/>
      <c r="AB15" s="472"/>
      <c r="AC15" s="472"/>
      <c r="AD15" s="472"/>
      <c r="AE15" s="472"/>
      <c r="AF15" s="472"/>
      <c r="AG15" s="472"/>
      <c r="AH15" s="475"/>
      <c r="AI15" s="287"/>
      <c r="AJ15" s="287"/>
      <c r="AK15" s="287"/>
      <c r="AL15" s="287"/>
      <c r="AM15" s="287"/>
      <c r="BB15" s="286"/>
      <c r="BC15" s="286"/>
      <c r="BD15" s="286"/>
      <c r="BE15" s="286"/>
      <c r="BF15" s="286"/>
      <c r="BG15" s="286"/>
      <c r="BH15" s="286"/>
      <c r="BI15" s="286"/>
      <c r="BJ15" s="286"/>
      <c r="BK15" s="286"/>
      <c r="BL15" s="286"/>
      <c r="BM15" s="286"/>
      <c r="BN15" s="286"/>
      <c r="BO15" s="286"/>
      <c r="BP15" s="286"/>
      <c r="BQ15" s="286"/>
      <c r="BR15" s="472"/>
      <c r="BS15" s="472"/>
      <c r="BT15" s="472"/>
      <c r="CJ15" s="292" t="s">
        <v>1</v>
      </c>
      <c r="CK15" s="292"/>
      <c r="CL15" s="292" t="s">
        <v>2</v>
      </c>
      <c r="CM15" s="292"/>
      <c r="CN15" s="292" t="s">
        <v>3</v>
      </c>
      <c r="CO15" s="292"/>
      <c r="CP15" s="292" t="s">
        <v>4</v>
      </c>
      <c r="CQ15" s="292"/>
      <c r="CR15" s="292" t="s">
        <v>5</v>
      </c>
      <c r="CS15" s="292"/>
      <c r="CT15" s="292" t="s">
        <v>6</v>
      </c>
      <c r="CU15" s="292"/>
      <c r="CV15" s="292" t="s">
        <v>7</v>
      </c>
      <c r="CW15" s="292"/>
      <c r="CX15" s="292" t="s">
        <v>8</v>
      </c>
      <c r="CY15" s="292"/>
      <c r="CZ15" s="292" t="s">
        <v>9</v>
      </c>
      <c r="DA15" s="292"/>
    </row>
    <row r="16" spans="1:105" ht="48.75" customHeight="1">
      <c r="A16" s="482" t="s">
        <v>10</v>
      </c>
      <c r="B16" s="483" t="s">
        <v>1051</v>
      </c>
      <c r="C16" s="482" t="s">
        <v>11</v>
      </c>
      <c r="D16" s="482" t="s">
        <v>12</v>
      </c>
      <c r="E16" s="482" t="s">
        <v>13</v>
      </c>
      <c r="F16" s="482" t="s">
        <v>14</v>
      </c>
      <c r="G16" s="482" t="s">
        <v>15</v>
      </c>
      <c r="H16" s="482" t="s">
        <v>16</v>
      </c>
      <c r="I16" s="482" t="s">
        <v>17</v>
      </c>
      <c r="J16" s="482" t="s">
        <v>18</v>
      </c>
      <c r="K16" s="482" t="s">
        <v>19</v>
      </c>
      <c r="L16" s="482" t="s">
        <v>20</v>
      </c>
      <c r="M16" s="482" t="s">
        <v>21</v>
      </c>
      <c r="N16" s="484" t="s">
        <v>1202</v>
      </c>
      <c r="O16" s="483" t="s">
        <v>1203</v>
      </c>
      <c r="P16" s="483" t="s">
        <v>1204</v>
      </c>
      <c r="Q16" s="483" t="s">
        <v>1205</v>
      </c>
      <c r="R16" s="483" t="s">
        <v>679</v>
      </c>
      <c r="S16" s="485" t="s">
        <v>1206</v>
      </c>
      <c r="T16" s="485" t="s">
        <v>27</v>
      </c>
      <c r="U16" s="482" t="s">
        <v>28</v>
      </c>
      <c r="V16" s="482" t="s">
        <v>30</v>
      </c>
      <c r="W16" s="482" t="s">
        <v>1058</v>
      </c>
      <c r="X16" s="482" t="s">
        <v>31</v>
      </c>
      <c r="Y16" s="482" t="s">
        <v>32</v>
      </c>
      <c r="Z16" s="482" t="s">
        <v>33</v>
      </c>
      <c r="AA16" s="482" t="s">
        <v>34</v>
      </c>
      <c r="AB16" s="482" t="s">
        <v>35</v>
      </c>
      <c r="AC16" s="482" t="s">
        <v>36</v>
      </c>
      <c r="AD16" s="482" t="s">
        <v>1059</v>
      </c>
      <c r="AE16" s="482" t="s">
        <v>1060</v>
      </c>
      <c r="AF16" s="482" t="s">
        <v>38</v>
      </c>
      <c r="AG16" s="482" t="s">
        <v>39</v>
      </c>
      <c r="AH16" s="475"/>
      <c r="AI16" s="294" t="s">
        <v>30</v>
      </c>
      <c r="AJ16" s="294" t="s">
        <v>31</v>
      </c>
      <c r="AK16" s="294" t="s">
        <v>32</v>
      </c>
      <c r="AL16" s="294" t="s">
        <v>33</v>
      </c>
      <c r="AM16" s="294" t="s">
        <v>300</v>
      </c>
      <c r="BB16" s="295" t="s">
        <v>40</v>
      </c>
      <c r="BC16" s="295" t="s">
        <v>41</v>
      </c>
      <c r="BD16" s="295" t="s">
        <v>42</v>
      </c>
      <c r="BE16" s="295" t="s">
        <v>43</v>
      </c>
      <c r="BF16" s="295" t="s">
        <v>44</v>
      </c>
      <c r="BG16" s="295" t="s">
        <v>45</v>
      </c>
      <c r="BH16" s="295" t="s">
        <v>46</v>
      </c>
      <c r="BI16" s="301" t="s">
        <v>47</v>
      </c>
      <c r="BJ16" s="295" t="s">
        <v>48</v>
      </c>
      <c r="BK16" s="295" t="s">
        <v>49</v>
      </c>
      <c r="BL16" s="295" t="s">
        <v>13</v>
      </c>
      <c r="BM16" s="510" t="s">
        <v>50</v>
      </c>
      <c r="BN16" s="286"/>
      <c r="BO16" s="286"/>
      <c r="BP16" s="286"/>
      <c r="BQ16" s="286"/>
      <c r="BR16" s="486" t="s">
        <v>38</v>
      </c>
      <c r="BS16" s="482" t="s">
        <v>39</v>
      </c>
      <c r="BT16" s="482" t="s">
        <v>53</v>
      </c>
      <c r="CJ16" s="303" t="s">
        <v>54</v>
      </c>
      <c r="CK16" s="303" t="s">
        <v>55</v>
      </c>
      <c r="CL16" s="303" t="s">
        <v>54</v>
      </c>
      <c r="CM16" s="303" t="s">
        <v>55</v>
      </c>
      <c r="CN16" s="303" t="s">
        <v>54</v>
      </c>
      <c r="CO16" s="303" t="s">
        <v>55</v>
      </c>
      <c r="CP16" s="303" t="s">
        <v>54</v>
      </c>
      <c r="CQ16" s="303" t="s">
        <v>55</v>
      </c>
      <c r="CR16" s="303" t="s">
        <v>54</v>
      </c>
      <c r="CS16" s="303" t="s">
        <v>55</v>
      </c>
      <c r="CT16" s="303" t="s">
        <v>54</v>
      </c>
      <c r="CU16" s="303" t="s">
        <v>55</v>
      </c>
      <c r="CV16" s="303" t="s">
        <v>54</v>
      </c>
      <c r="CW16" s="303" t="s">
        <v>55</v>
      </c>
      <c r="CX16" s="303" t="s">
        <v>54</v>
      </c>
      <c r="CY16" s="303" t="s">
        <v>55</v>
      </c>
      <c r="CZ16" s="303" t="s">
        <v>54</v>
      </c>
      <c r="DA16" s="303" t="s">
        <v>55</v>
      </c>
    </row>
    <row r="17" spans="1:105" ht="62">
      <c r="A17" s="487">
        <v>1</v>
      </c>
      <c r="B17" s="487">
        <v>1</v>
      </c>
      <c r="C17" s="488">
        <v>46241</v>
      </c>
      <c r="D17" s="487" t="s">
        <v>305</v>
      </c>
      <c r="E17" s="489" t="s">
        <v>1207</v>
      </c>
      <c r="F17" s="322">
        <v>7506110696353</v>
      </c>
      <c r="G17" s="487" t="s">
        <v>1208</v>
      </c>
      <c r="H17" s="487" t="s">
        <v>1209</v>
      </c>
      <c r="I17" s="490" t="s">
        <v>60</v>
      </c>
      <c r="J17" s="487" t="s">
        <v>526</v>
      </c>
      <c r="K17" s="487" t="s">
        <v>1198</v>
      </c>
      <c r="L17" s="487" t="s">
        <v>309</v>
      </c>
      <c r="M17" s="487">
        <v>1</v>
      </c>
      <c r="N17" s="491">
        <f>1/12</f>
        <v>8.3333333333333329E-2</v>
      </c>
      <c r="O17" s="491">
        <f>N17*'Perry Ellis 2026 Fase 2'!$O$19</f>
        <v>0.90958333333333319</v>
      </c>
      <c r="P17" s="491">
        <f>N17*1.1</f>
        <v>9.1666666666666674E-2</v>
      </c>
      <c r="Q17" s="491"/>
      <c r="R17" s="491">
        <f t="shared" ref="R17:R29" si="0">+N17*$R$15</f>
        <v>1.5416666666666665</v>
      </c>
      <c r="S17" s="491">
        <f t="shared" ref="S17:S24" si="1">N17*0.25</f>
        <v>2.0833333333333332E-2</v>
      </c>
      <c r="T17" s="491">
        <f>(R17+S17)*7.79%</f>
        <v>0.12171874999999997</v>
      </c>
      <c r="U17" s="492">
        <f t="shared" ref="U17:U29" si="2">R17+S17+T17</f>
        <v>1.6842187499999997</v>
      </c>
      <c r="V17" s="493">
        <v>29</v>
      </c>
      <c r="W17" s="491">
        <f t="shared" ref="W17:W29" si="3">+V17/1.16</f>
        <v>25</v>
      </c>
      <c r="X17" s="494">
        <f t="shared" ref="X17:X29" si="4">+W17*0.6</f>
        <v>15</v>
      </c>
      <c r="Y17" s="495">
        <f t="shared" ref="Y17:Y29" si="5">U17/X17</f>
        <v>0.11228124999999997</v>
      </c>
      <c r="Z17" s="497">
        <f t="shared" ref="Z17:Z29" si="6">1-U17/X17</f>
        <v>0.88771875</v>
      </c>
      <c r="AA17" s="497">
        <f t="shared" ref="AA17:AA29" si="7">1-(X17/(V17/1.16))</f>
        <v>0.4</v>
      </c>
      <c r="AB17" s="487" t="s">
        <v>506</v>
      </c>
      <c r="AC17" s="487" t="s">
        <v>134</v>
      </c>
      <c r="AD17" s="487">
        <v>12</v>
      </c>
      <c r="AE17" s="487">
        <v>480</v>
      </c>
      <c r="AF17" s="487" t="s">
        <v>1210</v>
      </c>
      <c r="AG17" s="360">
        <v>46328</v>
      </c>
      <c r="AH17" s="475"/>
      <c r="AI17" s="498">
        <v>19</v>
      </c>
      <c r="AJ17" s="491">
        <f t="shared" ref="AJ17:AJ48" si="8">AI17/1.16</f>
        <v>16.379310344827587</v>
      </c>
      <c r="AK17" s="323">
        <f t="shared" ref="AK17:AK48" si="9">U17/AJ17</f>
        <v>0.10282598684210524</v>
      </c>
      <c r="AL17" s="323">
        <f t="shared" ref="AL17:AL48" si="10">1-(U17/AJ17)</f>
        <v>0.8971740131578948</v>
      </c>
      <c r="AM17" s="317">
        <f t="shared" ref="AM17:AM48" si="11">1-(AJ17/(AI17/1.16))</f>
        <v>0</v>
      </c>
      <c r="BB17" s="322">
        <v>1</v>
      </c>
      <c r="BC17" s="322">
        <v>1</v>
      </c>
      <c r="BD17" s="322"/>
      <c r="BE17" s="322">
        <v>1</v>
      </c>
      <c r="BF17" s="322">
        <v>1</v>
      </c>
      <c r="BG17" s="322">
        <v>1</v>
      </c>
      <c r="BH17" s="322"/>
      <c r="BI17" s="322"/>
      <c r="BJ17" s="322"/>
      <c r="BK17" s="322">
        <v>9</v>
      </c>
      <c r="BL17" s="322">
        <f t="shared" ref="BL17:BL48" si="12">SUM(BB17:BJ17)</f>
        <v>5</v>
      </c>
      <c r="BM17" s="499">
        <f t="shared" ref="BM17:BM48" si="13">+BL17/BK17</f>
        <v>0.55555555555555558</v>
      </c>
      <c r="BN17" s="361"/>
      <c r="BO17" s="361"/>
      <c r="BP17" s="361"/>
      <c r="BQ17" s="361"/>
      <c r="BR17" s="500" t="str">
        <f t="shared" ref="BR17:BR48" si="14">+AF17</f>
        <v>Se mandó abierto a licencia</v>
      </c>
      <c r="BS17" s="360">
        <f t="shared" ref="BS17:BS48" si="15">+AG17</f>
        <v>46328</v>
      </c>
      <c r="BT17" s="487" t="s">
        <v>637</v>
      </c>
      <c r="CJ17" s="325"/>
      <c r="CK17" s="325"/>
      <c r="CL17" s="325"/>
      <c r="CM17" s="325"/>
      <c r="CN17" s="325"/>
      <c r="CO17" s="325"/>
      <c r="CP17" s="327"/>
      <c r="CQ17" s="327"/>
      <c r="CR17" s="328"/>
      <c r="CS17" s="328"/>
      <c r="CT17" s="328"/>
      <c r="CU17" s="328"/>
      <c r="CV17" s="328"/>
      <c r="CW17" s="328"/>
      <c r="CX17" s="328"/>
      <c r="CY17" s="328"/>
      <c r="CZ17" s="328"/>
      <c r="DA17" s="328"/>
    </row>
    <row r="18" spans="1:105" ht="62">
      <c r="A18" s="487">
        <v>2</v>
      </c>
      <c r="B18" s="487">
        <v>1</v>
      </c>
      <c r="C18" s="488">
        <v>46241</v>
      </c>
      <c r="D18" s="487" t="s">
        <v>305</v>
      </c>
      <c r="E18" s="489" t="s">
        <v>1207</v>
      </c>
      <c r="F18" s="322">
        <v>7506110696360</v>
      </c>
      <c r="G18" s="487" t="s">
        <v>1211</v>
      </c>
      <c r="H18" s="487" t="s">
        <v>1212</v>
      </c>
      <c r="I18" s="490" t="s">
        <v>60</v>
      </c>
      <c r="J18" s="487" t="s">
        <v>526</v>
      </c>
      <c r="K18" s="487" t="s">
        <v>1198</v>
      </c>
      <c r="L18" s="487" t="s">
        <v>309</v>
      </c>
      <c r="M18" s="487">
        <v>1</v>
      </c>
      <c r="N18" s="491">
        <f>1/12</f>
        <v>8.3333333333333329E-2</v>
      </c>
      <c r="O18" s="491">
        <f>N18*'Perry Ellis 2026 Fase 2'!$O$19</f>
        <v>0.90958333333333319</v>
      </c>
      <c r="P18" s="491">
        <f>N18*1.1</f>
        <v>9.1666666666666674E-2</v>
      </c>
      <c r="Q18" s="491"/>
      <c r="R18" s="491">
        <f t="shared" si="0"/>
        <v>1.5416666666666665</v>
      </c>
      <c r="S18" s="491">
        <f t="shared" si="1"/>
        <v>2.0833333333333332E-2</v>
      </c>
      <c r="T18" s="491">
        <f>(R18+S18)*7.79%</f>
        <v>0.12171874999999997</v>
      </c>
      <c r="U18" s="492">
        <f t="shared" si="2"/>
        <v>1.6842187499999997</v>
      </c>
      <c r="V18" s="493">
        <v>29</v>
      </c>
      <c r="W18" s="491">
        <f t="shared" si="3"/>
        <v>25</v>
      </c>
      <c r="X18" s="494">
        <f t="shared" si="4"/>
        <v>15</v>
      </c>
      <c r="Y18" s="495">
        <f t="shared" si="5"/>
        <v>0.11228124999999997</v>
      </c>
      <c r="Z18" s="497">
        <f t="shared" si="6"/>
        <v>0.88771875</v>
      </c>
      <c r="AA18" s="497">
        <f t="shared" si="7"/>
        <v>0.4</v>
      </c>
      <c r="AB18" s="487" t="s">
        <v>506</v>
      </c>
      <c r="AC18" s="487" t="s">
        <v>134</v>
      </c>
      <c r="AD18" s="487">
        <v>12</v>
      </c>
      <c r="AE18" s="487">
        <v>480</v>
      </c>
      <c r="AF18" s="487" t="s">
        <v>1210</v>
      </c>
      <c r="AG18" s="360">
        <v>46328</v>
      </c>
      <c r="AH18" s="475"/>
      <c r="AI18" s="498">
        <v>19</v>
      </c>
      <c r="AJ18" s="491">
        <f t="shared" si="8"/>
        <v>16.379310344827587</v>
      </c>
      <c r="AK18" s="323">
        <f t="shared" si="9"/>
        <v>0.10282598684210524</v>
      </c>
      <c r="AL18" s="323">
        <f t="shared" si="10"/>
        <v>0.8971740131578948</v>
      </c>
      <c r="AM18" s="317">
        <f t="shared" si="11"/>
        <v>0</v>
      </c>
      <c r="BB18" s="322">
        <v>1</v>
      </c>
      <c r="BC18" s="322">
        <v>1</v>
      </c>
      <c r="BD18" s="322"/>
      <c r="BE18" s="322">
        <v>1</v>
      </c>
      <c r="BF18" s="322">
        <v>1</v>
      </c>
      <c r="BG18" s="322">
        <v>1</v>
      </c>
      <c r="BH18" s="322"/>
      <c r="BI18" s="322"/>
      <c r="BJ18" s="322"/>
      <c r="BK18" s="322">
        <v>9</v>
      </c>
      <c r="BL18" s="322">
        <f t="shared" si="12"/>
        <v>5</v>
      </c>
      <c r="BM18" s="499">
        <f t="shared" si="13"/>
        <v>0.55555555555555558</v>
      </c>
      <c r="BN18" s="361"/>
      <c r="BO18" s="361"/>
      <c r="BP18" s="361"/>
      <c r="BQ18" s="361"/>
      <c r="BR18" s="500" t="str">
        <f t="shared" si="14"/>
        <v>Se mandó abierto a licencia</v>
      </c>
      <c r="BS18" s="360">
        <f t="shared" si="15"/>
        <v>46328</v>
      </c>
      <c r="BT18" s="487" t="s">
        <v>637</v>
      </c>
      <c r="CJ18" s="325"/>
      <c r="CK18" s="325"/>
      <c r="CL18" s="325"/>
      <c r="CM18" s="325"/>
      <c r="CN18" s="325"/>
      <c r="CO18" s="325"/>
      <c r="CP18" s="327"/>
      <c r="CQ18" s="327"/>
      <c r="CR18" s="328"/>
      <c r="CS18" s="328"/>
      <c r="CT18" s="328"/>
      <c r="CU18" s="328"/>
      <c r="CV18" s="328"/>
      <c r="CW18" s="328"/>
      <c r="CX18" s="328"/>
      <c r="CY18" s="328"/>
      <c r="CZ18" s="328"/>
      <c r="DA18" s="328"/>
    </row>
    <row r="19" spans="1:105" ht="62">
      <c r="A19" s="487">
        <v>3</v>
      </c>
      <c r="B19" s="487">
        <v>1</v>
      </c>
      <c r="C19" s="488">
        <v>46241</v>
      </c>
      <c r="D19" s="487" t="s">
        <v>305</v>
      </c>
      <c r="E19" s="489" t="s">
        <v>1207</v>
      </c>
      <c r="F19" s="322">
        <v>7506110696377</v>
      </c>
      <c r="G19" s="487" t="s">
        <v>1213</v>
      </c>
      <c r="H19" s="487" t="s">
        <v>1214</v>
      </c>
      <c r="I19" s="490" t="s">
        <v>60</v>
      </c>
      <c r="J19" s="487" t="s">
        <v>526</v>
      </c>
      <c r="K19" s="487" t="s">
        <v>1198</v>
      </c>
      <c r="L19" s="487" t="s">
        <v>309</v>
      </c>
      <c r="M19" s="487">
        <v>1</v>
      </c>
      <c r="N19" s="491">
        <f>1/12</f>
        <v>8.3333333333333329E-2</v>
      </c>
      <c r="O19" s="491">
        <f>N19*'Perry Ellis 2026 Fase 2'!$O$19</f>
        <v>0.90958333333333319</v>
      </c>
      <c r="P19" s="491">
        <f>N19*1.1</f>
        <v>9.1666666666666674E-2</v>
      </c>
      <c r="Q19" s="491"/>
      <c r="R19" s="491">
        <f t="shared" si="0"/>
        <v>1.5416666666666665</v>
      </c>
      <c r="S19" s="491">
        <f t="shared" si="1"/>
        <v>2.0833333333333332E-2</v>
      </c>
      <c r="T19" s="491">
        <f>(R19+S19)*7.79%</f>
        <v>0.12171874999999997</v>
      </c>
      <c r="U19" s="492">
        <f t="shared" si="2"/>
        <v>1.6842187499999997</v>
      </c>
      <c r="V19" s="493">
        <v>29</v>
      </c>
      <c r="W19" s="491">
        <f t="shared" si="3"/>
        <v>25</v>
      </c>
      <c r="X19" s="494">
        <f t="shared" si="4"/>
        <v>15</v>
      </c>
      <c r="Y19" s="495">
        <f t="shared" si="5"/>
        <v>0.11228124999999997</v>
      </c>
      <c r="Z19" s="497">
        <f t="shared" si="6"/>
        <v>0.88771875</v>
      </c>
      <c r="AA19" s="497">
        <f t="shared" si="7"/>
        <v>0.4</v>
      </c>
      <c r="AB19" s="487" t="s">
        <v>506</v>
      </c>
      <c r="AC19" s="487" t="s">
        <v>134</v>
      </c>
      <c r="AD19" s="487">
        <v>12</v>
      </c>
      <c r="AE19" s="487">
        <v>480</v>
      </c>
      <c r="AF19" s="487" t="s">
        <v>1210</v>
      </c>
      <c r="AG19" s="360">
        <v>46328</v>
      </c>
      <c r="AH19" s="475"/>
      <c r="AI19" s="498">
        <v>19</v>
      </c>
      <c r="AJ19" s="491">
        <f t="shared" si="8"/>
        <v>16.379310344827587</v>
      </c>
      <c r="AK19" s="323">
        <f t="shared" si="9"/>
        <v>0.10282598684210524</v>
      </c>
      <c r="AL19" s="323">
        <f t="shared" si="10"/>
        <v>0.8971740131578948</v>
      </c>
      <c r="AM19" s="317">
        <f t="shared" si="11"/>
        <v>0</v>
      </c>
      <c r="BB19" s="322">
        <v>1</v>
      </c>
      <c r="BC19" s="322">
        <v>1</v>
      </c>
      <c r="BD19" s="322"/>
      <c r="BE19" s="322">
        <v>1</v>
      </c>
      <c r="BF19" s="322">
        <v>1</v>
      </c>
      <c r="BG19" s="322">
        <v>1</v>
      </c>
      <c r="BH19" s="322"/>
      <c r="BI19" s="322"/>
      <c r="BJ19" s="322"/>
      <c r="BK19" s="322">
        <v>9</v>
      </c>
      <c r="BL19" s="322">
        <f t="shared" si="12"/>
        <v>5</v>
      </c>
      <c r="BM19" s="499">
        <f t="shared" si="13"/>
        <v>0.55555555555555558</v>
      </c>
      <c r="BN19" s="361"/>
      <c r="BO19" s="361"/>
      <c r="BP19" s="361"/>
      <c r="BQ19" s="361"/>
      <c r="BR19" s="500" t="str">
        <f t="shared" si="14"/>
        <v>Se mandó abierto a licencia</v>
      </c>
      <c r="BS19" s="360">
        <f t="shared" si="15"/>
        <v>46328</v>
      </c>
      <c r="BT19" s="487" t="s">
        <v>1215</v>
      </c>
      <c r="CJ19" s="325"/>
      <c r="CK19" s="325"/>
      <c r="CL19" s="325"/>
      <c r="CM19" s="325"/>
      <c r="CN19" s="325"/>
      <c r="CO19" s="325"/>
      <c r="CP19" s="327"/>
      <c r="CQ19" s="327"/>
      <c r="CR19" s="328"/>
      <c r="CS19" s="328"/>
      <c r="CT19" s="328"/>
      <c r="CU19" s="328"/>
      <c r="CV19" s="328"/>
      <c r="CW19" s="328"/>
      <c r="CX19" s="328"/>
      <c r="CY19" s="328"/>
      <c r="CZ19" s="328"/>
      <c r="DA19" s="328"/>
    </row>
    <row r="20" spans="1:105" ht="62">
      <c r="A20" s="487">
        <v>4</v>
      </c>
      <c r="B20" s="487">
        <v>1</v>
      </c>
      <c r="C20" s="488">
        <v>46241</v>
      </c>
      <c r="D20" s="487" t="s">
        <v>305</v>
      </c>
      <c r="E20" s="489" t="s">
        <v>1207</v>
      </c>
      <c r="F20" s="322">
        <v>7506110696384</v>
      </c>
      <c r="G20" s="487" t="s">
        <v>1216</v>
      </c>
      <c r="H20" s="487" t="s">
        <v>1217</v>
      </c>
      <c r="I20" s="490" t="s">
        <v>60</v>
      </c>
      <c r="J20" s="487" t="s">
        <v>526</v>
      </c>
      <c r="K20" s="487" t="s">
        <v>1198</v>
      </c>
      <c r="L20" s="487" t="s">
        <v>309</v>
      </c>
      <c r="M20" s="487">
        <v>1</v>
      </c>
      <c r="N20" s="491">
        <f>1/12</f>
        <v>8.3333333333333329E-2</v>
      </c>
      <c r="O20" s="491">
        <f>N20*'Perry Ellis 2026 Fase 2'!$O$19</f>
        <v>0.90958333333333319</v>
      </c>
      <c r="P20" s="491">
        <f>N20*1.1</f>
        <v>9.1666666666666674E-2</v>
      </c>
      <c r="Q20" s="491"/>
      <c r="R20" s="491">
        <f t="shared" si="0"/>
        <v>1.5416666666666665</v>
      </c>
      <c r="S20" s="491">
        <f t="shared" si="1"/>
        <v>2.0833333333333332E-2</v>
      </c>
      <c r="T20" s="491">
        <f>(R20+S20)*7.79%</f>
        <v>0.12171874999999997</v>
      </c>
      <c r="U20" s="492">
        <f t="shared" si="2"/>
        <v>1.6842187499999997</v>
      </c>
      <c r="V20" s="493">
        <v>29</v>
      </c>
      <c r="W20" s="491">
        <f t="shared" si="3"/>
        <v>25</v>
      </c>
      <c r="X20" s="494">
        <f t="shared" si="4"/>
        <v>15</v>
      </c>
      <c r="Y20" s="495">
        <f t="shared" si="5"/>
        <v>0.11228124999999997</v>
      </c>
      <c r="Z20" s="497">
        <f t="shared" si="6"/>
        <v>0.88771875</v>
      </c>
      <c r="AA20" s="497">
        <f t="shared" si="7"/>
        <v>0.4</v>
      </c>
      <c r="AB20" s="487" t="s">
        <v>506</v>
      </c>
      <c r="AC20" s="487" t="s">
        <v>134</v>
      </c>
      <c r="AD20" s="487">
        <v>12</v>
      </c>
      <c r="AE20" s="487">
        <v>480</v>
      </c>
      <c r="AF20" s="487" t="s">
        <v>1210</v>
      </c>
      <c r="AG20" s="360">
        <v>46328</v>
      </c>
      <c r="AH20" s="475"/>
      <c r="AI20" s="498">
        <v>19</v>
      </c>
      <c r="AJ20" s="491">
        <f t="shared" si="8"/>
        <v>16.379310344827587</v>
      </c>
      <c r="AK20" s="323">
        <f t="shared" si="9"/>
        <v>0.10282598684210524</v>
      </c>
      <c r="AL20" s="323">
        <f t="shared" si="10"/>
        <v>0.8971740131578948</v>
      </c>
      <c r="AM20" s="317">
        <f t="shared" si="11"/>
        <v>0</v>
      </c>
      <c r="BB20" s="322">
        <v>1</v>
      </c>
      <c r="BC20" s="322">
        <v>1</v>
      </c>
      <c r="BD20" s="322"/>
      <c r="BE20" s="322">
        <v>1</v>
      </c>
      <c r="BF20" s="322">
        <v>1</v>
      </c>
      <c r="BG20" s="322">
        <v>1</v>
      </c>
      <c r="BH20" s="322"/>
      <c r="BI20" s="322"/>
      <c r="BJ20" s="322"/>
      <c r="BK20" s="322">
        <v>9</v>
      </c>
      <c r="BL20" s="322">
        <f t="shared" si="12"/>
        <v>5</v>
      </c>
      <c r="BM20" s="499">
        <f t="shared" si="13"/>
        <v>0.55555555555555558</v>
      </c>
      <c r="BN20" s="361"/>
      <c r="BO20" s="361"/>
      <c r="BP20" s="361"/>
      <c r="BQ20" s="361"/>
      <c r="BR20" s="500" t="str">
        <f t="shared" si="14"/>
        <v>Se mandó abierto a licencia</v>
      </c>
      <c r="BS20" s="360">
        <f t="shared" si="15"/>
        <v>46328</v>
      </c>
      <c r="BT20" s="487" t="s">
        <v>1215</v>
      </c>
      <c r="CJ20" s="325"/>
      <c r="CK20" s="325"/>
      <c r="CL20" s="325"/>
      <c r="CM20" s="325"/>
      <c r="CN20" s="325"/>
      <c r="CO20" s="325"/>
      <c r="CP20" s="327"/>
      <c r="CQ20" s="327"/>
      <c r="CR20" s="328"/>
      <c r="CS20" s="328"/>
      <c r="CT20" s="328"/>
      <c r="CU20" s="328"/>
      <c r="CV20" s="328"/>
      <c r="CW20" s="328"/>
      <c r="CX20" s="328"/>
      <c r="CY20" s="328"/>
      <c r="CZ20" s="328"/>
      <c r="DA20" s="328"/>
    </row>
    <row r="21" spans="1:105" ht="46.5">
      <c r="A21" s="487">
        <v>5</v>
      </c>
      <c r="B21" s="487">
        <v>2</v>
      </c>
      <c r="C21" s="488">
        <v>46241</v>
      </c>
      <c r="D21" s="487" t="s">
        <v>305</v>
      </c>
      <c r="E21" s="489" t="s">
        <v>1218</v>
      </c>
      <c r="F21" s="322">
        <v>7506110696391</v>
      </c>
      <c r="G21" s="487" t="s">
        <v>1219</v>
      </c>
      <c r="H21" s="487" t="s">
        <v>1220</v>
      </c>
      <c r="I21" s="490"/>
      <c r="J21" s="487" t="s">
        <v>1221</v>
      </c>
      <c r="K21" s="487" t="s">
        <v>1198</v>
      </c>
      <c r="L21" s="487" t="s">
        <v>309</v>
      </c>
      <c r="M21" s="487">
        <v>1</v>
      </c>
      <c r="N21" s="491">
        <v>0.78</v>
      </c>
      <c r="O21" s="491">
        <f>N21*'Perry Ellis 2026 Fase 2'!$O$19</f>
        <v>8.5137</v>
      </c>
      <c r="P21" s="491" t="e">
        <f>#REF!*1.1</f>
        <v>#REF!</v>
      </c>
      <c r="Q21" s="491"/>
      <c r="R21" s="491">
        <f t="shared" si="0"/>
        <v>14.43</v>
      </c>
      <c r="S21" s="491">
        <f t="shared" si="1"/>
        <v>0.19500000000000001</v>
      </c>
      <c r="T21" s="491">
        <f>(R21+S21)*15.51%</f>
        <v>2.2683374999999999</v>
      </c>
      <c r="U21" s="492">
        <f t="shared" si="2"/>
        <v>16.893337500000001</v>
      </c>
      <c r="V21" s="493">
        <v>149</v>
      </c>
      <c r="W21" s="491">
        <f t="shared" si="3"/>
        <v>128.44827586206898</v>
      </c>
      <c r="X21" s="494">
        <f t="shared" si="4"/>
        <v>77.068965517241381</v>
      </c>
      <c r="Y21" s="495">
        <f t="shared" si="5"/>
        <v>0.21919766778523492</v>
      </c>
      <c r="Z21" s="497">
        <f t="shared" si="6"/>
        <v>0.78080233221476503</v>
      </c>
      <c r="AA21" s="497">
        <f t="shared" si="7"/>
        <v>0.4</v>
      </c>
      <c r="AB21" s="487" t="s">
        <v>635</v>
      </c>
      <c r="AC21" s="487" t="s">
        <v>134</v>
      </c>
      <c r="AD21" s="487">
        <v>4</v>
      </c>
      <c r="AE21" s="487">
        <v>24</v>
      </c>
      <c r="AF21" s="487"/>
      <c r="AG21" s="487"/>
      <c r="AH21" s="475"/>
      <c r="AI21" s="498">
        <v>89</v>
      </c>
      <c r="AJ21" s="491">
        <f t="shared" si="8"/>
        <v>76.724137931034491</v>
      </c>
      <c r="AK21" s="323">
        <f t="shared" si="9"/>
        <v>0.22018282584269663</v>
      </c>
      <c r="AL21" s="323">
        <f t="shared" si="10"/>
        <v>0.77981717415730334</v>
      </c>
      <c r="AM21" s="317">
        <f t="shared" si="11"/>
        <v>0</v>
      </c>
      <c r="BB21" s="322">
        <v>1</v>
      </c>
      <c r="BC21" s="322">
        <v>1</v>
      </c>
      <c r="BD21" s="322"/>
      <c r="BE21" s="322">
        <v>1</v>
      </c>
      <c r="BF21" s="322">
        <v>1</v>
      </c>
      <c r="BG21" s="322"/>
      <c r="BH21" s="322"/>
      <c r="BI21" s="322"/>
      <c r="BJ21" s="322"/>
      <c r="BK21" s="322">
        <v>9</v>
      </c>
      <c r="BL21" s="322">
        <f t="shared" si="12"/>
        <v>4</v>
      </c>
      <c r="BM21" s="499">
        <f t="shared" si="13"/>
        <v>0.44444444444444442</v>
      </c>
      <c r="BN21" s="361"/>
      <c r="BO21" s="361"/>
      <c r="BP21" s="361"/>
      <c r="BQ21" s="361"/>
      <c r="BR21" s="500">
        <f t="shared" si="14"/>
        <v>0</v>
      </c>
      <c r="BS21" s="360">
        <f t="shared" si="15"/>
        <v>0</v>
      </c>
      <c r="BT21" s="487"/>
      <c r="CJ21" s="325"/>
      <c r="CK21" s="325"/>
      <c r="CL21" s="325"/>
      <c r="CM21" s="325"/>
      <c r="CN21" s="325"/>
      <c r="CO21" s="325"/>
      <c r="CP21" s="327"/>
      <c r="CQ21" s="327"/>
      <c r="CR21" s="328"/>
      <c r="CS21" s="328"/>
      <c r="CT21" s="328"/>
      <c r="CU21" s="328"/>
      <c r="CV21" s="328"/>
      <c r="CW21" s="328"/>
      <c r="CX21" s="328"/>
      <c r="CY21" s="328"/>
      <c r="CZ21" s="328"/>
      <c r="DA21" s="328"/>
    </row>
    <row r="22" spans="1:105" ht="46.5">
      <c r="A22" s="487">
        <v>6</v>
      </c>
      <c r="B22" s="487"/>
      <c r="C22" s="488">
        <v>46241</v>
      </c>
      <c r="D22" s="487" t="s">
        <v>305</v>
      </c>
      <c r="E22" s="489" t="s">
        <v>1218</v>
      </c>
      <c r="F22" s="322" t="s">
        <v>57</v>
      </c>
      <c r="G22" s="487" t="s">
        <v>1222</v>
      </c>
      <c r="H22" s="487" t="s">
        <v>1220</v>
      </c>
      <c r="I22" s="490"/>
      <c r="J22" s="487" t="s">
        <v>1221</v>
      </c>
      <c r="K22" s="487" t="s">
        <v>1198</v>
      </c>
      <c r="L22" s="487" t="s">
        <v>309</v>
      </c>
      <c r="M22" s="487">
        <v>1</v>
      </c>
      <c r="N22" s="491">
        <v>0.78</v>
      </c>
      <c r="O22" s="491">
        <f>N22*'Perry Ellis 2026 Fase 2'!$O$19</f>
        <v>8.5137</v>
      </c>
      <c r="P22" s="491" t="e">
        <f>#REF!*1.1</f>
        <v>#REF!</v>
      </c>
      <c r="Q22" s="491"/>
      <c r="R22" s="491">
        <f t="shared" si="0"/>
        <v>14.43</v>
      </c>
      <c r="S22" s="491">
        <f t="shared" si="1"/>
        <v>0.19500000000000001</v>
      </c>
      <c r="T22" s="491">
        <f>(R22+S22)*15.51%</f>
        <v>2.2683374999999999</v>
      </c>
      <c r="U22" s="492">
        <f t="shared" si="2"/>
        <v>16.893337500000001</v>
      </c>
      <c r="V22" s="493">
        <v>149</v>
      </c>
      <c r="W22" s="491">
        <f t="shared" si="3"/>
        <v>128.44827586206898</v>
      </c>
      <c r="X22" s="494">
        <f t="shared" si="4"/>
        <v>77.068965517241381</v>
      </c>
      <c r="Y22" s="495">
        <f t="shared" si="5"/>
        <v>0.21919766778523492</v>
      </c>
      <c r="Z22" s="497">
        <f t="shared" si="6"/>
        <v>0.78080233221476503</v>
      </c>
      <c r="AA22" s="497">
        <f t="shared" si="7"/>
        <v>0.4</v>
      </c>
      <c r="AB22" s="487" t="s">
        <v>635</v>
      </c>
      <c r="AC22" s="487" t="s">
        <v>134</v>
      </c>
      <c r="AD22" s="487">
        <v>4</v>
      </c>
      <c r="AE22" s="487">
        <v>24</v>
      </c>
      <c r="AF22" s="487"/>
      <c r="AG22" s="487"/>
      <c r="AH22" s="475"/>
      <c r="AI22" s="498">
        <v>89</v>
      </c>
      <c r="AJ22" s="491">
        <f t="shared" si="8"/>
        <v>76.724137931034491</v>
      </c>
      <c r="AK22" s="323">
        <f t="shared" si="9"/>
        <v>0.22018282584269663</v>
      </c>
      <c r="AL22" s="323">
        <f t="shared" si="10"/>
        <v>0.77981717415730334</v>
      </c>
      <c r="AM22" s="317">
        <f t="shared" si="11"/>
        <v>0</v>
      </c>
      <c r="BB22" s="322">
        <v>1</v>
      </c>
      <c r="BC22" s="322">
        <v>1</v>
      </c>
      <c r="BD22" s="322"/>
      <c r="BE22" s="322">
        <v>1</v>
      </c>
      <c r="BF22" s="322">
        <v>1</v>
      </c>
      <c r="BG22" s="322"/>
      <c r="BH22" s="322"/>
      <c r="BI22" s="322"/>
      <c r="BJ22" s="322"/>
      <c r="BK22" s="322">
        <v>9</v>
      </c>
      <c r="BL22" s="322">
        <f t="shared" si="12"/>
        <v>4</v>
      </c>
      <c r="BM22" s="499">
        <f t="shared" si="13"/>
        <v>0.44444444444444442</v>
      </c>
      <c r="BN22" s="361"/>
      <c r="BO22" s="361"/>
      <c r="BP22" s="361"/>
      <c r="BQ22" s="361"/>
      <c r="BR22" s="500">
        <f t="shared" si="14"/>
        <v>0</v>
      </c>
      <c r="BS22" s="360">
        <f t="shared" si="15"/>
        <v>0</v>
      </c>
      <c r="BT22" s="487"/>
      <c r="CJ22" s="325"/>
      <c r="CK22" s="325"/>
      <c r="CL22" s="325"/>
      <c r="CM22" s="325"/>
      <c r="CN22" s="325"/>
      <c r="CO22" s="325"/>
      <c r="CP22" s="327"/>
      <c r="CQ22" s="327"/>
      <c r="CR22" s="328"/>
      <c r="CS22" s="328"/>
      <c r="CT22" s="328"/>
      <c r="CU22" s="328"/>
      <c r="CV22" s="328"/>
      <c r="CW22" s="328"/>
      <c r="CX22" s="328"/>
      <c r="CY22" s="328"/>
      <c r="CZ22" s="328"/>
      <c r="DA22" s="328"/>
    </row>
    <row r="23" spans="1:105" ht="62">
      <c r="A23" s="487">
        <v>7</v>
      </c>
      <c r="B23" s="487">
        <v>1</v>
      </c>
      <c r="C23" s="488">
        <v>46241</v>
      </c>
      <c r="D23" s="487" t="s">
        <v>305</v>
      </c>
      <c r="E23" s="489" t="s">
        <v>1223</v>
      </c>
      <c r="F23" s="322">
        <v>7506110696407</v>
      </c>
      <c r="G23" s="487" t="s">
        <v>1224</v>
      </c>
      <c r="H23" s="487" t="s">
        <v>1225</v>
      </c>
      <c r="I23" s="490" t="s">
        <v>60</v>
      </c>
      <c r="J23" s="487" t="s">
        <v>510</v>
      </c>
      <c r="K23" s="487" t="s">
        <v>1198</v>
      </c>
      <c r="L23" s="487" t="s">
        <v>309</v>
      </c>
      <c r="M23" s="487">
        <v>1</v>
      </c>
      <c r="N23" s="491">
        <v>0.6</v>
      </c>
      <c r="O23" s="491">
        <f>N23*'Perry Ellis 2026 Fase 2'!$O$19</f>
        <v>6.5489999999999995</v>
      </c>
      <c r="P23" s="491">
        <f>N23*1.1</f>
        <v>0.66</v>
      </c>
      <c r="Q23" s="491"/>
      <c r="R23" s="491">
        <f t="shared" si="0"/>
        <v>11.1</v>
      </c>
      <c r="S23" s="491">
        <f t="shared" si="1"/>
        <v>0.15</v>
      </c>
      <c r="T23" s="491">
        <f>(R23+S23)*11.78%</f>
        <v>1.3252499999999998</v>
      </c>
      <c r="U23" s="492">
        <f t="shared" si="2"/>
        <v>12.57525</v>
      </c>
      <c r="V23" s="493">
        <v>199</v>
      </c>
      <c r="W23" s="491">
        <f t="shared" si="3"/>
        <v>171.55172413793105</v>
      </c>
      <c r="X23" s="494">
        <f t="shared" si="4"/>
        <v>102.93103448275862</v>
      </c>
      <c r="Y23" s="495">
        <f t="shared" si="5"/>
        <v>0.12217160804020101</v>
      </c>
      <c r="Z23" s="497">
        <f t="shared" si="6"/>
        <v>0.877828391959799</v>
      </c>
      <c r="AA23" s="497">
        <f t="shared" si="7"/>
        <v>0.4</v>
      </c>
      <c r="AB23" s="487" t="s">
        <v>506</v>
      </c>
      <c r="AC23" s="487" t="s">
        <v>134</v>
      </c>
      <c r="AD23" s="487">
        <v>4</v>
      </c>
      <c r="AE23" s="487">
        <v>48</v>
      </c>
      <c r="AF23" s="487" t="s">
        <v>1210</v>
      </c>
      <c r="AG23" s="360">
        <v>46328</v>
      </c>
      <c r="AH23" s="475"/>
      <c r="AI23" s="498">
        <v>119</v>
      </c>
      <c r="AJ23" s="491">
        <f t="shared" si="8"/>
        <v>102.58620689655173</v>
      </c>
      <c r="AK23" s="323">
        <f t="shared" si="9"/>
        <v>0.12258226890756302</v>
      </c>
      <c r="AL23" s="323">
        <f t="shared" si="10"/>
        <v>0.87741773109243693</v>
      </c>
      <c r="AM23" s="317">
        <f t="shared" si="11"/>
        <v>0</v>
      </c>
      <c r="BB23" s="322">
        <v>1</v>
      </c>
      <c r="BC23" s="322">
        <v>1</v>
      </c>
      <c r="BD23" s="322"/>
      <c r="BE23" s="322">
        <v>1</v>
      </c>
      <c r="BF23" s="322">
        <v>1</v>
      </c>
      <c r="BG23" s="322">
        <v>1</v>
      </c>
      <c r="BH23" s="322"/>
      <c r="BI23" s="322"/>
      <c r="BJ23" s="322"/>
      <c r="BK23" s="322">
        <v>9</v>
      </c>
      <c r="BL23" s="322">
        <f t="shared" si="12"/>
        <v>5</v>
      </c>
      <c r="BM23" s="499">
        <f t="shared" si="13"/>
        <v>0.55555555555555558</v>
      </c>
      <c r="BN23" s="361"/>
      <c r="BO23" s="361"/>
      <c r="BP23" s="361"/>
      <c r="BQ23" s="361"/>
      <c r="BR23" s="500" t="str">
        <f t="shared" si="14"/>
        <v>Se mandó abierto a licencia</v>
      </c>
      <c r="BS23" s="360">
        <f t="shared" si="15"/>
        <v>46328</v>
      </c>
      <c r="BT23" s="487" t="s">
        <v>1215</v>
      </c>
      <c r="CJ23" s="325"/>
      <c r="CK23" s="325"/>
      <c r="CL23" s="325"/>
      <c r="CM23" s="325"/>
      <c r="CN23" s="325"/>
      <c r="CO23" s="325"/>
      <c r="CP23" s="327"/>
      <c r="CQ23" s="327"/>
      <c r="CR23" s="328"/>
      <c r="CS23" s="328"/>
      <c r="CT23" s="328"/>
      <c r="CU23" s="328"/>
      <c r="CV23" s="328"/>
      <c r="CW23" s="328"/>
      <c r="CX23" s="328"/>
      <c r="CY23" s="328"/>
      <c r="CZ23" s="328"/>
      <c r="DA23" s="328"/>
    </row>
    <row r="24" spans="1:105" ht="62">
      <c r="A24" s="487">
        <v>8</v>
      </c>
      <c r="B24" s="487">
        <v>1</v>
      </c>
      <c r="C24" s="488">
        <v>46241</v>
      </c>
      <c r="D24" s="487" t="s">
        <v>305</v>
      </c>
      <c r="E24" s="489" t="s">
        <v>1223</v>
      </c>
      <c r="F24" s="322">
        <v>7506110696414</v>
      </c>
      <c r="G24" s="487" t="s">
        <v>1226</v>
      </c>
      <c r="H24" s="487" t="s">
        <v>1227</v>
      </c>
      <c r="I24" s="490" t="s">
        <v>60</v>
      </c>
      <c r="J24" s="487" t="s">
        <v>510</v>
      </c>
      <c r="K24" s="487" t="s">
        <v>1198</v>
      </c>
      <c r="L24" s="487" t="s">
        <v>309</v>
      </c>
      <c r="M24" s="487">
        <v>1</v>
      </c>
      <c r="N24" s="491">
        <v>0.6</v>
      </c>
      <c r="O24" s="491">
        <f>N24*'Perry Ellis 2026 Fase 2'!$O$19</f>
        <v>6.5489999999999995</v>
      </c>
      <c r="P24" s="491">
        <f>N24*1.1</f>
        <v>0.66</v>
      </c>
      <c r="Q24" s="491"/>
      <c r="R24" s="491">
        <f t="shared" si="0"/>
        <v>11.1</v>
      </c>
      <c r="S24" s="491">
        <f t="shared" si="1"/>
        <v>0.15</v>
      </c>
      <c r="T24" s="491">
        <f>(R24+S24)*11.78%</f>
        <v>1.3252499999999998</v>
      </c>
      <c r="U24" s="492">
        <f t="shared" si="2"/>
        <v>12.57525</v>
      </c>
      <c r="V24" s="493">
        <v>199</v>
      </c>
      <c r="W24" s="491">
        <f t="shared" si="3"/>
        <v>171.55172413793105</v>
      </c>
      <c r="X24" s="494">
        <f t="shared" si="4"/>
        <v>102.93103448275862</v>
      </c>
      <c r="Y24" s="495">
        <f t="shared" si="5"/>
        <v>0.12217160804020101</v>
      </c>
      <c r="Z24" s="497">
        <f t="shared" si="6"/>
        <v>0.877828391959799</v>
      </c>
      <c r="AA24" s="497">
        <f t="shared" si="7"/>
        <v>0.4</v>
      </c>
      <c r="AB24" s="487" t="s">
        <v>506</v>
      </c>
      <c r="AC24" s="487" t="s">
        <v>134</v>
      </c>
      <c r="AD24" s="487">
        <v>4</v>
      </c>
      <c r="AE24" s="487">
        <v>48</v>
      </c>
      <c r="AF24" s="487" t="s">
        <v>1210</v>
      </c>
      <c r="AG24" s="360">
        <v>46328</v>
      </c>
      <c r="AH24" s="475"/>
      <c r="AI24" s="498">
        <v>119</v>
      </c>
      <c r="AJ24" s="491">
        <f t="shared" si="8"/>
        <v>102.58620689655173</v>
      </c>
      <c r="AK24" s="323">
        <f t="shared" si="9"/>
        <v>0.12258226890756302</v>
      </c>
      <c r="AL24" s="323">
        <f t="shared" si="10"/>
        <v>0.87741773109243693</v>
      </c>
      <c r="AM24" s="317">
        <f t="shared" si="11"/>
        <v>0</v>
      </c>
      <c r="BB24" s="322">
        <v>1</v>
      </c>
      <c r="BC24" s="322">
        <v>1</v>
      </c>
      <c r="BD24" s="322"/>
      <c r="BE24" s="322">
        <v>1</v>
      </c>
      <c r="BF24" s="322">
        <v>1</v>
      </c>
      <c r="BG24" s="322">
        <v>1</v>
      </c>
      <c r="BH24" s="322"/>
      <c r="BI24" s="322"/>
      <c r="BJ24" s="322"/>
      <c r="BK24" s="322">
        <v>9</v>
      </c>
      <c r="BL24" s="322">
        <f t="shared" si="12"/>
        <v>5</v>
      </c>
      <c r="BM24" s="499">
        <f t="shared" si="13"/>
        <v>0.55555555555555558</v>
      </c>
      <c r="BN24" s="361"/>
      <c r="BO24" s="361"/>
      <c r="BP24" s="361"/>
      <c r="BQ24" s="361"/>
      <c r="BR24" s="500" t="str">
        <f t="shared" si="14"/>
        <v>Se mandó abierto a licencia</v>
      </c>
      <c r="BS24" s="360">
        <f t="shared" si="15"/>
        <v>46328</v>
      </c>
      <c r="BT24" s="487" t="s">
        <v>1215</v>
      </c>
      <c r="CJ24" s="325"/>
      <c r="CK24" s="325"/>
      <c r="CL24" s="325"/>
      <c r="CM24" s="325"/>
      <c r="CN24" s="325"/>
      <c r="CO24" s="325"/>
      <c r="CP24" s="327"/>
      <c r="CQ24" s="327"/>
      <c r="CR24" s="328"/>
      <c r="CS24" s="328"/>
      <c r="CT24" s="328"/>
      <c r="CU24" s="328"/>
      <c r="CV24" s="328"/>
      <c r="CW24" s="328"/>
      <c r="CX24" s="328"/>
      <c r="CY24" s="328"/>
      <c r="CZ24" s="328"/>
      <c r="DA24" s="328"/>
    </row>
    <row r="25" spans="1:105" ht="31">
      <c r="A25" s="487">
        <v>9</v>
      </c>
      <c r="B25" s="487">
        <v>1</v>
      </c>
      <c r="C25" s="488">
        <v>46241</v>
      </c>
      <c r="D25" s="487" t="s">
        <v>305</v>
      </c>
      <c r="E25" s="489" t="s">
        <v>1223</v>
      </c>
      <c r="F25" s="322">
        <v>7506110696421</v>
      </c>
      <c r="G25" s="487" t="s">
        <v>1228</v>
      </c>
      <c r="H25" s="487" t="s">
        <v>1229</v>
      </c>
      <c r="I25" s="490" t="s">
        <v>60</v>
      </c>
      <c r="J25" s="487" t="s">
        <v>526</v>
      </c>
      <c r="K25" s="487" t="s">
        <v>1198</v>
      </c>
      <c r="L25" s="487" t="s">
        <v>309</v>
      </c>
      <c r="M25" s="487">
        <v>1</v>
      </c>
      <c r="N25" s="491">
        <v>1.1000000000000001</v>
      </c>
      <c r="O25" s="491">
        <f>N25*'Perry Ellis 2026 Fase 2'!$O$19</f>
        <v>12.006500000000001</v>
      </c>
      <c r="P25" s="491">
        <f>N25*1.2</f>
        <v>1.32</v>
      </c>
      <c r="Q25" s="491"/>
      <c r="R25" s="491">
        <f t="shared" si="0"/>
        <v>20.350000000000001</v>
      </c>
      <c r="S25" s="491">
        <f>R25*0.25</f>
        <v>5.0875000000000004</v>
      </c>
      <c r="T25" s="491">
        <f>(R25+S25)*48.41%</f>
        <v>12.314293749999999</v>
      </c>
      <c r="U25" s="492">
        <f t="shared" si="2"/>
        <v>37.751793749999997</v>
      </c>
      <c r="V25" s="493">
        <v>199</v>
      </c>
      <c r="W25" s="491">
        <f t="shared" si="3"/>
        <v>171.55172413793105</v>
      </c>
      <c r="X25" s="494">
        <f t="shared" si="4"/>
        <v>102.93103448275862</v>
      </c>
      <c r="Y25" s="495">
        <f t="shared" si="5"/>
        <v>0.36676784547738689</v>
      </c>
      <c r="Z25" s="497">
        <f t="shared" si="6"/>
        <v>0.63323215452261317</v>
      </c>
      <c r="AA25" s="497">
        <f t="shared" si="7"/>
        <v>0.4</v>
      </c>
      <c r="AB25" s="487" t="s">
        <v>556</v>
      </c>
      <c r="AC25" s="487" t="s">
        <v>134</v>
      </c>
      <c r="AD25" s="487"/>
      <c r="AE25" s="487"/>
      <c r="AF25" s="487"/>
      <c r="AG25" s="487"/>
      <c r="AH25" s="475"/>
      <c r="AI25" s="498">
        <v>119</v>
      </c>
      <c r="AJ25" s="491">
        <f t="shared" si="8"/>
        <v>102.58620689655173</v>
      </c>
      <c r="AK25" s="323">
        <f t="shared" si="9"/>
        <v>0.36800067857142854</v>
      </c>
      <c r="AL25" s="323">
        <f t="shared" si="10"/>
        <v>0.63199932142857151</v>
      </c>
      <c r="AM25" s="317">
        <f t="shared" si="11"/>
        <v>0</v>
      </c>
      <c r="BB25" s="322">
        <v>1</v>
      </c>
      <c r="BC25" s="322">
        <v>1</v>
      </c>
      <c r="BD25" s="322"/>
      <c r="BE25" s="322">
        <v>1</v>
      </c>
      <c r="BF25" s="322">
        <v>1</v>
      </c>
      <c r="BG25" s="322"/>
      <c r="BH25" s="322"/>
      <c r="BI25" s="322"/>
      <c r="BJ25" s="322"/>
      <c r="BK25" s="322">
        <v>9</v>
      </c>
      <c r="BL25" s="322">
        <f t="shared" si="12"/>
        <v>4</v>
      </c>
      <c r="BM25" s="499">
        <f t="shared" si="13"/>
        <v>0.44444444444444442</v>
      </c>
      <c r="BN25" s="361"/>
      <c r="BO25" s="361"/>
      <c r="BP25" s="361"/>
      <c r="BQ25" s="361"/>
      <c r="BR25" s="500">
        <f t="shared" si="14"/>
        <v>0</v>
      </c>
      <c r="BS25" s="360">
        <f t="shared" si="15"/>
        <v>0</v>
      </c>
      <c r="BT25" s="487"/>
      <c r="CJ25" s="325"/>
      <c r="CK25" s="325"/>
      <c r="CL25" s="325"/>
      <c r="CM25" s="325"/>
      <c r="CN25" s="325"/>
      <c r="CO25" s="325"/>
      <c r="CP25" s="327"/>
      <c r="CQ25" s="327"/>
      <c r="CR25" s="328"/>
      <c r="CS25" s="328"/>
      <c r="CT25" s="328"/>
      <c r="CU25" s="328"/>
      <c r="CV25" s="328"/>
      <c r="CW25" s="328"/>
      <c r="CX25" s="328"/>
      <c r="CY25" s="328"/>
      <c r="CZ25" s="328"/>
      <c r="DA25" s="328"/>
    </row>
    <row r="26" spans="1:105" ht="108.5">
      <c r="A26" s="487">
        <v>10</v>
      </c>
      <c r="B26" s="487">
        <v>1</v>
      </c>
      <c r="C26" s="488">
        <v>46241</v>
      </c>
      <c r="D26" s="487" t="s">
        <v>305</v>
      </c>
      <c r="E26" s="489" t="s">
        <v>1223</v>
      </c>
      <c r="F26" s="322">
        <v>7506110696438</v>
      </c>
      <c r="G26" s="487" t="s">
        <v>1230</v>
      </c>
      <c r="H26" s="487" t="s">
        <v>1231</v>
      </c>
      <c r="I26" s="490"/>
      <c r="J26" s="487" t="s">
        <v>1232</v>
      </c>
      <c r="K26" s="487" t="s">
        <v>1198</v>
      </c>
      <c r="L26" s="487" t="s">
        <v>309</v>
      </c>
      <c r="M26" s="487">
        <v>1</v>
      </c>
      <c r="N26" s="491">
        <v>0.7</v>
      </c>
      <c r="O26" s="491">
        <v>15.09</v>
      </c>
      <c r="P26" s="491">
        <f>N26*1.1</f>
        <v>0.77</v>
      </c>
      <c r="Q26" s="491"/>
      <c r="R26" s="491">
        <f t="shared" si="0"/>
        <v>12.95</v>
      </c>
      <c r="S26" s="491">
        <f>R26*0.25</f>
        <v>3.2374999999999998</v>
      </c>
      <c r="T26" s="491">
        <f>(R26+S26)*12.25%</f>
        <v>1.9829687499999999</v>
      </c>
      <c r="U26" s="492">
        <f t="shared" si="2"/>
        <v>18.170468750000001</v>
      </c>
      <c r="V26" s="493">
        <v>159</v>
      </c>
      <c r="W26" s="491">
        <f t="shared" si="3"/>
        <v>137.06896551724139</v>
      </c>
      <c r="X26" s="494">
        <f t="shared" si="4"/>
        <v>82.24137931034484</v>
      </c>
      <c r="Y26" s="495">
        <f t="shared" si="5"/>
        <v>0.22094071016771485</v>
      </c>
      <c r="Z26" s="497">
        <f t="shared" si="6"/>
        <v>0.77905928983228512</v>
      </c>
      <c r="AA26" s="497">
        <f t="shared" si="7"/>
        <v>0.4</v>
      </c>
      <c r="AB26" s="487" t="s">
        <v>506</v>
      </c>
      <c r="AC26" s="487" t="s">
        <v>134</v>
      </c>
      <c r="AD26" s="487">
        <v>6</v>
      </c>
      <c r="AE26" s="487">
        <v>6</v>
      </c>
      <c r="AF26" s="487" t="s">
        <v>1233</v>
      </c>
      <c r="AG26" s="360">
        <v>46335</v>
      </c>
      <c r="AH26" s="475"/>
      <c r="AI26" s="498">
        <v>120</v>
      </c>
      <c r="AJ26" s="491">
        <f t="shared" si="8"/>
        <v>103.44827586206897</v>
      </c>
      <c r="AK26" s="323">
        <f t="shared" si="9"/>
        <v>0.17564786458333334</v>
      </c>
      <c r="AL26" s="323">
        <f t="shared" si="10"/>
        <v>0.82435213541666663</v>
      </c>
      <c r="AM26" s="317">
        <f t="shared" si="11"/>
        <v>0</v>
      </c>
      <c r="BB26" s="322">
        <v>1</v>
      </c>
      <c r="BC26" s="322">
        <v>1</v>
      </c>
      <c r="BD26" s="322"/>
      <c r="BE26" s="322">
        <v>1</v>
      </c>
      <c r="BF26" s="322">
        <v>1</v>
      </c>
      <c r="BG26" s="322"/>
      <c r="BH26" s="322"/>
      <c r="BI26" s="322"/>
      <c r="BJ26" s="322"/>
      <c r="BK26" s="322">
        <v>9</v>
      </c>
      <c r="BL26" s="322">
        <f t="shared" si="12"/>
        <v>4</v>
      </c>
      <c r="BM26" s="499">
        <f t="shared" si="13"/>
        <v>0.44444444444444442</v>
      </c>
      <c r="BN26" s="361"/>
      <c r="BO26" s="361"/>
      <c r="BP26" s="361"/>
      <c r="BQ26" s="361"/>
      <c r="BR26" s="500" t="str">
        <f t="shared" si="14"/>
        <v>En elaboración de archivos de impresión</v>
      </c>
      <c r="BS26" s="360">
        <f t="shared" si="15"/>
        <v>46335</v>
      </c>
      <c r="BT26" s="487"/>
      <c r="CJ26" s="325"/>
      <c r="CK26" s="325"/>
      <c r="CL26" s="325"/>
      <c r="CM26" s="325"/>
      <c r="CN26" s="325"/>
      <c r="CO26" s="325"/>
      <c r="CP26" s="327"/>
      <c r="CQ26" s="327"/>
      <c r="CR26" s="328"/>
      <c r="CS26" s="328"/>
      <c r="CT26" s="328"/>
      <c r="CU26" s="328"/>
      <c r="CV26" s="328"/>
      <c r="CW26" s="328"/>
      <c r="CX26" s="328"/>
      <c r="CY26" s="328"/>
      <c r="CZ26" s="328"/>
      <c r="DA26" s="328"/>
    </row>
    <row r="27" spans="1:105" ht="108.5">
      <c r="A27" s="487">
        <v>11</v>
      </c>
      <c r="B27" s="487">
        <v>1</v>
      </c>
      <c r="C27" s="488">
        <v>46241</v>
      </c>
      <c r="D27" s="487" t="s">
        <v>305</v>
      </c>
      <c r="E27" s="489" t="s">
        <v>1223</v>
      </c>
      <c r="F27" s="322">
        <v>7506110696452</v>
      </c>
      <c r="G27" s="487" t="s">
        <v>1234</v>
      </c>
      <c r="H27" s="487" t="s">
        <v>1235</v>
      </c>
      <c r="I27" s="490" t="s">
        <v>60</v>
      </c>
      <c r="J27" s="487" t="s">
        <v>1236</v>
      </c>
      <c r="K27" s="487" t="s">
        <v>1198</v>
      </c>
      <c r="L27" s="487" t="s">
        <v>309</v>
      </c>
      <c r="M27" s="487">
        <v>1</v>
      </c>
      <c r="N27" s="491">
        <v>0.8</v>
      </c>
      <c r="O27" s="491">
        <f>N27*'Perry Ellis 2026 Fase 2'!$O$19</f>
        <v>8.7319999999999993</v>
      </c>
      <c r="P27" s="491">
        <f>N27*1.1</f>
        <v>0.88000000000000012</v>
      </c>
      <c r="Q27" s="491"/>
      <c r="R27" s="491">
        <f t="shared" si="0"/>
        <v>14.8</v>
      </c>
      <c r="S27" s="491">
        <f>R27*0.25</f>
        <v>3.7</v>
      </c>
      <c r="T27" s="491">
        <f>(R27+S27)*7.67%</f>
        <v>1.4189500000000002</v>
      </c>
      <c r="U27" s="492">
        <f t="shared" si="2"/>
        <v>19.918949999999999</v>
      </c>
      <c r="V27" s="493">
        <v>199</v>
      </c>
      <c r="W27" s="491">
        <f t="shared" si="3"/>
        <v>171.55172413793105</v>
      </c>
      <c r="X27" s="494">
        <f t="shared" si="4"/>
        <v>102.93103448275862</v>
      </c>
      <c r="Y27" s="495">
        <f t="shared" si="5"/>
        <v>0.19351743718592965</v>
      </c>
      <c r="Z27" s="497">
        <f t="shared" si="6"/>
        <v>0.80648256281407038</v>
      </c>
      <c r="AA27" s="497">
        <f t="shared" si="7"/>
        <v>0.4</v>
      </c>
      <c r="AB27" s="487" t="s">
        <v>506</v>
      </c>
      <c r="AC27" s="487" t="s">
        <v>134</v>
      </c>
      <c r="AD27" s="487"/>
      <c r="AE27" s="487"/>
      <c r="AF27" s="487" t="s">
        <v>1233</v>
      </c>
      <c r="AG27" s="360">
        <v>46335</v>
      </c>
      <c r="AH27" s="475"/>
      <c r="AI27" s="498">
        <v>119</v>
      </c>
      <c r="AJ27" s="491">
        <f t="shared" si="8"/>
        <v>102.58620689655173</v>
      </c>
      <c r="AK27" s="323">
        <f t="shared" si="9"/>
        <v>0.19416791596638652</v>
      </c>
      <c r="AL27" s="323">
        <f t="shared" si="10"/>
        <v>0.8058320840336135</v>
      </c>
      <c r="AM27" s="317">
        <f t="shared" si="11"/>
        <v>0</v>
      </c>
      <c r="BB27" s="322">
        <v>1</v>
      </c>
      <c r="BC27" s="322">
        <v>1</v>
      </c>
      <c r="BD27" s="322"/>
      <c r="BE27" s="322">
        <v>1</v>
      </c>
      <c r="BF27" s="322">
        <v>1</v>
      </c>
      <c r="BG27" s="322"/>
      <c r="BH27" s="322"/>
      <c r="BI27" s="322"/>
      <c r="BJ27" s="322"/>
      <c r="BK27" s="322">
        <v>9</v>
      </c>
      <c r="BL27" s="322">
        <f t="shared" si="12"/>
        <v>4</v>
      </c>
      <c r="BM27" s="499">
        <f t="shared" si="13"/>
        <v>0.44444444444444442</v>
      </c>
      <c r="BN27" s="361"/>
      <c r="BO27" s="361"/>
      <c r="BP27" s="361"/>
      <c r="BQ27" s="361"/>
      <c r="BR27" s="500" t="str">
        <f t="shared" si="14"/>
        <v>En elaboración de archivos de impresión</v>
      </c>
      <c r="BS27" s="360">
        <f t="shared" si="15"/>
        <v>46335</v>
      </c>
      <c r="BT27" s="487"/>
      <c r="CJ27" s="325"/>
      <c r="CK27" s="325"/>
      <c r="CL27" s="325"/>
      <c r="CM27" s="325"/>
      <c r="CN27" s="325"/>
      <c r="CO27" s="325"/>
      <c r="CP27" s="327"/>
      <c r="CQ27" s="327"/>
      <c r="CR27" s="328"/>
      <c r="CS27" s="328"/>
      <c r="CT27" s="328"/>
      <c r="CU27" s="328"/>
      <c r="CV27" s="328"/>
      <c r="CW27" s="328"/>
      <c r="CX27" s="328"/>
      <c r="CY27" s="328"/>
      <c r="CZ27" s="328"/>
      <c r="DA27" s="328"/>
    </row>
    <row r="28" spans="1:105" ht="108.5">
      <c r="A28" s="487">
        <v>12</v>
      </c>
      <c r="B28" s="487">
        <v>1</v>
      </c>
      <c r="C28" s="488">
        <v>46241</v>
      </c>
      <c r="D28" s="487" t="s">
        <v>305</v>
      </c>
      <c r="E28" s="489" t="s">
        <v>1223</v>
      </c>
      <c r="F28" s="322">
        <v>7506110696469</v>
      </c>
      <c r="G28" s="487" t="s">
        <v>1237</v>
      </c>
      <c r="H28" s="487" t="s">
        <v>1238</v>
      </c>
      <c r="I28" s="490" t="s">
        <v>60</v>
      </c>
      <c r="J28" s="487" t="s">
        <v>1239</v>
      </c>
      <c r="K28" s="487" t="s">
        <v>1198</v>
      </c>
      <c r="L28" s="487" t="s">
        <v>309</v>
      </c>
      <c r="M28" s="487">
        <v>1</v>
      </c>
      <c r="N28" s="491">
        <v>0.25</v>
      </c>
      <c r="O28" s="491">
        <f>N28*'Perry Ellis 2026 Fase 2'!$O$19</f>
        <v>2.7287499999999998</v>
      </c>
      <c r="P28" s="491">
        <f>N28*1.1</f>
        <v>0.27500000000000002</v>
      </c>
      <c r="Q28" s="491"/>
      <c r="R28" s="491">
        <f t="shared" si="0"/>
        <v>4.625</v>
      </c>
      <c r="S28" s="491">
        <f>R28*0.36</f>
        <v>1.665</v>
      </c>
      <c r="T28" s="491">
        <f>(R28+S28)*24.03%</f>
        <v>1.511487</v>
      </c>
      <c r="U28" s="492">
        <f t="shared" si="2"/>
        <v>7.8014869999999998</v>
      </c>
      <c r="V28" s="493">
        <v>69</v>
      </c>
      <c r="W28" s="491">
        <f t="shared" si="3"/>
        <v>59.482758620689658</v>
      </c>
      <c r="X28" s="494">
        <f t="shared" si="4"/>
        <v>35.689655172413794</v>
      </c>
      <c r="Y28" s="495">
        <f t="shared" si="5"/>
        <v>0.21859238937198067</v>
      </c>
      <c r="Z28" s="497">
        <f t="shared" si="6"/>
        <v>0.78140761062801933</v>
      </c>
      <c r="AA28" s="497">
        <f t="shared" si="7"/>
        <v>0.4</v>
      </c>
      <c r="AB28" s="487" t="s">
        <v>312</v>
      </c>
      <c r="AC28" s="487" t="s">
        <v>134</v>
      </c>
      <c r="AD28" s="487">
        <v>6</v>
      </c>
      <c r="AE28" s="487">
        <v>144</v>
      </c>
      <c r="AF28" s="487" t="s">
        <v>1233</v>
      </c>
      <c r="AG28" s="360">
        <v>46335</v>
      </c>
      <c r="AH28" s="475"/>
      <c r="AI28" s="498">
        <v>39</v>
      </c>
      <c r="AJ28" s="491">
        <f t="shared" si="8"/>
        <v>33.620689655172413</v>
      </c>
      <c r="AK28" s="323">
        <f t="shared" si="9"/>
        <v>0.23204422871794872</v>
      </c>
      <c r="AL28" s="323">
        <f t="shared" si="10"/>
        <v>0.76795577128205128</v>
      </c>
      <c r="AM28" s="317">
        <f t="shared" si="11"/>
        <v>0</v>
      </c>
      <c r="BB28" s="322">
        <v>1</v>
      </c>
      <c r="BC28" s="322">
        <v>1</v>
      </c>
      <c r="BD28" s="322"/>
      <c r="BE28" s="322">
        <v>1</v>
      </c>
      <c r="BF28" s="322">
        <v>1</v>
      </c>
      <c r="BG28" s="322"/>
      <c r="BH28" s="322"/>
      <c r="BI28" s="322"/>
      <c r="BJ28" s="322"/>
      <c r="BK28" s="322">
        <v>9</v>
      </c>
      <c r="BL28" s="322">
        <f t="shared" si="12"/>
        <v>4</v>
      </c>
      <c r="BM28" s="499">
        <f t="shared" si="13"/>
        <v>0.44444444444444442</v>
      </c>
      <c r="BN28" s="361"/>
      <c r="BO28" s="361"/>
      <c r="BP28" s="361"/>
      <c r="BQ28" s="361"/>
      <c r="BR28" s="500" t="str">
        <f t="shared" si="14"/>
        <v>En elaboración de archivos de impresión</v>
      </c>
      <c r="BS28" s="360">
        <f t="shared" si="15"/>
        <v>46335</v>
      </c>
      <c r="BT28" s="487"/>
      <c r="CJ28" s="325"/>
      <c r="CK28" s="325"/>
      <c r="CL28" s="325"/>
      <c r="CM28" s="325"/>
      <c r="CN28" s="325"/>
      <c r="CO28" s="325"/>
      <c r="CP28" s="327"/>
      <c r="CQ28" s="327"/>
      <c r="CR28" s="328"/>
      <c r="CS28" s="328"/>
      <c r="CT28" s="328"/>
      <c r="CU28" s="328"/>
      <c r="CV28" s="328"/>
      <c r="CW28" s="328"/>
      <c r="CX28" s="328"/>
      <c r="CY28" s="328"/>
      <c r="CZ28" s="328"/>
      <c r="DA28" s="328"/>
    </row>
    <row r="29" spans="1:105" ht="31">
      <c r="A29" s="487">
        <v>13</v>
      </c>
      <c r="B29" s="487">
        <v>1</v>
      </c>
      <c r="C29" s="488">
        <v>46241</v>
      </c>
      <c r="D29" s="487" t="s">
        <v>305</v>
      </c>
      <c r="E29" s="489" t="s">
        <v>1223</v>
      </c>
      <c r="F29" s="322" t="s">
        <v>57</v>
      </c>
      <c r="G29" s="487" t="s">
        <v>1240</v>
      </c>
      <c r="H29" s="487" t="s">
        <v>1241</v>
      </c>
      <c r="I29" s="490"/>
      <c r="J29" s="487" t="s">
        <v>1242</v>
      </c>
      <c r="K29" s="487" t="s">
        <v>1198</v>
      </c>
      <c r="L29" s="487" t="s">
        <v>309</v>
      </c>
      <c r="M29" s="487" t="s">
        <v>1243</v>
      </c>
      <c r="N29" s="491">
        <v>1.4</v>
      </c>
      <c r="O29" s="491">
        <f>N29*'Perry Ellis 2026 Fase 2'!$O$19</f>
        <v>15.280999999999997</v>
      </c>
      <c r="P29" s="491">
        <f>N29*1.15</f>
        <v>1.6099999999999999</v>
      </c>
      <c r="Q29" s="491"/>
      <c r="R29" s="491">
        <f t="shared" si="0"/>
        <v>25.9</v>
      </c>
      <c r="S29" s="491">
        <f>R29*0.15</f>
        <v>3.8849999999999998</v>
      </c>
      <c r="T29" s="491">
        <f>(R29+S29)*3.56%</f>
        <v>1.0603459999999998</v>
      </c>
      <c r="U29" s="492">
        <f t="shared" si="2"/>
        <v>30.845345999999996</v>
      </c>
      <c r="V29" s="493">
        <v>149</v>
      </c>
      <c r="W29" s="491">
        <f t="shared" si="3"/>
        <v>128.44827586206898</v>
      </c>
      <c r="X29" s="494">
        <f t="shared" si="4"/>
        <v>77.068965517241381</v>
      </c>
      <c r="Y29" s="495">
        <f t="shared" si="5"/>
        <v>0.40023044026845633</v>
      </c>
      <c r="Z29" s="497">
        <f t="shared" si="6"/>
        <v>0.59976955973154367</v>
      </c>
      <c r="AA29" s="497">
        <f t="shared" si="7"/>
        <v>0.4</v>
      </c>
      <c r="AB29" s="487" t="s">
        <v>556</v>
      </c>
      <c r="AC29" s="487" t="s">
        <v>134</v>
      </c>
      <c r="AD29" s="487"/>
      <c r="AE29" s="487"/>
      <c r="AF29" s="487"/>
      <c r="AG29" s="487"/>
      <c r="AH29" s="475"/>
      <c r="AI29" s="498">
        <v>89</v>
      </c>
      <c r="AJ29" s="491">
        <f t="shared" si="8"/>
        <v>76.724137931034491</v>
      </c>
      <c r="AK29" s="323">
        <f t="shared" si="9"/>
        <v>0.40202922876404484</v>
      </c>
      <c r="AL29" s="323">
        <f t="shared" si="10"/>
        <v>0.59797077123595521</v>
      </c>
      <c r="AM29" s="317">
        <f t="shared" si="11"/>
        <v>0</v>
      </c>
      <c r="BB29" s="322">
        <v>1</v>
      </c>
      <c r="BC29" s="322">
        <v>1</v>
      </c>
      <c r="BD29" s="322"/>
      <c r="BE29" s="322">
        <v>1</v>
      </c>
      <c r="BF29" s="322">
        <v>1</v>
      </c>
      <c r="BG29" s="322"/>
      <c r="BH29" s="322"/>
      <c r="BI29" s="322"/>
      <c r="BJ29" s="322"/>
      <c r="BK29" s="322">
        <v>9</v>
      </c>
      <c r="BL29" s="322">
        <f t="shared" si="12"/>
        <v>4</v>
      </c>
      <c r="BM29" s="499">
        <f t="shared" si="13"/>
        <v>0.44444444444444442</v>
      </c>
      <c r="BN29" s="361"/>
      <c r="BO29" s="361"/>
      <c r="BP29" s="361"/>
      <c r="BQ29" s="361"/>
      <c r="BR29" s="500">
        <f t="shared" si="14"/>
        <v>0</v>
      </c>
      <c r="BS29" s="360">
        <f t="shared" si="15"/>
        <v>0</v>
      </c>
      <c r="BT29" s="487"/>
      <c r="CJ29" s="325"/>
      <c r="CK29" s="325"/>
      <c r="CL29" s="325"/>
      <c r="CM29" s="325"/>
      <c r="CN29" s="325"/>
      <c r="CO29" s="325"/>
      <c r="CP29" s="327"/>
      <c r="CQ29" s="327"/>
      <c r="CR29" s="328"/>
      <c r="CS29" s="328"/>
      <c r="CT29" s="328"/>
      <c r="CU29" s="328"/>
      <c r="CV29" s="328"/>
      <c r="CW29" s="328"/>
      <c r="CX29" s="328"/>
      <c r="CY29" s="328"/>
      <c r="CZ29" s="328"/>
      <c r="DA29" s="328"/>
    </row>
    <row r="30" spans="1:105" ht="108.5">
      <c r="A30" s="487">
        <v>14</v>
      </c>
      <c r="B30" s="487"/>
      <c r="C30" s="488">
        <v>46241</v>
      </c>
      <c r="D30" s="487" t="s">
        <v>305</v>
      </c>
      <c r="E30" s="489" t="s">
        <v>1223</v>
      </c>
      <c r="F30" s="322" t="s">
        <v>57</v>
      </c>
      <c r="G30" s="487" t="s">
        <v>1244</v>
      </c>
      <c r="H30" s="487" t="s">
        <v>1245</v>
      </c>
      <c r="I30" s="490"/>
      <c r="J30" s="487" t="s">
        <v>1246</v>
      </c>
      <c r="K30" s="487" t="s">
        <v>1198</v>
      </c>
      <c r="L30" s="487" t="s">
        <v>309</v>
      </c>
      <c r="M30" s="487" t="s">
        <v>1243</v>
      </c>
      <c r="N30" s="491"/>
      <c r="O30" s="491"/>
      <c r="P30" s="491"/>
      <c r="Q30" s="491"/>
      <c r="R30" s="491"/>
      <c r="S30" s="491"/>
      <c r="T30" s="491"/>
      <c r="U30" s="492"/>
      <c r="V30" s="493"/>
      <c r="W30" s="491"/>
      <c r="X30" s="494"/>
      <c r="Y30" s="495"/>
      <c r="Z30" s="497"/>
      <c r="AA30" s="497"/>
      <c r="AB30" s="487" t="s">
        <v>556</v>
      </c>
      <c r="AC30" s="487" t="s">
        <v>134</v>
      </c>
      <c r="AD30" s="487"/>
      <c r="AE30" s="487"/>
      <c r="AF30" s="487" t="s">
        <v>1233</v>
      </c>
      <c r="AG30" s="360">
        <v>46335</v>
      </c>
      <c r="AH30" s="475"/>
      <c r="AI30" s="498"/>
      <c r="AJ30" s="491">
        <f t="shared" si="8"/>
        <v>0</v>
      </c>
      <c r="AK30" s="323" t="e">
        <f t="shared" si="9"/>
        <v>#DIV/0!</v>
      </c>
      <c r="AL30" s="323" t="e">
        <f t="shared" si="10"/>
        <v>#DIV/0!</v>
      </c>
      <c r="AM30" s="317" t="e">
        <f t="shared" si="11"/>
        <v>#DIV/0!</v>
      </c>
      <c r="BB30" s="322">
        <v>1</v>
      </c>
      <c r="BC30" s="322">
        <v>1</v>
      </c>
      <c r="BD30" s="322"/>
      <c r="BE30" s="322">
        <v>1</v>
      </c>
      <c r="BF30" s="322">
        <v>1</v>
      </c>
      <c r="BG30" s="322"/>
      <c r="BH30" s="322"/>
      <c r="BI30" s="322"/>
      <c r="BJ30" s="322"/>
      <c r="BK30" s="322">
        <v>9</v>
      </c>
      <c r="BL30" s="322">
        <f t="shared" si="12"/>
        <v>4</v>
      </c>
      <c r="BM30" s="499">
        <f t="shared" si="13"/>
        <v>0.44444444444444442</v>
      </c>
      <c r="BN30" s="361"/>
      <c r="BO30" s="361"/>
      <c r="BP30" s="361"/>
      <c r="BQ30" s="361"/>
      <c r="BR30" s="500" t="str">
        <f t="shared" si="14"/>
        <v>En elaboración de archivos de impresión</v>
      </c>
      <c r="BS30" s="360">
        <f t="shared" si="15"/>
        <v>46335</v>
      </c>
      <c r="BT30" s="487"/>
      <c r="CJ30" s="325"/>
      <c r="CK30" s="325"/>
      <c r="CL30" s="325"/>
      <c r="CM30" s="325"/>
      <c r="CN30" s="325"/>
      <c r="CO30" s="325"/>
      <c r="CP30" s="327"/>
      <c r="CQ30" s="327"/>
      <c r="CR30" s="328"/>
      <c r="CS30" s="328"/>
      <c r="CT30" s="328"/>
      <c r="CU30" s="328"/>
      <c r="CV30" s="328"/>
      <c r="CW30" s="328"/>
      <c r="CX30" s="328"/>
      <c r="CY30" s="328"/>
      <c r="CZ30" s="328"/>
      <c r="DA30" s="328"/>
    </row>
    <row r="31" spans="1:105" ht="31">
      <c r="A31" s="487">
        <v>15</v>
      </c>
      <c r="B31" s="487">
        <v>1</v>
      </c>
      <c r="C31" s="488">
        <v>46241</v>
      </c>
      <c r="D31" s="487" t="s">
        <v>305</v>
      </c>
      <c r="E31" s="489" t="s">
        <v>1223</v>
      </c>
      <c r="F31" s="322">
        <v>7506110696513</v>
      </c>
      <c r="G31" s="487" t="s">
        <v>1247</v>
      </c>
      <c r="H31" s="487" t="s">
        <v>1248</v>
      </c>
      <c r="I31" s="490"/>
      <c r="J31" s="487" t="s">
        <v>1249</v>
      </c>
      <c r="K31" s="487" t="s">
        <v>1198</v>
      </c>
      <c r="L31" s="487" t="s">
        <v>309</v>
      </c>
      <c r="M31" s="487">
        <v>1</v>
      </c>
      <c r="N31" s="491">
        <v>0.5</v>
      </c>
      <c r="O31" s="491">
        <f>N31*'Perry Ellis 2026 Fase 2'!$O$19</f>
        <v>5.4574999999999996</v>
      </c>
      <c r="P31" s="491">
        <f>N31*1.15</f>
        <v>0.57499999999999996</v>
      </c>
      <c r="Q31" s="491"/>
      <c r="R31" s="491" t="e">
        <f>N31*#REF!</f>
        <v>#REF!</v>
      </c>
      <c r="S31" s="491" t="e">
        <f>R31*0.15</f>
        <v>#REF!</v>
      </c>
      <c r="T31" s="491" t="e">
        <f>(R31+S31)*54.88%</f>
        <v>#REF!</v>
      </c>
      <c r="U31" s="492" t="e">
        <f>R31+S31+T31</f>
        <v>#REF!</v>
      </c>
      <c r="V31" s="493">
        <v>79</v>
      </c>
      <c r="W31" s="491">
        <f>+V31/1.16</f>
        <v>68.103448275862078</v>
      </c>
      <c r="X31" s="494">
        <f>+W31*0.6</f>
        <v>40.862068965517246</v>
      </c>
      <c r="Y31" s="495" t="e">
        <f>U31/X31</f>
        <v>#REF!</v>
      </c>
      <c r="Z31" s="497" t="e">
        <f>1-U31/X31</f>
        <v>#REF!</v>
      </c>
      <c r="AA31" s="497">
        <f>1-(X31/(V31/1.16))</f>
        <v>0.4</v>
      </c>
      <c r="AB31" s="487" t="s">
        <v>556</v>
      </c>
      <c r="AC31" s="487" t="s">
        <v>134</v>
      </c>
      <c r="AD31" s="487">
        <v>6</v>
      </c>
      <c r="AE31" s="487">
        <v>48</v>
      </c>
      <c r="AF31" s="487"/>
      <c r="AG31" s="360">
        <v>46335</v>
      </c>
      <c r="AH31" s="475"/>
      <c r="AI31" s="498">
        <v>59</v>
      </c>
      <c r="AJ31" s="491">
        <f t="shared" si="8"/>
        <v>50.862068965517246</v>
      </c>
      <c r="AK31" s="323" t="e">
        <f t="shared" si="9"/>
        <v>#REF!</v>
      </c>
      <c r="AL31" s="323" t="e">
        <f t="shared" si="10"/>
        <v>#REF!</v>
      </c>
      <c r="AM31" s="317">
        <f t="shared" si="11"/>
        <v>0</v>
      </c>
      <c r="BB31" s="322">
        <v>1</v>
      </c>
      <c r="BC31" s="322">
        <v>1</v>
      </c>
      <c r="BD31" s="322"/>
      <c r="BE31" s="322">
        <v>1</v>
      </c>
      <c r="BF31" s="322">
        <v>1</v>
      </c>
      <c r="BG31" s="322"/>
      <c r="BH31" s="322"/>
      <c r="BI31" s="322"/>
      <c r="BJ31" s="322"/>
      <c r="BK31" s="322">
        <v>9</v>
      </c>
      <c r="BL31" s="322">
        <f t="shared" si="12"/>
        <v>4</v>
      </c>
      <c r="BM31" s="499">
        <f t="shared" si="13"/>
        <v>0.44444444444444442</v>
      </c>
      <c r="BN31" s="361"/>
      <c r="BO31" s="361"/>
      <c r="BP31" s="361"/>
      <c r="BQ31" s="361"/>
      <c r="BR31" s="500">
        <f t="shared" si="14"/>
        <v>0</v>
      </c>
      <c r="BS31" s="360">
        <f t="shared" si="15"/>
        <v>46335</v>
      </c>
      <c r="BT31" s="487"/>
      <c r="CJ31" s="325"/>
      <c r="CK31" s="325"/>
      <c r="CL31" s="325"/>
      <c r="CM31" s="325"/>
      <c r="CN31" s="325"/>
      <c r="CO31" s="325"/>
      <c r="CP31" s="327"/>
      <c r="CQ31" s="327"/>
      <c r="CR31" s="328"/>
      <c r="CS31" s="328"/>
      <c r="CT31" s="328"/>
      <c r="CU31" s="328"/>
      <c r="CV31" s="328"/>
      <c r="CW31" s="328"/>
      <c r="CX31" s="328"/>
      <c r="CY31" s="328"/>
      <c r="CZ31" s="328"/>
      <c r="DA31" s="328"/>
    </row>
    <row r="32" spans="1:105" ht="31">
      <c r="A32" s="487">
        <v>16</v>
      </c>
      <c r="B32" s="487">
        <v>2</v>
      </c>
      <c r="C32" s="488">
        <v>46241</v>
      </c>
      <c r="D32" s="487" t="s">
        <v>305</v>
      </c>
      <c r="E32" s="489" t="s">
        <v>568</v>
      </c>
      <c r="F32" s="322">
        <v>7506110696551</v>
      </c>
      <c r="G32" s="487" t="s">
        <v>1250</v>
      </c>
      <c r="H32" s="487" t="s">
        <v>1251</v>
      </c>
      <c r="I32" s="490"/>
      <c r="J32" s="487" t="s">
        <v>1252</v>
      </c>
      <c r="K32" s="487" t="s">
        <v>1198</v>
      </c>
      <c r="L32" s="487" t="s">
        <v>309</v>
      </c>
      <c r="M32" s="487">
        <v>1</v>
      </c>
      <c r="N32" s="491">
        <v>3.3</v>
      </c>
      <c r="O32" s="491">
        <f>N32*'Perry Ellis 2026 Fase 2'!$O$19</f>
        <v>36.019499999999994</v>
      </c>
      <c r="P32" s="491">
        <f>N32*1.2</f>
        <v>3.9599999999999995</v>
      </c>
      <c r="Q32" s="491"/>
      <c r="R32" s="491" t="e">
        <f>N32*#REF!</f>
        <v>#REF!</v>
      </c>
      <c r="S32" s="491" t="e">
        <f>R32*0.15</f>
        <v>#REF!</v>
      </c>
      <c r="T32" s="491" t="e">
        <f>(R32+S32)*28.56%</f>
        <v>#REF!</v>
      </c>
      <c r="U32" s="492" t="e">
        <f>R32+S32+T32</f>
        <v>#REF!</v>
      </c>
      <c r="V32" s="493">
        <v>499</v>
      </c>
      <c r="W32" s="491">
        <f>+V32/1.16</f>
        <v>430.17241379310349</v>
      </c>
      <c r="X32" s="494">
        <f>+W32*0.6</f>
        <v>258.10344827586209</v>
      </c>
      <c r="Y32" s="323" t="e">
        <f>U32/X32</f>
        <v>#REF!</v>
      </c>
      <c r="Z32" s="497" t="e">
        <f>1-U32/X32</f>
        <v>#REF!</v>
      </c>
      <c r="AA32" s="501">
        <f>1-(X32/(V32/1.16))</f>
        <v>0.4</v>
      </c>
      <c r="AB32" s="487" t="s">
        <v>556</v>
      </c>
      <c r="AC32" s="487" t="s">
        <v>134</v>
      </c>
      <c r="AD32" s="487">
        <v>6</v>
      </c>
      <c r="AE32" s="487">
        <v>144</v>
      </c>
      <c r="AF32" s="487"/>
      <c r="AG32" s="487"/>
      <c r="AH32" s="475"/>
      <c r="AI32" s="501"/>
      <c r="AJ32" s="491">
        <f t="shared" si="8"/>
        <v>0</v>
      </c>
      <c r="AK32" s="323" t="e">
        <f t="shared" si="9"/>
        <v>#REF!</v>
      </c>
      <c r="AL32" s="323" t="e">
        <f t="shared" si="10"/>
        <v>#REF!</v>
      </c>
      <c r="AM32" s="317" t="e">
        <f t="shared" si="11"/>
        <v>#DIV/0!</v>
      </c>
      <c r="BB32" s="322">
        <v>1</v>
      </c>
      <c r="BC32" s="322">
        <v>1</v>
      </c>
      <c r="BD32" s="322"/>
      <c r="BE32" s="322">
        <v>1</v>
      </c>
      <c r="BF32" s="322">
        <v>1</v>
      </c>
      <c r="BG32" s="322"/>
      <c r="BH32" s="322"/>
      <c r="BI32" s="322"/>
      <c r="BJ32" s="322"/>
      <c r="BK32" s="322">
        <v>9</v>
      </c>
      <c r="BL32" s="322">
        <f t="shared" si="12"/>
        <v>4</v>
      </c>
      <c r="BM32" s="499">
        <f t="shared" si="13"/>
        <v>0.44444444444444442</v>
      </c>
      <c r="BN32" s="361"/>
      <c r="BO32" s="361"/>
      <c r="BP32" s="361"/>
      <c r="BQ32" s="361"/>
      <c r="BR32" s="500">
        <f t="shared" si="14"/>
        <v>0</v>
      </c>
      <c r="BS32" s="360">
        <f t="shared" si="15"/>
        <v>0</v>
      </c>
      <c r="BT32" s="487"/>
      <c r="CJ32" s="325"/>
      <c r="CK32" s="325"/>
      <c r="CL32" s="325"/>
      <c r="CM32" s="325"/>
      <c r="CN32" s="325"/>
      <c r="CO32" s="325"/>
      <c r="CP32" s="327"/>
      <c r="CQ32" s="327"/>
      <c r="CR32" s="328"/>
      <c r="CS32" s="328"/>
      <c r="CT32" s="328"/>
      <c r="CU32" s="328"/>
      <c r="CV32" s="328"/>
      <c r="CW32" s="328"/>
      <c r="CX32" s="328"/>
      <c r="CY32" s="328"/>
      <c r="CZ32" s="328"/>
      <c r="DA32" s="328"/>
    </row>
    <row r="33" spans="1:105" ht="31">
      <c r="A33" s="487">
        <v>17</v>
      </c>
      <c r="B33" s="487">
        <v>2</v>
      </c>
      <c r="C33" s="488">
        <v>46241</v>
      </c>
      <c r="D33" s="487" t="s">
        <v>305</v>
      </c>
      <c r="E33" s="489" t="s">
        <v>568</v>
      </c>
      <c r="F33" s="322">
        <v>7506110696568</v>
      </c>
      <c r="G33" s="487" t="s">
        <v>1253</v>
      </c>
      <c r="H33" s="487" t="s">
        <v>1254</v>
      </c>
      <c r="I33" s="490"/>
      <c r="J33" s="487" t="s">
        <v>1255</v>
      </c>
      <c r="K33" s="487" t="s">
        <v>1198</v>
      </c>
      <c r="L33" s="487" t="s">
        <v>309</v>
      </c>
      <c r="M33" s="487">
        <v>1</v>
      </c>
      <c r="N33" s="491">
        <v>1.05</v>
      </c>
      <c r="O33" s="491">
        <f>N33*'Perry Ellis 2026 Fase 2'!$O$19</f>
        <v>11.460749999999999</v>
      </c>
      <c r="P33" s="491">
        <f>N33*1.2</f>
        <v>1.26</v>
      </c>
      <c r="Q33" s="491"/>
      <c r="R33" s="491" t="e">
        <f>N33*#REF!</f>
        <v>#REF!</v>
      </c>
      <c r="S33" s="491" t="e">
        <f>R33*0.15</f>
        <v>#REF!</v>
      </c>
      <c r="T33" s="491" t="e">
        <f>(R33+S33)*19.95%</f>
        <v>#REF!</v>
      </c>
      <c r="U33" s="492" t="e">
        <f>R33+S33+T33</f>
        <v>#REF!</v>
      </c>
      <c r="V33" s="493">
        <v>199</v>
      </c>
      <c r="W33" s="491">
        <f>+V33/1.16</f>
        <v>171.55172413793105</v>
      </c>
      <c r="X33" s="494">
        <f>+W33*0.6</f>
        <v>102.93103448275862</v>
      </c>
      <c r="Y33" s="323" t="e">
        <f>U33/X33</f>
        <v>#REF!</v>
      </c>
      <c r="Z33" s="497" t="e">
        <f>1-U33/X33</f>
        <v>#REF!</v>
      </c>
      <c r="AA33" s="501">
        <f>1-(X33/(V33/1.16))</f>
        <v>0.4</v>
      </c>
      <c r="AB33" s="487" t="s">
        <v>556</v>
      </c>
      <c r="AC33" s="487" t="s">
        <v>134</v>
      </c>
      <c r="AD33" s="487">
        <v>6</v>
      </c>
      <c r="AE33" s="487">
        <v>144</v>
      </c>
      <c r="AF33" s="487"/>
      <c r="AG33" s="487"/>
      <c r="AH33" s="475"/>
      <c r="AI33" s="501"/>
      <c r="AJ33" s="491">
        <f t="shared" si="8"/>
        <v>0</v>
      </c>
      <c r="AK33" s="323" t="e">
        <f t="shared" si="9"/>
        <v>#REF!</v>
      </c>
      <c r="AL33" s="323" t="e">
        <f t="shared" si="10"/>
        <v>#REF!</v>
      </c>
      <c r="AM33" s="317" t="e">
        <f t="shared" si="11"/>
        <v>#DIV/0!</v>
      </c>
      <c r="BB33" s="322">
        <v>1</v>
      </c>
      <c r="BC33" s="322">
        <v>1</v>
      </c>
      <c r="BD33" s="322"/>
      <c r="BE33" s="322">
        <v>1</v>
      </c>
      <c r="BF33" s="322">
        <v>1</v>
      </c>
      <c r="BG33" s="322"/>
      <c r="BH33" s="322"/>
      <c r="BI33" s="322"/>
      <c r="BJ33" s="322"/>
      <c r="BK33" s="322">
        <v>9</v>
      </c>
      <c r="BL33" s="322">
        <f t="shared" si="12"/>
        <v>4</v>
      </c>
      <c r="BM33" s="499">
        <f t="shared" si="13"/>
        <v>0.44444444444444442</v>
      </c>
      <c r="BN33" s="361"/>
      <c r="BO33" s="361"/>
      <c r="BP33" s="361"/>
      <c r="BQ33" s="361"/>
      <c r="BR33" s="500">
        <f t="shared" si="14"/>
        <v>0</v>
      </c>
      <c r="BS33" s="360">
        <f t="shared" si="15"/>
        <v>0</v>
      </c>
      <c r="BT33" s="487"/>
      <c r="CJ33" s="325"/>
      <c r="CK33" s="325"/>
      <c r="CL33" s="325"/>
      <c r="CM33" s="325"/>
      <c r="CN33" s="325"/>
      <c r="CO33" s="325"/>
      <c r="CP33" s="327"/>
      <c r="CQ33" s="327"/>
      <c r="CR33" s="328"/>
      <c r="CS33" s="328"/>
      <c r="CT33" s="328"/>
      <c r="CU33" s="328"/>
      <c r="CV33" s="328"/>
      <c r="CW33" s="328"/>
      <c r="CX33" s="328"/>
      <c r="CY33" s="328"/>
      <c r="CZ33" s="328"/>
      <c r="DA33" s="328"/>
    </row>
    <row r="34" spans="1:105" ht="31">
      <c r="A34" s="487">
        <v>18</v>
      </c>
      <c r="B34" s="487">
        <v>2</v>
      </c>
      <c r="C34" s="488">
        <v>46241</v>
      </c>
      <c r="D34" s="487" t="s">
        <v>305</v>
      </c>
      <c r="E34" s="489" t="s">
        <v>1256</v>
      </c>
      <c r="F34" s="322">
        <v>7506110696575</v>
      </c>
      <c r="G34" s="487" t="s">
        <v>1257</v>
      </c>
      <c r="H34" s="487" t="s">
        <v>1258</v>
      </c>
      <c r="I34" s="490" t="s">
        <v>60</v>
      </c>
      <c r="J34" s="487" t="s">
        <v>1249</v>
      </c>
      <c r="K34" s="487" t="s">
        <v>1198</v>
      </c>
      <c r="L34" s="487" t="s">
        <v>309</v>
      </c>
      <c r="M34" s="487">
        <v>1</v>
      </c>
      <c r="N34" s="491">
        <v>0.17</v>
      </c>
      <c r="O34" s="491">
        <f>N34*'Perry Ellis 2026 Fase 2'!$O$19</f>
        <v>1.85555</v>
      </c>
      <c r="P34" s="491" t="e">
        <f>#REF!</f>
        <v>#REF!</v>
      </c>
      <c r="Q34" s="491"/>
      <c r="R34" s="491" t="e">
        <f>N34*#REF!</f>
        <v>#REF!</v>
      </c>
      <c r="S34" s="491" t="e">
        <f>R34*0.15</f>
        <v>#REF!</v>
      </c>
      <c r="T34" s="491" t="e">
        <f>(R34+S34)*46.2%</f>
        <v>#REF!</v>
      </c>
      <c r="U34" s="492" t="e">
        <f>R34+S34+T34</f>
        <v>#REF!</v>
      </c>
      <c r="V34" s="493">
        <v>39</v>
      </c>
      <c r="W34" s="491">
        <f>+V34/1.16</f>
        <v>33.620689655172413</v>
      </c>
      <c r="X34" s="494">
        <f>+W34*0.6</f>
        <v>20.172413793103448</v>
      </c>
      <c r="Y34" s="495" t="e">
        <f>U34/X34</f>
        <v>#REF!</v>
      </c>
      <c r="Z34" s="497" t="e">
        <f>1-U34/X34</f>
        <v>#REF!</v>
      </c>
      <c r="AA34" s="497">
        <f>1-(X34/(V34/1.16))</f>
        <v>0.4</v>
      </c>
      <c r="AB34" s="487" t="s">
        <v>635</v>
      </c>
      <c r="AC34" s="487" t="s">
        <v>134</v>
      </c>
      <c r="AD34" s="487"/>
      <c r="AE34" s="487"/>
      <c r="AF34" s="487"/>
      <c r="AG34" s="487"/>
      <c r="AH34" s="475"/>
      <c r="AI34" s="498">
        <v>59</v>
      </c>
      <c r="AJ34" s="491">
        <f t="shared" si="8"/>
        <v>50.862068965517246</v>
      </c>
      <c r="AK34" s="323" t="e">
        <f t="shared" si="9"/>
        <v>#REF!</v>
      </c>
      <c r="AL34" s="323" t="e">
        <f t="shared" si="10"/>
        <v>#REF!</v>
      </c>
      <c r="AM34" s="317">
        <f t="shared" si="11"/>
        <v>0</v>
      </c>
      <c r="BB34" s="322">
        <v>1</v>
      </c>
      <c r="BC34" s="322">
        <v>1</v>
      </c>
      <c r="BD34" s="322"/>
      <c r="BE34" s="322">
        <v>1</v>
      </c>
      <c r="BF34" s="322">
        <v>1</v>
      </c>
      <c r="BG34" s="322"/>
      <c r="BH34" s="322"/>
      <c r="BI34" s="322"/>
      <c r="BJ34" s="322"/>
      <c r="BK34" s="322">
        <v>9</v>
      </c>
      <c r="BL34" s="322">
        <f t="shared" si="12"/>
        <v>4</v>
      </c>
      <c r="BM34" s="499">
        <f t="shared" si="13"/>
        <v>0.44444444444444442</v>
      </c>
      <c r="BN34" s="361"/>
      <c r="BO34" s="361"/>
      <c r="BP34" s="361"/>
      <c r="BQ34" s="361"/>
      <c r="BR34" s="500">
        <f t="shared" si="14"/>
        <v>0</v>
      </c>
      <c r="BS34" s="360">
        <f t="shared" si="15"/>
        <v>0</v>
      </c>
      <c r="BT34" s="487"/>
      <c r="CJ34" s="325"/>
      <c r="CK34" s="325"/>
      <c r="CL34" s="325"/>
      <c r="CM34" s="325"/>
      <c r="CN34" s="325"/>
      <c r="CO34" s="325"/>
      <c r="CP34" s="327"/>
      <c r="CQ34" s="327"/>
      <c r="CR34" s="328"/>
      <c r="CS34" s="328"/>
      <c r="CT34" s="328"/>
      <c r="CU34" s="328"/>
      <c r="CV34" s="328"/>
      <c r="CW34" s="328"/>
      <c r="CX34" s="328"/>
      <c r="CY34" s="328"/>
      <c r="CZ34" s="328"/>
      <c r="DA34" s="328"/>
    </row>
    <row r="35" spans="1:105" ht="31">
      <c r="A35" s="487">
        <v>19</v>
      </c>
      <c r="B35" s="487"/>
      <c r="C35" s="488">
        <v>46241</v>
      </c>
      <c r="D35" s="487" t="s">
        <v>305</v>
      </c>
      <c r="E35" s="489" t="s">
        <v>1256</v>
      </c>
      <c r="F35" s="322" t="s">
        <v>57</v>
      </c>
      <c r="G35" s="487" t="s">
        <v>1259</v>
      </c>
      <c r="H35" s="487" t="s">
        <v>1260</v>
      </c>
      <c r="I35" s="490"/>
      <c r="J35" s="487" t="s">
        <v>1261</v>
      </c>
      <c r="K35" s="487" t="s">
        <v>1198</v>
      </c>
      <c r="L35" s="487" t="s">
        <v>309</v>
      </c>
      <c r="M35" s="487">
        <v>1</v>
      </c>
      <c r="N35" s="491"/>
      <c r="O35" s="491"/>
      <c r="P35" s="491"/>
      <c r="Q35" s="491"/>
      <c r="R35" s="491"/>
      <c r="S35" s="491">
        <f>R35*0.15</f>
        <v>0</v>
      </c>
      <c r="T35" s="491"/>
      <c r="U35" s="492"/>
      <c r="V35" s="493"/>
      <c r="W35" s="491"/>
      <c r="X35" s="494"/>
      <c r="Y35" s="495"/>
      <c r="Z35" s="497"/>
      <c r="AA35" s="497"/>
      <c r="AB35" s="487" t="s">
        <v>635</v>
      </c>
      <c r="AC35" s="487" t="s">
        <v>134</v>
      </c>
      <c r="AD35" s="487"/>
      <c r="AE35" s="487"/>
      <c r="AF35" s="487"/>
      <c r="AG35" s="487"/>
      <c r="AH35" s="475"/>
      <c r="AI35" s="498"/>
      <c r="AJ35" s="491">
        <f t="shared" si="8"/>
        <v>0</v>
      </c>
      <c r="AK35" s="323" t="e">
        <f t="shared" si="9"/>
        <v>#DIV/0!</v>
      </c>
      <c r="AL35" s="323" t="e">
        <f t="shared" si="10"/>
        <v>#DIV/0!</v>
      </c>
      <c r="AM35" s="317" t="e">
        <f t="shared" si="11"/>
        <v>#DIV/0!</v>
      </c>
      <c r="BB35" s="322">
        <v>1</v>
      </c>
      <c r="BC35" s="322">
        <v>1</v>
      </c>
      <c r="BD35" s="322"/>
      <c r="BE35" s="322">
        <v>1</v>
      </c>
      <c r="BF35" s="322">
        <v>1</v>
      </c>
      <c r="BG35" s="322"/>
      <c r="BH35" s="322"/>
      <c r="BI35" s="322"/>
      <c r="BJ35" s="322"/>
      <c r="BK35" s="322">
        <v>9</v>
      </c>
      <c r="BL35" s="322">
        <f t="shared" si="12"/>
        <v>4</v>
      </c>
      <c r="BM35" s="499">
        <f t="shared" si="13"/>
        <v>0.44444444444444442</v>
      </c>
      <c r="BN35" s="361"/>
      <c r="BO35" s="361"/>
      <c r="BP35" s="361"/>
      <c r="BQ35" s="361"/>
      <c r="BR35" s="500">
        <f t="shared" si="14"/>
        <v>0</v>
      </c>
      <c r="BS35" s="360">
        <f t="shared" si="15"/>
        <v>0</v>
      </c>
      <c r="BT35" s="487"/>
      <c r="CJ35" s="325"/>
      <c r="CK35" s="325"/>
      <c r="CL35" s="325"/>
      <c r="CM35" s="325"/>
      <c r="CN35" s="325"/>
      <c r="CO35" s="325"/>
      <c r="CP35" s="327"/>
      <c r="CQ35" s="327"/>
      <c r="CR35" s="328"/>
      <c r="CS35" s="328"/>
      <c r="CT35" s="328"/>
      <c r="CU35" s="328"/>
      <c r="CV35" s="328"/>
      <c r="CW35" s="328"/>
      <c r="CX35" s="328"/>
      <c r="CY35" s="328"/>
      <c r="CZ35" s="328"/>
      <c r="DA35" s="328"/>
    </row>
    <row r="36" spans="1:105" ht="31">
      <c r="A36" s="487">
        <v>20</v>
      </c>
      <c r="B36" s="487"/>
      <c r="C36" s="488">
        <v>46241</v>
      </c>
      <c r="D36" s="487" t="s">
        <v>305</v>
      </c>
      <c r="E36" s="489" t="s">
        <v>1256</v>
      </c>
      <c r="F36" s="322" t="s">
        <v>57</v>
      </c>
      <c r="G36" s="487" t="s">
        <v>1262</v>
      </c>
      <c r="H36" s="487" t="s">
        <v>1263</v>
      </c>
      <c r="I36" s="490"/>
      <c r="J36" s="487" t="s">
        <v>1246</v>
      </c>
      <c r="K36" s="487" t="s">
        <v>1198</v>
      </c>
      <c r="L36" s="487" t="s">
        <v>309</v>
      </c>
      <c r="M36" s="487">
        <v>1</v>
      </c>
      <c r="N36" s="491"/>
      <c r="O36" s="491"/>
      <c r="P36" s="491"/>
      <c r="Q36" s="491"/>
      <c r="R36" s="491"/>
      <c r="S36" s="491"/>
      <c r="T36" s="491"/>
      <c r="U36" s="492"/>
      <c r="V36" s="493"/>
      <c r="W36" s="491"/>
      <c r="X36" s="494"/>
      <c r="Y36" s="495"/>
      <c r="Z36" s="497"/>
      <c r="AA36" s="497"/>
      <c r="AB36" s="487" t="s">
        <v>635</v>
      </c>
      <c r="AC36" s="487" t="s">
        <v>134</v>
      </c>
      <c r="AD36" s="487"/>
      <c r="AE36" s="487"/>
      <c r="AF36" s="487"/>
      <c r="AG36" s="487"/>
      <c r="AH36" s="475"/>
      <c r="AI36" s="498"/>
      <c r="AJ36" s="491">
        <f t="shared" si="8"/>
        <v>0</v>
      </c>
      <c r="AK36" s="323" t="e">
        <f t="shared" si="9"/>
        <v>#DIV/0!</v>
      </c>
      <c r="AL36" s="323" t="e">
        <f t="shared" si="10"/>
        <v>#DIV/0!</v>
      </c>
      <c r="AM36" s="317" t="e">
        <f t="shared" si="11"/>
        <v>#DIV/0!</v>
      </c>
      <c r="BB36" s="322">
        <v>1</v>
      </c>
      <c r="BC36" s="322">
        <v>1</v>
      </c>
      <c r="BD36" s="322"/>
      <c r="BE36" s="322">
        <v>1</v>
      </c>
      <c r="BF36" s="322">
        <v>1</v>
      </c>
      <c r="BG36" s="322"/>
      <c r="BH36" s="322"/>
      <c r="BI36" s="322"/>
      <c r="BJ36" s="322"/>
      <c r="BK36" s="322">
        <v>9</v>
      </c>
      <c r="BL36" s="322">
        <f t="shared" si="12"/>
        <v>4</v>
      </c>
      <c r="BM36" s="499">
        <f t="shared" si="13"/>
        <v>0.44444444444444442</v>
      </c>
      <c r="BN36" s="361"/>
      <c r="BO36" s="361"/>
      <c r="BP36" s="361"/>
      <c r="BQ36" s="361"/>
      <c r="BR36" s="500">
        <f t="shared" si="14"/>
        <v>0</v>
      </c>
      <c r="BS36" s="360">
        <f t="shared" si="15"/>
        <v>0</v>
      </c>
      <c r="BT36" s="487"/>
      <c r="CJ36" s="325"/>
      <c r="CK36" s="325"/>
      <c r="CL36" s="325"/>
      <c r="CM36" s="325"/>
      <c r="CN36" s="325"/>
      <c r="CO36" s="325"/>
      <c r="CP36" s="327"/>
      <c r="CQ36" s="327"/>
      <c r="CR36" s="328"/>
      <c r="CS36" s="328"/>
      <c r="CT36" s="328"/>
      <c r="CU36" s="328"/>
      <c r="CV36" s="328"/>
      <c r="CW36" s="328"/>
      <c r="CX36" s="328"/>
      <c r="CY36" s="328"/>
      <c r="CZ36" s="328"/>
      <c r="DA36" s="328"/>
    </row>
    <row r="37" spans="1:105" ht="108.5">
      <c r="A37" s="487">
        <v>21</v>
      </c>
      <c r="B37" s="487">
        <v>1</v>
      </c>
      <c r="C37" s="488">
        <v>46241</v>
      </c>
      <c r="D37" s="487" t="s">
        <v>305</v>
      </c>
      <c r="E37" s="489" t="s">
        <v>1264</v>
      </c>
      <c r="F37" s="322">
        <v>7506110696629</v>
      </c>
      <c r="G37" s="487" t="s">
        <v>1265</v>
      </c>
      <c r="H37" s="487" t="s">
        <v>1266</v>
      </c>
      <c r="I37" s="502" t="s">
        <v>1267</v>
      </c>
      <c r="J37" s="487" t="s">
        <v>993</v>
      </c>
      <c r="K37" s="487" t="s">
        <v>1198</v>
      </c>
      <c r="L37" s="487" t="s">
        <v>309</v>
      </c>
      <c r="M37" s="487">
        <v>1</v>
      </c>
      <c r="N37" s="491">
        <v>0.25</v>
      </c>
      <c r="O37" s="491">
        <f>N37*'Perry Ellis 2026 Fase 2'!$O$19</f>
        <v>2.7287499999999998</v>
      </c>
      <c r="P37" s="491">
        <f t="shared" ref="P37:P42" si="16">N37*1.1</f>
        <v>0.27500000000000002</v>
      </c>
      <c r="Q37" s="491"/>
      <c r="R37" s="491" t="e">
        <f>N37*#REF!</f>
        <v>#REF!</v>
      </c>
      <c r="S37" s="491" t="e">
        <f>R37*0.25</f>
        <v>#REF!</v>
      </c>
      <c r="T37" s="491" t="e">
        <f>(R37+S37)*8.82%</f>
        <v>#REF!</v>
      </c>
      <c r="U37" s="492" t="e">
        <f t="shared" ref="U37:U70" si="17">R37+S37+T37</f>
        <v>#REF!</v>
      </c>
      <c r="V37" s="493">
        <v>59</v>
      </c>
      <c r="W37" s="491">
        <f t="shared" ref="W37:W70" si="18">+V37/1.16</f>
        <v>50.862068965517246</v>
      </c>
      <c r="X37" s="494">
        <f t="shared" ref="X37:X70" si="19">+W37*0.6</f>
        <v>30.517241379310345</v>
      </c>
      <c r="Y37" s="495" t="e">
        <f t="shared" ref="Y37:Y70" si="20">U37/X37</f>
        <v>#REF!</v>
      </c>
      <c r="Z37" s="496" t="e">
        <f t="shared" ref="Z37:Z70" si="21">1-U37/X37</f>
        <v>#REF!</v>
      </c>
      <c r="AA37" s="497">
        <f t="shared" ref="AA37:AA70" si="22">1-(X37/(V37/1.16))</f>
        <v>0.4</v>
      </c>
      <c r="AB37" s="487" t="s">
        <v>876</v>
      </c>
      <c r="AC37" s="487" t="s">
        <v>134</v>
      </c>
      <c r="AD37" s="487">
        <v>6</v>
      </c>
      <c r="AE37" s="487">
        <v>144</v>
      </c>
      <c r="AF37" s="487" t="s">
        <v>1233</v>
      </c>
      <c r="AG37" s="360">
        <v>46335</v>
      </c>
      <c r="AH37" s="475"/>
      <c r="AI37" s="503">
        <v>39</v>
      </c>
      <c r="AJ37" s="491">
        <f t="shared" si="8"/>
        <v>33.620689655172413</v>
      </c>
      <c r="AK37" s="323" t="e">
        <f t="shared" si="9"/>
        <v>#REF!</v>
      </c>
      <c r="AL37" s="323" t="e">
        <f t="shared" si="10"/>
        <v>#REF!</v>
      </c>
      <c r="AM37" s="317">
        <f t="shared" si="11"/>
        <v>0</v>
      </c>
      <c r="BB37" s="322">
        <v>1</v>
      </c>
      <c r="BC37" s="322">
        <v>1</v>
      </c>
      <c r="BD37" s="322"/>
      <c r="BE37" s="322">
        <v>1</v>
      </c>
      <c r="BF37" s="322">
        <v>1</v>
      </c>
      <c r="BG37" s="322"/>
      <c r="BH37" s="322"/>
      <c r="BI37" s="322"/>
      <c r="BJ37" s="322"/>
      <c r="BK37" s="322">
        <v>9</v>
      </c>
      <c r="BL37" s="322">
        <f t="shared" si="12"/>
        <v>4</v>
      </c>
      <c r="BM37" s="499">
        <f t="shared" si="13"/>
        <v>0.44444444444444442</v>
      </c>
      <c r="BN37" s="361"/>
      <c r="BO37" s="361"/>
      <c r="BP37" s="361"/>
      <c r="BQ37" s="361"/>
      <c r="BR37" s="500" t="str">
        <f t="shared" si="14"/>
        <v>En elaboración de archivos de impresión</v>
      </c>
      <c r="BS37" s="360">
        <f t="shared" si="15"/>
        <v>46335</v>
      </c>
      <c r="BT37" s="487"/>
      <c r="CJ37" s="325"/>
      <c r="CK37" s="325"/>
      <c r="CL37" s="325"/>
      <c r="CM37" s="325"/>
      <c r="CN37" s="325"/>
      <c r="CO37" s="325"/>
      <c r="CP37" s="327"/>
      <c r="CQ37" s="327"/>
      <c r="CR37" s="328"/>
      <c r="CS37" s="328"/>
      <c r="CT37" s="328"/>
      <c r="CU37" s="328"/>
      <c r="CV37" s="328"/>
      <c r="CW37" s="328"/>
      <c r="CX37" s="328"/>
      <c r="CY37" s="328"/>
      <c r="CZ37" s="328"/>
      <c r="DA37" s="328"/>
    </row>
    <row r="38" spans="1:105" ht="108.5">
      <c r="A38" s="487">
        <v>22</v>
      </c>
      <c r="B38" s="487">
        <v>1</v>
      </c>
      <c r="C38" s="488">
        <v>46241</v>
      </c>
      <c r="D38" s="487" t="s">
        <v>305</v>
      </c>
      <c r="E38" s="489" t="s">
        <v>1264</v>
      </c>
      <c r="F38" s="322" t="s">
        <v>57</v>
      </c>
      <c r="G38" s="487" t="s">
        <v>1268</v>
      </c>
      <c r="H38" s="487" t="s">
        <v>1269</v>
      </c>
      <c r="I38" s="490"/>
      <c r="J38" s="487" t="s">
        <v>993</v>
      </c>
      <c r="K38" s="487" t="s">
        <v>1198</v>
      </c>
      <c r="L38" s="487" t="s">
        <v>309</v>
      </c>
      <c r="M38" s="487">
        <v>1</v>
      </c>
      <c r="N38" s="491">
        <v>0.25</v>
      </c>
      <c r="O38" s="491">
        <f>N38*'Perry Ellis 2026 Fase 2'!$O$19</f>
        <v>2.7287499999999998</v>
      </c>
      <c r="P38" s="491">
        <f t="shared" si="16"/>
        <v>0.27500000000000002</v>
      </c>
      <c r="Q38" s="491"/>
      <c r="R38" s="491" t="e">
        <f>N38*#REF!</f>
        <v>#REF!</v>
      </c>
      <c r="S38" s="491" t="e">
        <f>R38*0.25</f>
        <v>#REF!</v>
      </c>
      <c r="T38" s="491" t="e">
        <f>(R38+S38)*8.82%</f>
        <v>#REF!</v>
      </c>
      <c r="U38" s="492" t="e">
        <f t="shared" si="17"/>
        <v>#REF!</v>
      </c>
      <c r="V38" s="493">
        <v>59</v>
      </c>
      <c r="W38" s="491">
        <f t="shared" si="18"/>
        <v>50.862068965517246</v>
      </c>
      <c r="X38" s="494">
        <f t="shared" si="19"/>
        <v>30.517241379310345</v>
      </c>
      <c r="Y38" s="495" t="e">
        <f t="shared" si="20"/>
        <v>#REF!</v>
      </c>
      <c r="Z38" s="497" t="e">
        <f t="shared" si="21"/>
        <v>#REF!</v>
      </c>
      <c r="AA38" s="497">
        <f t="shared" si="22"/>
        <v>0.4</v>
      </c>
      <c r="AB38" s="487" t="s">
        <v>876</v>
      </c>
      <c r="AC38" s="487" t="s">
        <v>134</v>
      </c>
      <c r="AD38" s="487">
        <v>6</v>
      </c>
      <c r="AE38" s="487">
        <v>144</v>
      </c>
      <c r="AF38" s="487" t="s">
        <v>1233</v>
      </c>
      <c r="AG38" s="360">
        <v>46335</v>
      </c>
      <c r="AH38" s="475"/>
      <c r="AI38" s="503">
        <v>39</v>
      </c>
      <c r="AJ38" s="491">
        <f t="shared" si="8"/>
        <v>33.620689655172413</v>
      </c>
      <c r="AK38" s="323" t="e">
        <f t="shared" si="9"/>
        <v>#REF!</v>
      </c>
      <c r="AL38" s="323" t="e">
        <f t="shared" si="10"/>
        <v>#REF!</v>
      </c>
      <c r="AM38" s="317">
        <f t="shared" si="11"/>
        <v>0</v>
      </c>
      <c r="BB38" s="322">
        <v>1</v>
      </c>
      <c r="BC38" s="322">
        <v>1</v>
      </c>
      <c r="BD38" s="322"/>
      <c r="BE38" s="322">
        <v>1</v>
      </c>
      <c r="BF38" s="322">
        <v>1</v>
      </c>
      <c r="BG38" s="322"/>
      <c r="BH38" s="322"/>
      <c r="BI38" s="322"/>
      <c r="BJ38" s="322"/>
      <c r="BK38" s="322">
        <v>9</v>
      </c>
      <c r="BL38" s="322">
        <f t="shared" si="12"/>
        <v>4</v>
      </c>
      <c r="BM38" s="499">
        <f t="shared" si="13"/>
        <v>0.44444444444444442</v>
      </c>
      <c r="BN38" s="361"/>
      <c r="BO38" s="361"/>
      <c r="BP38" s="361"/>
      <c r="BQ38" s="361"/>
      <c r="BR38" s="500" t="str">
        <f t="shared" si="14"/>
        <v>En elaboración de archivos de impresión</v>
      </c>
      <c r="BS38" s="360">
        <f t="shared" si="15"/>
        <v>46335</v>
      </c>
      <c r="BT38" s="487"/>
      <c r="CJ38" s="325"/>
      <c r="CK38" s="325"/>
      <c r="CL38" s="325"/>
      <c r="CM38" s="325"/>
      <c r="CN38" s="325"/>
      <c r="CO38" s="325"/>
      <c r="CP38" s="327"/>
      <c r="CQ38" s="327"/>
      <c r="CR38" s="328"/>
      <c r="CS38" s="328"/>
      <c r="CT38" s="328"/>
      <c r="CU38" s="328"/>
      <c r="CV38" s="328"/>
      <c r="CW38" s="328"/>
      <c r="CX38" s="328"/>
      <c r="CY38" s="328"/>
      <c r="CZ38" s="328"/>
      <c r="DA38" s="328"/>
    </row>
    <row r="39" spans="1:105" ht="108.5">
      <c r="A39" s="487">
        <v>23</v>
      </c>
      <c r="B39" s="487">
        <v>1</v>
      </c>
      <c r="C39" s="488">
        <v>46241</v>
      </c>
      <c r="D39" s="487" t="s">
        <v>305</v>
      </c>
      <c r="E39" s="489" t="s">
        <v>1264</v>
      </c>
      <c r="F39" s="322" t="s">
        <v>57</v>
      </c>
      <c r="G39" s="487" t="s">
        <v>1270</v>
      </c>
      <c r="H39" s="487" t="s">
        <v>1271</v>
      </c>
      <c r="I39" s="490"/>
      <c r="J39" s="487" t="s">
        <v>993</v>
      </c>
      <c r="K39" s="487" t="s">
        <v>1198</v>
      </c>
      <c r="L39" s="487" t="s">
        <v>309</v>
      </c>
      <c r="M39" s="487">
        <v>1</v>
      </c>
      <c r="N39" s="491">
        <v>0.25</v>
      </c>
      <c r="O39" s="491">
        <f>N39*'Perry Ellis 2026 Fase 2'!$O$19</f>
        <v>2.7287499999999998</v>
      </c>
      <c r="P39" s="491">
        <f t="shared" si="16"/>
        <v>0.27500000000000002</v>
      </c>
      <c r="Q39" s="491"/>
      <c r="R39" s="491" t="e">
        <f>N39*#REF!</f>
        <v>#REF!</v>
      </c>
      <c r="S39" s="491" t="e">
        <f>R39*0.25</f>
        <v>#REF!</v>
      </c>
      <c r="T39" s="491" t="e">
        <f>(R39+S39)*8.82%</f>
        <v>#REF!</v>
      </c>
      <c r="U39" s="492" t="e">
        <f t="shared" si="17"/>
        <v>#REF!</v>
      </c>
      <c r="V39" s="493">
        <v>59</v>
      </c>
      <c r="W39" s="491">
        <f t="shared" si="18"/>
        <v>50.862068965517246</v>
      </c>
      <c r="X39" s="494">
        <f t="shared" si="19"/>
        <v>30.517241379310345</v>
      </c>
      <c r="Y39" s="495" t="e">
        <f t="shared" si="20"/>
        <v>#REF!</v>
      </c>
      <c r="Z39" s="497" t="e">
        <f t="shared" si="21"/>
        <v>#REF!</v>
      </c>
      <c r="AA39" s="497">
        <f t="shared" si="22"/>
        <v>0.4</v>
      </c>
      <c r="AB39" s="487" t="s">
        <v>876</v>
      </c>
      <c r="AC39" s="487" t="s">
        <v>134</v>
      </c>
      <c r="AD39" s="487">
        <v>6</v>
      </c>
      <c r="AE39" s="487">
        <v>144</v>
      </c>
      <c r="AF39" s="487" t="s">
        <v>1233</v>
      </c>
      <c r="AG39" s="360">
        <v>46335</v>
      </c>
      <c r="AH39" s="475"/>
      <c r="AI39" s="503">
        <v>39</v>
      </c>
      <c r="AJ39" s="491">
        <f t="shared" si="8"/>
        <v>33.620689655172413</v>
      </c>
      <c r="AK39" s="323" t="e">
        <f t="shared" si="9"/>
        <v>#REF!</v>
      </c>
      <c r="AL39" s="323" t="e">
        <f t="shared" si="10"/>
        <v>#REF!</v>
      </c>
      <c r="AM39" s="317">
        <f t="shared" si="11"/>
        <v>0</v>
      </c>
      <c r="BB39" s="322">
        <v>1</v>
      </c>
      <c r="BC39" s="322">
        <v>1</v>
      </c>
      <c r="BD39" s="322"/>
      <c r="BE39" s="322">
        <v>1</v>
      </c>
      <c r="BF39" s="322">
        <v>1</v>
      </c>
      <c r="BG39" s="322"/>
      <c r="BH39" s="322"/>
      <c r="BI39" s="322"/>
      <c r="BJ39" s="322"/>
      <c r="BK39" s="322">
        <v>9</v>
      </c>
      <c r="BL39" s="322">
        <f t="shared" si="12"/>
        <v>4</v>
      </c>
      <c r="BM39" s="499">
        <f t="shared" si="13"/>
        <v>0.44444444444444442</v>
      </c>
      <c r="BN39" s="361"/>
      <c r="BO39" s="361"/>
      <c r="BP39" s="361"/>
      <c r="BQ39" s="361"/>
      <c r="BR39" s="500" t="str">
        <f t="shared" si="14"/>
        <v>En elaboración de archivos de impresión</v>
      </c>
      <c r="BS39" s="360">
        <f t="shared" si="15"/>
        <v>46335</v>
      </c>
      <c r="BT39" s="487"/>
      <c r="CJ39" s="325"/>
      <c r="CK39" s="325"/>
      <c r="CL39" s="325"/>
      <c r="CM39" s="325"/>
      <c r="CN39" s="325"/>
      <c r="CO39" s="325"/>
      <c r="CP39" s="327"/>
      <c r="CQ39" s="327"/>
      <c r="CR39" s="328"/>
      <c r="CS39" s="328"/>
      <c r="CT39" s="328"/>
      <c r="CU39" s="328"/>
      <c r="CV39" s="328"/>
      <c r="CW39" s="328"/>
      <c r="CX39" s="328"/>
      <c r="CY39" s="328"/>
      <c r="CZ39" s="328"/>
      <c r="DA39" s="328"/>
    </row>
    <row r="40" spans="1:105" ht="108.5">
      <c r="A40" s="487">
        <v>24</v>
      </c>
      <c r="B40" s="487">
        <v>1</v>
      </c>
      <c r="C40" s="488">
        <v>46241</v>
      </c>
      <c r="D40" s="487" t="s">
        <v>305</v>
      </c>
      <c r="E40" s="489" t="s">
        <v>1264</v>
      </c>
      <c r="F40" s="322" t="s">
        <v>57</v>
      </c>
      <c r="G40" s="487" t="s">
        <v>1272</v>
      </c>
      <c r="H40" s="487" t="s">
        <v>1273</v>
      </c>
      <c r="I40" s="502"/>
      <c r="J40" s="487" t="s">
        <v>993</v>
      </c>
      <c r="K40" s="487" t="s">
        <v>1198</v>
      </c>
      <c r="L40" s="487" t="s">
        <v>309</v>
      </c>
      <c r="M40" s="487">
        <v>1</v>
      </c>
      <c r="N40" s="491">
        <v>0.25</v>
      </c>
      <c r="O40" s="491">
        <f>N40*'Perry Ellis 2026 Fase 2'!$O$19</f>
        <v>2.7287499999999998</v>
      </c>
      <c r="P40" s="491">
        <f t="shared" si="16"/>
        <v>0.27500000000000002</v>
      </c>
      <c r="Q40" s="491"/>
      <c r="R40" s="491" t="e">
        <f>N40*#REF!</f>
        <v>#REF!</v>
      </c>
      <c r="S40" s="491" t="e">
        <f>R40*0.25</f>
        <v>#REF!</v>
      </c>
      <c r="T40" s="491" t="e">
        <f>(R40+S40)*8.82%</f>
        <v>#REF!</v>
      </c>
      <c r="U40" s="492" t="e">
        <f t="shared" si="17"/>
        <v>#REF!</v>
      </c>
      <c r="V40" s="493">
        <v>59</v>
      </c>
      <c r="W40" s="491">
        <f t="shared" si="18"/>
        <v>50.862068965517246</v>
      </c>
      <c r="X40" s="494">
        <f t="shared" si="19"/>
        <v>30.517241379310345</v>
      </c>
      <c r="Y40" s="495" t="e">
        <f t="shared" si="20"/>
        <v>#REF!</v>
      </c>
      <c r="Z40" s="497" t="e">
        <f t="shared" si="21"/>
        <v>#REF!</v>
      </c>
      <c r="AA40" s="497">
        <f t="shared" si="22"/>
        <v>0.4</v>
      </c>
      <c r="AB40" s="487" t="s">
        <v>876</v>
      </c>
      <c r="AC40" s="487" t="s">
        <v>134</v>
      </c>
      <c r="AD40" s="487">
        <v>6</v>
      </c>
      <c r="AE40" s="487">
        <v>144</v>
      </c>
      <c r="AF40" s="487" t="s">
        <v>1233</v>
      </c>
      <c r="AG40" s="360">
        <v>46335</v>
      </c>
      <c r="AH40" s="475"/>
      <c r="AI40" s="503">
        <v>39</v>
      </c>
      <c r="AJ40" s="491">
        <f t="shared" si="8"/>
        <v>33.620689655172413</v>
      </c>
      <c r="AK40" s="323" t="e">
        <f t="shared" si="9"/>
        <v>#REF!</v>
      </c>
      <c r="AL40" s="323" t="e">
        <f t="shared" si="10"/>
        <v>#REF!</v>
      </c>
      <c r="AM40" s="317">
        <f t="shared" si="11"/>
        <v>0</v>
      </c>
      <c r="BB40" s="322">
        <v>1</v>
      </c>
      <c r="BC40" s="322">
        <v>1</v>
      </c>
      <c r="BD40" s="322"/>
      <c r="BE40" s="322">
        <v>1</v>
      </c>
      <c r="BF40" s="322">
        <v>1</v>
      </c>
      <c r="BG40" s="322"/>
      <c r="BH40" s="322"/>
      <c r="BI40" s="322"/>
      <c r="BJ40" s="322"/>
      <c r="BK40" s="322">
        <v>9</v>
      </c>
      <c r="BL40" s="322">
        <f t="shared" si="12"/>
        <v>4</v>
      </c>
      <c r="BM40" s="499">
        <f t="shared" si="13"/>
        <v>0.44444444444444442</v>
      </c>
      <c r="BN40" s="361"/>
      <c r="BO40" s="361"/>
      <c r="BP40" s="361"/>
      <c r="BQ40" s="361"/>
      <c r="BR40" s="500" t="str">
        <f t="shared" si="14"/>
        <v>En elaboración de archivos de impresión</v>
      </c>
      <c r="BS40" s="360">
        <f t="shared" si="15"/>
        <v>46335</v>
      </c>
      <c r="BT40" s="487"/>
      <c r="CJ40" s="325"/>
      <c r="CK40" s="325"/>
      <c r="CL40" s="325"/>
      <c r="CM40" s="325"/>
      <c r="CN40" s="325"/>
      <c r="CO40" s="325"/>
      <c r="CP40" s="327"/>
      <c r="CQ40" s="327"/>
      <c r="CR40" s="328"/>
      <c r="CS40" s="328"/>
      <c r="CT40" s="328"/>
      <c r="CU40" s="328"/>
      <c r="CV40" s="328"/>
      <c r="CW40" s="328"/>
      <c r="CX40" s="328"/>
      <c r="CY40" s="328"/>
      <c r="CZ40" s="328"/>
      <c r="DA40" s="328"/>
    </row>
    <row r="41" spans="1:105" ht="108.5">
      <c r="A41" s="487">
        <v>25</v>
      </c>
      <c r="B41" s="487">
        <v>1</v>
      </c>
      <c r="C41" s="488">
        <v>46241</v>
      </c>
      <c r="D41" s="487" t="s">
        <v>305</v>
      </c>
      <c r="E41" s="489" t="s">
        <v>1264</v>
      </c>
      <c r="F41" s="322" t="s">
        <v>57</v>
      </c>
      <c r="G41" s="487" t="s">
        <v>1274</v>
      </c>
      <c r="H41" s="487" t="s">
        <v>1275</v>
      </c>
      <c r="I41" s="490"/>
      <c r="J41" s="487" t="s">
        <v>993</v>
      </c>
      <c r="K41" s="487" t="s">
        <v>1198</v>
      </c>
      <c r="L41" s="487" t="s">
        <v>309</v>
      </c>
      <c r="M41" s="487">
        <v>1</v>
      </c>
      <c r="N41" s="491">
        <v>0.25</v>
      </c>
      <c r="O41" s="491">
        <f>N41*'Perry Ellis 2026 Fase 2'!$O$19</f>
        <v>2.7287499999999998</v>
      </c>
      <c r="P41" s="491">
        <f t="shared" si="16"/>
        <v>0.27500000000000002</v>
      </c>
      <c r="Q41" s="491"/>
      <c r="R41" s="491" t="e">
        <f>N41*#REF!</f>
        <v>#REF!</v>
      </c>
      <c r="S41" s="491" t="e">
        <f>R41*0.25</f>
        <v>#REF!</v>
      </c>
      <c r="T41" s="491" t="e">
        <f>(R41+S41)*8.82%</f>
        <v>#REF!</v>
      </c>
      <c r="U41" s="492" t="e">
        <f t="shared" si="17"/>
        <v>#REF!</v>
      </c>
      <c r="V41" s="493">
        <v>59</v>
      </c>
      <c r="W41" s="491">
        <f t="shared" si="18"/>
        <v>50.862068965517246</v>
      </c>
      <c r="X41" s="494">
        <f t="shared" si="19"/>
        <v>30.517241379310345</v>
      </c>
      <c r="Y41" s="495" t="e">
        <f t="shared" si="20"/>
        <v>#REF!</v>
      </c>
      <c r="Z41" s="497" t="e">
        <f t="shared" si="21"/>
        <v>#REF!</v>
      </c>
      <c r="AA41" s="497">
        <f t="shared" si="22"/>
        <v>0.4</v>
      </c>
      <c r="AB41" s="487" t="s">
        <v>876</v>
      </c>
      <c r="AC41" s="487" t="s">
        <v>134</v>
      </c>
      <c r="AD41" s="487">
        <v>6</v>
      </c>
      <c r="AE41" s="487">
        <v>144</v>
      </c>
      <c r="AF41" s="487" t="s">
        <v>1233</v>
      </c>
      <c r="AG41" s="360">
        <v>46335</v>
      </c>
      <c r="AH41" s="475"/>
      <c r="AI41" s="503">
        <v>40</v>
      </c>
      <c r="AJ41" s="491">
        <f t="shared" si="8"/>
        <v>34.482758620689658</v>
      </c>
      <c r="AK41" s="323" t="e">
        <f t="shared" si="9"/>
        <v>#REF!</v>
      </c>
      <c r="AL41" s="323" t="e">
        <f t="shared" si="10"/>
        <v>#REF!</v>
      </c>
      <c r="AM41" s="317">
        <f t="shared" si="11"/>
        <v>0</v>
      </c>
      <c r="BB41" s="322">
        <v>1</v>
      </c>
      <c r="BC41" s="322">
        <v>1</v>
      </c>
      <c r="BD41" s="322"/>
      <c r="BE41" s="322">
        <v>1</v>
      </c>
      <c r="BF41" s="322">
        <v>1</v>
      </c>
      <c r="BG41" s="322"/>
      <c r="BH41" s="322"/>
      <c r="BI41" s="322"/>
      <c r="BJ41" s="322"/>
      <c r="BK41" s="322">
        <v>9</v>
      </c>
      <c r="BL41" s="322">
        <f t="shared" si="12"/>
        <v>4</v>
      </c>
      <c r="BM41" s="499">
        <f t="shared" si="13"/>
        <v>0.44444444444444442</v>
      </c>
      <c r="BN41" s="361"/>
      <c r="BO41" s="361"/>
      <c r="BP41" s="361"/>
      <c r="BQ41" s="361"/>
      <c r="BR41" s="500" t="str">
        <f t="shared" si="14"/>
        <v>En elaboración de archivos de impresión</v>
      </c>
      <c r="BS41" s="360">
        <f t="shared" si="15"/>
        <v>46335</v>
      </c>
      <c r="BT41" s="487"/>
      <c r="CJ41" s="325"/>
      <c r="CK41" s="325"/>
      <c r="CL41" s="325"/>
      <c r="CM41" s="325"/>
      <c r="CN41" s="325"/>
      <c r="CO41" s="325"/>
      <c r="CP41" s="327"/>
      <c r="CQ41" s="327"/>
      <c r="CR41" s="328"/>
      <c r="CS41" s="328"/>
      <c r="CT41" s="328"/>
      <c r="CU41" s="328"/>
      <c r="CV41" s="328"/>
      <c r="CW41" s="328"/>
      <c r="CX41" s="328"/>
      <c r="CY41" s="328"/>
      <c r="CZ41" s="328"/>
      <c r="DA41" s="328"/>
    </row>
    <row r="42" spans="1:105" ht="31">
      <c r="A42" s="487">
        <v>26</v>
      </c>
      <c r="B42" s="487">
        <v>2</v>
      </c>
      <c r="C42" s="488">
        <v>46241</v>
      </c>
      <c r="D42" s="487" t="s">
        <v>305</v>
      </c>
      <c r="E42" s="489" t="s">
        <v>1276</v>
      </c>
      <c r="F42" s="322" t="s">
        <v>57</v>
      </c>
      <c r="G42" s="487" t="s">
        <v>1277</v>
      </c>
      <c r="H42" s="487" t="s">
        <v>1278</v>
      </c>
      <c r="I42" s="502"/>
      <c r="J42" s="487" t="s">
        <v>1221</v>
      </c>
      <c r="K42" s="487" t="s">
        <v>1198</v>
      </c>
      <c r="L42" s="487" t="s">
        <v>309</v>
      </c>
      <c r="M42" s="487">
        <v>2</v>
      </c>
      <c r="N42" s="491">
        <v>0.76</v>
      </c>
      <c r="O42" s="491">
        <f>N42*'Perry Ellis 2026 Fase 2'!$O$19</f>
        <v>8.295399999999999</v>
      </c>
      <c r="P42" s="491">
        <f t="shared" si="16"/>
        <v>0.83600000000000008</v>
      </c>
      <c r="Q42" s="491"/>
      <c r="R42" s="491" t="e">
        <f>N42*#REF!</f>
        <v>#REF!</v>
      </c>
      <c r="S42" s="491" t="e">
        <f>R42*0.35</f>
        <v>#REF!</v>
      </c>
      <c r="T42" s="491" t="e">
        <f>(R42+S42)*22.84%</f>
        <v>#REF!</v>
      </c>
      <c r="U42" s="492" t="e">
        <f t="shared" si="17"/>
        <v>#REF!</v>
      </c>
      <c r="V42" s="493">
        <v>89</v>
      </c>
      <c r="W42" s="491">
        <f t="shared" si="18"/>
        <v>76.724137931034491</v>
      </c>
      <c r="X42" s="494">
        <f t="shared" si="19"/>
        <v>46.03448275862069</v>
      </c>
      <c r="Y42" s="495" t="e">
        <f t="shared" si="20"/>
        <v>#REF!</v>
      </c>
      <c r="Z42" s="497" t="e">
        <f t="shared" si="21"/>
        <v>#REF!</v>
      </c>
      <c r="AA42" s="497">
        <f t="shared" si="22"/>
        <v>0.4</v>
      </c>
      <c r="AB42" s="487" t="s">
        <v>635</v>
      </c>
      <c r="AC42" s="487" t="s">
        <v>67</v>
      </c>
      <c r="AD42" s="487"/>
      <c r="AE42" s="487"/>
      <c r="AF42" s="487"/>
      <c r="AG42" s="487"/>
      <c r="AH42" s="475"/>
      <c r="AI42" s="503">
        <v>49</v>
      </c>
      <c r="AJ42" s="491">
        <f t="shared" si="8"/>
        <v>42.241379310344833</v>
      </c>
      <c r="AK42" s="323" t="e">
        <f t="shared" si="9"/>
        <v>#REF!</v>
      </c>
      <c r="AL42" s="323" t="e">
        <f t="shared" si="10"/>
        <v>#REF!</v>
      </c>
      <c r="AM42" s="317">
        <f t="shared" si="11"/>
        <v>0</v>
      </c>
      <c r="BB42" s="322">
        <v>1</v>
      </c>
      <c r="BC42" s="322">
        <v>1</v>
      </c>
      <c r="BD42" s="322"/>
      <c r="BE42" s="322">
        <v>1</v>
      </c>
      <c r="BF42" s="322">
        <v>1</v>
      </c>
      <c r="BG42" s="322"/>
      <c r="BH42" s="322"/>
      <c r="BI42" s="322"/>
      <c r="BJ42" s="322"/>
      <c r="BK42" s="322">
        <v>9</v>
      </c>
      <c r="BL42" s="322">
        <f t="shared" si="12"/>
        <v>4</v>
      </c>
      <c r="BM42" s="499">
        <f t="shared" si="13"/>
        <v>0.44444444444444442</v>
      </c>
      <c r="BN42" s="361"/>
      <c r="BO42" s="361"/>
      <c r="BP42" s="361"/>
      <c r="BQ42" s="361"/>
      <c r="BR42" s="500">
        <f t="shared" si="14"/>
        <v>0</v>
      </c>
      <c r="BS42" s="360">
        <f t="shared" si="15"/>
        <v>0</v>
      </c>
      <c r="BT42" s="487"/>
      <c r="CJ42" s="325"/>
      <c r="CK42" s="325"/>
      <c r="CL42" s="325"/>
      <c r="CM42" s="325"/>
      <c r="CN42" s="325"/>
      <c r="CO42" s="325"/>
      <c r="CP42" s="327"/>
      <c r="CQ42" s="327"/>
      <c r="CR42" s="328"/>
      <c r="CS42" s="328"/>
      <c r="CT42" s="328"/>
      <c r="CU42" s="328"/>
      <c r="CV42" s="328"/>
      <c r="CW42" s="328"/>
      <c r="CX42" s="328"/>
      <c r="CY42" s="328"/>
      <c r="CZ42" s="328"/>
      <c r="DA42" s="328"/>
    </row>
    <row r="43" spans="1:105" ht="108.5">
      <c r="A43" s="487">
        <v>27</v>
      </c>
      <c r="B43" s="487">
        <v>2</v>
      </c>
      <c r="C43" s="488">
        <v>46241</v>
      </c>
      <c r="D43" s="487" t="s">
        <v>305</v>
      </c>
      <c r="E43" s="489" t="s">
        <v>1223</v>
      </c>
      <c r="F43" s="322" t="s">
        <v>57</v>
      </c>
      <c r="G43" s="487" t="s">
        <v>1279</v>
      </c>
      <c r="H43" s="487" t="s">
        <v>1280</v>
      </c>
      <c r="I43" s="490"/>
      <c r="J43" s="487" t="s">
        <v>1281</v>
      </c>
      <c r="K43" s="487" t="s">
        <v>1198</v>
      </c>
      <c r="L43" s="487" t="s">
        <v>309</v>
      </c>
      <c r="M43" s="487">
        <v>1</v>
      </c>
      <c r="N43" s="491">
        <v>0.25</v>
      </c>
      <c r="O43" s="491">
        <f>N43*'Perry Ellis 2026 Fase 2'!$O$19</f>
        <v>2.7287499999999998</v>
      </c>
      <c r="P43" s="491">
        <f>N43*1.15</f>
        <v>0.28749999999999998</v>
      </c>
      <c r="Q43" s="491"/>
      <c r="R43" s="491" t="e">
        <f>N43*#REF!</f>
        <v>#REF!</v>
      </c>
      <c r="S43" s="491" t="e">
        <f>R43*0.07</f>
        <v>#REF!</v>
      </c>
      <c r="T43" s="491" t="e">
        <f>(R43+S43)*30.01%</f>
        <v>#REF!</v>
      </c>
      <c r="U43" s="492" t="e">
        <f t="shared" si="17"/>
        <v>#REF!</v>
      </c>
      <c r="V43" s="493">
        <v>79</v>
      </c>
      <c r="W43" s="491">
        <f t="shared" si="18"/>
        <v>68.103448275862078</v>
      </c>
      <c r="X43" s="494">
        <f t="shared" si="19"/>
        <v>40.862068965517246</v>
      </c>
      <c r="Y43" s="495" t="e">
        <f t="shared" si="20"/>
        <v>#REF!</v>
      </c>
      <c r="Z43" s="497" t="e">
        <f t="shared" si="21"/>
        <v>#REF!</v>
      </c>
      <c r="AA43" s="497">
        <f t="shared" si="22"/>
        <v>0.4</v>
      </c>
      <c r="AB43" s="487" t="s">
        <v>556</v>
      </c>
      <c r="AC43" s="487" t="s">
        <v>134</v>
      </c>
      <c r="AD43" s="487">
        <v>6</v>
      </c>
      <c r="AE43" s="487">
        <v>144</v>
      </c>
      <c r="AF43" s="487" t="s">
        <v>1233</v>
      </c>
      <c r="AG43" s="360">
        <v>46335</v>
      </c>
      <c r="AH43" s="475"/>
      <c r="AI43" s="503">
        <v>49</v>
      </c>
      <c r="AJ43" s="491">
        <f t="shared" si="8"/>
        <v>42.241379310344833</v>
      </c>
      <c r="AK43" s="323" t="e">
        <f t="shared" si="9"/>
        <v>#REF!</v>
      </c>
      <c r="AL43" s="323" t="e">
        <f t="shared" si="10"/>
        <v>#REF!</v>
      </c>
      <c r="AM43" s="317">
        <f t="shared" si="11"/>
        <v>0</v>
      </c>
      <c r="BB43" s="322">
        <v>1</v>
      </c>
      <c r="BC43" s="322">
        <v>1</v>
      </c>
      <c r="BD43" s="322"/>
      <c r="BE43" s="322">
        <v>1</v>
      </c>
      <c r="BF43" s="322">
        <v>1</v>
      </c>
      <c r="BG43" s="322"/>
      <c r="BH43" s="322"/>
      <c r="BI43" s="322"/>
      <c r="BJ43" s="322"/>
      <c r="BK43" s="322">
        <v>9</v>
      </c>
      <c r="BL43" s="322">
        <f t="shared" si="12"/>
        <v>4</v>
      </c>
      <c r="BM43" s="499">
        <f t="shared" si="13"/>
        <v>0.44444444444444442</v>
      </c>
      <c r="BN43" s="361"/>
      <c r="BO43" s="361"/>
      <c r="BP43" s="361"/>
      <c r="BQ43" s="361"/>
      <c r="BR43" s="500" t="str">
        <f t="shared" si="14"/>
        <v>En elaboración de archivos de impresión</v>
      </c>
      <c r="BS43" s="360">
        <f t="shared" si="15"/>
        <v>46335</v>
      </c>
      <c r="BT43" s="487"/>
      <c r="CJ43" s="325"/>
      <c r="CK43" s="325"/>
      <c r="CL43" s="325"/>
      <c r="CM43" s="325"/>
      <c r="CN43" s="325"/>
      <c r="CO43" s="325"/>
      <c r="CP43" s="327"/>
      <c r="CQ43" s="327"/>
      <c r="CR43" s="328"/>
      <c r="CS43" s="328"/>
      <c r="CT43" s="328"/>
      <c r="CU43" s="328"/>
      <c r="CV43" s="328"/>
      <c r="CW43" s="328"/>
      <c r="CX43" s="328"/>
      <c r="CY43" s="328"/>
      <c r="CZ43" s="328"/>
      <c r="DA43" s="328"/>
    </row>
    <row r="44" spans="1:105" ht="108.5">
      <c r="A44" s="487">
        <v>28</v>
      </c>
      <c r="B44" s="487">
        <v>1</v>
      </c>
      <c r="C44" s="488">
        <v>46241</v>
      </c>
      <c r="D44" s="487" t="s">
        <v>305</v>
      </c>
      <c r="E44" s="489" t="s">
        <v>1282</v>
      </c>
      <c r="F44" s="322" t="s">
        <v>57</v>
      </c>
      <c r="G44" s="487" t="s">
        <v>1283</v>
      </c>
      <c r="H44" s="487" t="s">
        <v>1284</v>
      </c>
      <c r="I44" s="490"/>
      <c r="J44" s="487" t="s">
        <v>403</v>
      </c>
      <c r="K44" s="487" t="s">
        <v>1198</v>
      </c>
      <c r="L44" s="487" t="s">
        <v>309</v>
      </c>
      <c r="M44" s="487">
        <v>1</v>
      </c>
      <c r="N44" s="491">
        <v>0.35</v>
      </c>
      <c r="O44" s="491">
        <f>N44*'Perry Ellis 2026 Fase 2'!$O$19</f>
        <v>3.8202499999999993</v>
      </c>
      <c r="P44" s="491">
        <f t="shared" ref="P44:P70" si="23">N44*1.1</f>
        <v>0.38500000000000001</v>
      </c>
      <c r="Q44" s="491"/>
      <c r="R44" s="491" t="e">
        <f>N44*#REF!</f>
        <v>#REF!</v>
      </c>
      <c r="S44" s="491" t="e">
        <f t="shared" ref="S44:S56" si="24">R44*0.36</f>
        <v>#REF!</v>
      </c>
      <c r="T44" s="491" t="e">
        <f t="shared" ref="T44:T52" si="25">(R44+S44)*4%</f>
        <v>#REF!</v>
      </c>
      <c r="U44" s="492" t="e">
        <f t="shared" si="17"/>
        <v>#REF!</v>
      </c>
      <c r="V44" s="493">
        <v>159</v>
      </c>
      <c r="W44" s="491">
        <f t="shared" si="18"/>
        <v>137.06896551724139</v>
      </c>
      <c r="X44" s="494">
        <f t="shared" si="19"/>
        <v>82.24137931034484</v>
      </c>
      <c r="Y44" s="495" t="e">
        <f t="shared" si="20"/>
        <v>#REF!</v>
      </c>
      <c r="Z44" s="504" t="e">
        <f t="shared" si="21"/>
        <v>#REF!</v>
      </c>
      <c r="AA44" s="504">
        <f t="shared" si="22"/>
        <v>0.4</v>
      </c>
      <c r="AB44" s="487" t="s">
        <v>312</v>
      </c>
      <c r="AC44" s="487" t="s">
        <v>134</v>
      </c>
      <c r="AD44" s="487">
        <v>6</v>
      </c>
      <c r="AE44" s="487">
        <v>144</v>
      </c>
      <c r="AF44" s="487" t="s">
        <v>1285</v>
      </c>
      <c r="AG44" s="360">
        <v>46342</v>
      </c>
      <c r="AH44" s="475"/>
      <c r="AI44" s="503">
        <v>109</v>
      </c>
      <c r="AJ44" s="491">
        <f t="shared" si="8"/>
        <v>93.965517241379317</v>
      </c>
      <c r="AK44" s="323" t="e">
        <f t="shared" si="9"/>
        <v>#REF!</v>
      </c>
      <c r="AL44" s="323" t="e">
        <f t="shared" si="10"/>
        <v>#REF!</v>
      </c>
      <c r="AM44" s="317">
        <f t="shared" si="11"/>
        <v>0</v>
      </c>
      <c r="BB44" s="322">
        <v>1</v>
      </c>
      <c r="BC44" s="322">
        <v>1</v>
      </c>
      <c r="BD44" s="322"/>
      <c r="BE44" s="322">
        <v>1</v>
      </c>
      <c r="BF44" s="322">
        <v>1</v>
      </c>
      <c r="BG44" s="322"/>
      <c r="BH44" s="322"/>
      <c r="BI44" s="322"/>
      <c r="BJ44" s="322"/>
      <c r="BK44" s="322">
        <v>9</v>
      </c>
      <c r="BL44" s="322">
        <f t="shared" si="12"/>
        <v>4</v>
      </c>
      <c r="BM44" s="499">
        <f t="shared" si="13"/>
        <v>0.44444444444444442</v>
      </c>
      <c r="BN44" s="361"/>
      <c r="BO44" s="361"/>
      <c r="BP44" s="361"/>
      <c r="BQ44" s="361"/>
      <c r="BR44" s="500" t="str">
        <f t="shared" si="14"/>
        <v>PENDIENTE INFORMACION DE PROVEEDOR</v>
      </c>
      <c r="BS44" s="360">
        <f t="shared" si="15"/>
        <v>46342</v>
      </c>
      <c r="BT44" s="487"/>
      <c r="CJ44" s="325"/>
      <c r="CK44" s="325"/>
      <c r="CL44" s="325"/>
      <c r="CM44" s="325"/>
      <c r="CN44" s="325"/>
      <c r="CO44" s="325"/>
      <c r="CP44" s="327"/>
      <c r="CQ44" s="327"/>
      <c r="CR44" s="328"/>
      <c r="CS44" s="328"/>
      <c r="CT44" s="328"/>
      <c r="CU44" s="328"/>
      <c r="CV44" s="328"/>
      <c r="CW44" s="328"/>
      <c r="CX44" s="328"/>
      <c r="CY44" s="328"/>
      <c r="CZ44" s="328"/>
      <c r="DA44" s="328"/>
    </row>
    <row r="45" spans="1:105" ht="108.5">
      <c r="A45" s="487">
        <v>29</v>
      </c>
      <c r="B45" s="487">
        <v>1</v>
      </c>
      <c r="C45" s="488">
        <v>46241</v>
      </c>
      <c r="D45" s="487" t="s">
        <v>305</v>
      </c>
      <c r="E45" s="489" t="s">
        <v>1282</v>
      </c>
      <c r="F45" s="322" t="s">
        <v>57</v>
      </c>
      <c r="G45" s="487" t="s">
        <v>1286</v>
      </c>
      <c r="H45" s="487" t="s">
        <v>1287</v>
      </c>
      <c r="I45" s="490"/>
      <c r="J45" s="487" t="s">
        <v>403</v>
      </c>
      <c r="K45" s="487" t="s">
        <v>1198</v>
      </c>
      <c r="L45" s="487" t="s">
        <v>309</v>
      </c>
      <c r="M45" s="487">
        <v>1</v>
      </c>
      <c r="N45" s="491">
        <v>0.35</v>
      </c>
      <c r="O45" s="491">
        <f>N45*'Perry Ellis 2026 Fase 2'!$O$19</f>
        <v>3.8202499999999993</v>
      </c>
      <c r="P45" s="491">
        <f t="shared" si="23"/>
        <v>0.38500000000000001</v>
      </c>
      <c r="Q45" s="491"/>
      <c r="R45" s="491" t="e">
        <f>N45*#REF!</f>
        <v>#REF!</v>
      </c>
      <c r="S45" s="491" t="e">
        <f t="shared" si="24"/>
        <v>#REF!</v>
      </c>
      <c r="T45" s="491" t="e">
        <f t="shared" si="25"/>
        <v>#REF!</v>
      </c>
      <c r="U45" s="492" t="e">
        <f t="shared" si="17"/>
        <v>#REF!</v>
      </c>
      <c r="V45" s="493">
        <v>159</v>
      </c>
      <c r="W45" s="491">
        <f t="shared" si="18"/>
        <v>137.06896551724139</v>
      </c>
      <c r="X45" s="494">
        <f t="shared" si="19"/>
        <v>82.24137931034484</v>
      </c>
      <c r="Y45" s="495" t="e">
        <f t="shared" si="20"/>
        <v>#REF!</v>
      </c>
      <c r="Z45" s="497" t="e">
        <f t="shared" si="21"/>
        <v>#REF!</v>
      </c>
      <c r="AA45" s="497">
        <f t="shared" si="22"/>
        <v>0.4</v>
      </c>
      <c r="AB45" s="487" t="s">
        <v>312</v>
      </c>
      <c r="AC45" s="487" t="s">
        <v>134</v>
      </c>
      <c r="AD45" s="487">
        <v>6</v>
      </c>
      <c r="AE45" s="487">
        <v>144</v>
      </c>
      <c r="AF45" s="487" t="s">
        <v>1285</v>
      </c>
      <c r="AG45" s="360">
        <v>46342</v>
      </c>
      <c r="AH45" s="475"/>
      <c r="AI45" s="503">
        <v>109</v>
      </c>
      <c r="AJ45" s="491">
        <f t="shared" si="8"/>
        <v>93.965517241379317</v>
      </c>
      <c r="AK45" s="323" t="e">
        <f t="shared" si="9"/>
        <v>#REF!</v>
      </c>
      <c r="AL45" s="323" t="e">
        <f t="shared" si="10"/>
        <v>#REF!</v>
      </c>
      <c r="AM45" s="317">
        <f t="shared" si="11"/>
        <v>0</v>
      </c>
      <c r="BB45" s="322">
        <v>1</v>
      </c>
      <c r="BC45" s="322">
        <v>1</v>
      </c>
      <c r="BD45" s="322"/>
      <c r="BE45" s="322">
        <v>1</v>
      </c>
      <c r="BF45" s="322">
        <v>1</v>
      </c>
      <c r="BG45" s="322"/>
      <c r="BH45" s="322"/>
      <c r="BI45" s="322"/>
      <c r="BJ45" s="322"/>
      <c r="BK45" s="322">
        <v>9</v>
      </c>
      <c r="BL45" s="322">
        <f t="shared" si="12"/>
        <v>4</v>
      </c>
      <c r="BM45" s="499">
        <f t="shared" si="13"/>
        <v>0.44444444444444442</v>
      </c>
      <c r="BN45" s="361"/>
      <c r="BO45" s="361"/>
      <c r="BP45" s="361"/>
      <c r="BQ45" s="361"/>
      <c r="BR45" s="500" t="str">
        <f t="shared" si="14"/>
        <v>PENDIENTE INFORMACION DE PROVEEDOR</v>
      </c>
      <c r="BS45" s="360">
        <f t="shared" si="15"/>
        <v>46342</v>
      </c>
      <c r="BT45" s="487"/>
      <c r="CJ45" s="325"/>
      <c r="CK45" s="325"/>
      <c r="CL45" s="325"/>
      <c r="CM45" s="325"/>
      <c r="CN45" s="325"/>
      <c r="CO45" s="325"/>
      <c r="CP45" s="327"/>
      <c r="CQ45" s="327"/>
      <c r="CR45" s="328"/>
      <c r="CS45" s="328"/>
      <c r="CT45" s="328"/>
      <c r="CU45" s="328"/>
      <c r="CV45" s="328"/>
      <c r="CW45" s="328"/>
      <c r="CX45" s="328"/>
      <c r="CY45" s="328"/>
      <c r="CZ45" s="328"/>
      <c r="DA45" s="328"/>
    </row>
    <row r="46" spans="1:105" ht="108.5">
      <c r="A46" s="487">
        <v>30</v>
      </c>
      <c r="B46" s="487">
        <v>1</v>
      </c>
      <c r="C46" s="488">
        <v>46241</v>
      </c>
      <c r="D46" s="487" t="s">
        <v>305</v>
      </c>
      <c r="E46" s="489" t="s">
        <v>1282</v>
      </c>
      <c r="F46" s="322" t="s">
        <v>57</v>
      </c>
      <c r="G46" s="487" t="s">
        <v>1288</v>
      </c>
      <c r="H46" s="487" t="s">
        <v>1289</v>
      </c>
      <c r="I46" s="490"/>
      <c r="J46" s="487" t="s">
        <v>403</v>
      </c>
      <c r="K46" s="487" t="s">
        <v>1198</v>
      </c>
      <c r="L46" s="487" t="s">
        <v>309</v>
      </c>
      <c r="M46" s="487">
        <v>1</v>
      </c>
      <c r="N46" s="491">
        <v>0.35</v>
      </c>
      <c r="O46" s="491">
        <f>N46*'Perry Ellis 2026 Fase 2'!$O$19</f>
        <v>3.8202499999999993</v>
      </c>
      <c r="P46" s="491">
        <f t="shared" si="23"/>
        <v>0.38500000000000001</v>
      </c>
      <c r="Q46" s="491"/>
      <c r="R46" s="491" t="e">
        <f>N46*#REF!</f>
        <v>#REF!</v>
      </c>
      <c r="S46" s="491" t="e">
        <f t="shared" si="24"/>
        <v>#REF!</v>
      </c>
      <c r="T46" s="491" t="e">
        <f t="shared" si="25"/>
        <v>#REF!</v>
      </c>
      <c r="U46" s="492" t="e">
        <f t="shared" si="17"/>
        <v>#REF!</v>
      </c>
      <c r="V46" s="493">
        <v>159</v>
      </c>
      <c r="W46" s="491">
        <f t="shared" si="18"/>
        <v>137.06896551724139</v>
      </c>
      <c r="X46" s="494">
        <f t="shared" si="19"/>
        <v>82.24137931034484</v>
      </c>
      <c r="Y46" s="495" t="e">
        <f t="shared" si="20"/>
        <v>#REF!</v>
      </c>
      <c r="Z46" s="497" t="e">
        <f t="shared" si="21"/>
        <v>#REF!</v>
      </c>
      <c r="AA46" s="497">
        <f t="shared" si="22"/>
        <v>0.4</v>
      </c>
      <c r="AB46" s="487" t="s">
        <v>312</v>
      </c>
      <c r="AC46" s="487" t="s">
        <v>134</v>
      </c>
      <c r="AD46" s="487">
        <v>6</v>
      </c>
      <c r="AE46" s="487">
        <v>144</v>
      </c>
      <c r="AF46" s="487" t="s">
        <v>1285</v>
      </c>
      <c r="AG46" s="360">
        <v>46342</v>
      </c>
      <c r="AH46" s="475"/>
      <c r="AI46" s="503">
        <v>109</v>
      </c>
      <c r="AJ46" s="491">
        <f t="shared" si="8"/>
        <v>93.965517241379317</v>
      </c>
      <c r="AK46" s="323" t="e">
        <f t="shared" si="9"/>
        <v>#REF!</v>
      </c>
      <c r="AL46" s="323" t="e">
        <f t="shared" si="10"/>
        <v>#REF!</v>
      </c>
      <c r="AM46" s="317">
        <f t="shared" si="11"/>
        <v>0</v>
      </c>
      <c r="BB46" s="322">
        <v>1</v>
      </c>
      <c r="BC46" s="322">
        <v>1</v>
      </c>
      <c r="BD46" s="322"/>
      <c r="BE46" s="322">
        <v>1</v>
      </c>
      <c r="BF46" s="322">
        <v>1</v>
      </c>
      <c r="BG46" s="322"/>
      <c r="BH46" s="322"/>
      <c r="BI46" s="322"/>
      <c r="BJ46" s="322"/>
      <c r="BK46" s="322">
        <v>9</v>
      </c>
      <c r="BL46" s="322">
        <f t="shared" si="12"/>
        <v>4</v>
      </c>
      <c r="BM46" s="499">
        <f t="shared" si="13"/>
        <v>0.44444444444444442</v>
      </c>
      <c r="BN46" s="361"/>
      <c r="BO46" s="361"/>
      <c r="BP46" s="361"/>
      <c r="BQ46" s="361"/>
      <c r="BR46" s="500" t="str">
        <f t="shared" si="14"/>
        <v>PENDIENTE INFORMACION DE PROVEEDOR</v>
      </c>
      <c r="BS46" s="360">
        <f t="shared" si="15"/>
        <v>46342</v>
      </c>
      <c r="BT46" s="487"/>
      <c r="CJ46" s="325"/>
      <c r="CK46" s="325"/>
      <c r="CL46" s="325"/>
      <c r="CM46" s="325"/>
      <c r="CN46" s="325"/>
      <c r="CO46" s="325"/>
      <c r="CP46" s="327"/>
      <c r="CQ46" s="327"/>
      <c r="CR46" s="328"/>
      <c r="CS46" s="328"/>
      <c r="CT46" s="328"/>
      <c r="CU46" s="328"/>
      <c r="CV46" s="328"/>
      <c r="CW46" s="328"/>
      <c r="CX46" s="328"/>
      <c r="CY46" s="328"/>
      <c r="CZ46" s="328"/>
      <c r="DA46" s="328"/>
    </row>
    <row r="47" spans="1:105" ht="108.5">
      <c r="A47" s="487">
        <v>31</v>
      </c>
      <c r="B47" s="487">
        <v>1</v>
      </c>
      <c r="C47" s="488">
        <v>46241</v>
      </c>
      <c r="D47" s="487" t="s">
        <v>305</v>
      </c>
      <c r="E47" s="489" t="s">
        <v>1282</v>
      </c>
      <c r="F47" s="322" t="s">
        <v>57</v>
      </c>
      <c r="G47" s="487" t="s">
        <v>1290</v>
      </c>
      <c r="H47" s="487" t="s">
        <v>1291</v>
      </c>
      <c r="I47" s="490" t="s">
        <v>1267</v>
      </c>
      <c r="J47" s="487" t="s">
        <v>403</v>
      </c>
      <c r="K47" s="487" t="s">
        <v>1198</v>
      </c>
      <c r="L47" s="487" t="s">
        <v>309</v>
      </c>
      <c r="M47" s="487">
        <v>1</v>
      </c>
      <c r="N47" s="491">
        <v>0.35</v>
      </c>
      <c r="O47" s="491">
        <f>N47*'Perry Ellis 2026 Fase 2'!$O$19</f>
        <v>3.8202499999999993</v>
      </c>
      <c r="P47" s="491">
        <f t="shared" si="23"/>
        <v>0.38500000000000001</v>
      </c>
      <c r="Q47" s="491"/>
      <c r="R47" s="491" t="e">
        <f>N47*#REF!</f>
        <v>#REF!</v>
      </c>
      <c r="S47" s="491" t="e">
        <f t="shared" si="24"/>
        <v>#REF!</v>
      </c>
      <c r="T47" s="491" t="e">
        <f t="shared" si="25"/>
        <v>#REF!</v>
      </c>
      <c r="U47" s="492" t="e">
        <f t="shared" si="17"/>
        <v>#REF!</v>
      </c>
      <c r="V47" s="493">
        <v>159</v>
      </c>
      <c r="W47" s="491">
        <f t="shared" si="18"/>
        <v>137.06896551724139</v>
      </c>
      <c r="X47" s="494">
        <f t="shared" si="19"/>
        <v>82.24137931034484</v>
      </c>
      <c r="Y47" s="495" t="e">
        <f t="shared" si="20"/>
        <v>#REF!</v>
      </c>
      <c r="Z47" s="497" t="e">
        <f t="shared" si="21"/>
        <v>#REF!</v>
      </c>
      <c r="AA47" s="497">
        <f t="shared" si="22"/>
        <v>0.4</v>
      </c>
      <c r="AB47" s="487" t="s">
        <v>312</v>
      </c>
      <c r="AC47" s="487" t="s">
        <v>134</v>
      </c>
      <c r="AD47" s="487">
        <v>6</v>
      </c>
      <c r="AE47" s="487">
        <v>144</v>
      </c>
      <c r="AF47" s="487" t="s">
        <v>1285</v>
      </c>
      <c r="AG47" s="360">
        <v>46342</v>
      </c>
      <c r="AH47" s="475"/>
      <c r="AI47" s="503">
        <v>109</v>
      </c>
      <c r="AJ47" s="491">
        <f t="shared" si="8"/>
        <v>93.965517241379317</v>
      </c>
      <c r="AK47" s="323" t="e">
        <f t="shared" si="9"/>
        <v>#REF!</v>
      </c>
      <c r="AL47" s="323" t="e">
        <f t="shared" si="10"/>
        <v>#REF!</v>
      </c>
      <c r="AM47" s="317">
        <f t="shared" si="11"/>
        <v>0</v>
      </c>
      <c r="BB47" s="322">
        <v>1</v>
      </c>
      <c r="BC47" s="322">
        <v>1</v>
      </c>
      <c r="BD47" s="322"/>
      <c r="BE47" s="322">
        <v>1</v>
      </c>
      <c r="BF47" s="322">
        <v>1</v>
      </c>
      <c r="BG47" s="322"/>
      <c r="BH47" s="322"/>
      <c r="BI47" s="322"/>
      <c r="BJ47" s="322"/>
      <c r="BK47" s="322">
        <v>9</v>
      </c>
      <c r="BL47" s="322">
        <f t="shared" si="12"/>
        <v>4</v>
      </c>
      <c r="BM47" s="499">
        <f t="shared" si="13"/>
        <v>0.44444444444444442</v>
      </c>
      <c r="BN47" s="361"/>
      <c r="BO47" s="361"/>
      <c r="BP47" s="361"/>
      <c r="BQ47" s="361"/>
      <c r="BR47" s="500" t="str">
        <f t="shared" si="14"/>
        <v>PENDIENTE INFORMACION DE PROVEEDOR</v>
      </c>
      <c r="BS47" s="360">
        <f t="shared" si="15"/>
        <v>46342</v>
      </c>
      <c r="BT47" s="487"/>
      <c r="CJ47" s="325"/>
      <c r="CK47" s="325"/>
      <c r="CL47" s="325"/>
      <c r="CM47" s="325"/>
      <c r="CN47" s="325"/>
      <c r="CO47" s="325"/>
      <c r="CP47" s="327"/>
      <c r="CQ47" s="327"/>
      <c r="CR47" s="328"/>
      <c r="CS47" s="328"/>
      <c r="CT47" s="328"/>
      <c r="CU47" s="328"/>
      <c r="CV47" s="328"/>
      <c r="CW47" s="328"/>
      <c r="CX47" s="328"/>
      <c r="CY47" s="328"/>
      <c r="CZ47" s="328"/>
      <c r="DA47" s="328"/>
    </row>
    <row r="48" spans="1:105" ht="108.5">
      <c r="A48" s="487">
        <v>32</v>
      </c>
      <c r="B48" s="487">
        <v>1</v>
      </c>
      <c r="C48" s="488">
        <v>46241</v>
      </c>
      <c r="D48" s="487" t="s">
        <v>305</v>
      </c>
      <c r="E48" s="489" t="s">
        <v>1282</v>
      </c>
      <c r="F48" s="322" t="s">
        <v>57</v>
      </c>
      <c r="G48" s="487" t="s">
        <v>1292</v>
      </c>
      <c r="H48" s="487" t="s">
        <v>1293</v>
      </c>
      <c r="I48" s="490"/>
      <c r="J48" s="487" t="s">
        <v>403</v>
      </c>
      <c r="K48" s="487" t="s">
        <v>1198</v>
      </c>
      <c r="L48" s="487" t="s">
        <v>309</v>
      </c>
      <c r="M48" s="487">
        <v>1</v>
      </c>
      <c r="N48" s="491">
        <v>0.35</v>
      </c>
      <c r="O48" s="491">
        <f>N48*'Perry Ellis 2026 Fase 2'!$O$19</f>
        <v>3.8202499999999993</v>
      </c>
      <c r="P48" s="491">
        <f t="shared" si="23"/>
        <v>0.38500000000000001</v>
      </c>
      <c r="Q48" s="491"/>
      <c r="R48" s="491" t="e">
        <f>N48*#REF!</f>
        <v>#REF!</v>
      </c>
      <c r="S48" s="491" t="e">
        <f t="shared" si="24"/>
        <v>#REF!</v>
      </c>
      <c r="T48" s="491" t="e">
        <f t="shared" si="25"/>
        <v>#REF!</v>
      </c>
      <c r="U48" s="492" t="e">
        <f t="shared" si="17"/>
        <v>#REF!</v>
      </c>
      <c r="V48" s="493">
        <v>159</v>
      </c>
      <c r="W48" s="491">
        <f t="shared" si="18"/>
        <v>137.06896551724139</v>
      </c>
      <c r="X48" s="494">
        <f t="shared" si="19"/>
        <v>82.24137931034484</v>
      </c>
      <c r="Y48" s="495" t="e">
        <f t="shared" si="20"/>
        <v>#REF!</v>
      </c>
      <c r="Z48" s="497" t="e">
        <f t="shared" si="21"/>
        <v>#REF!</v>
      </c>
      <c r="AA48" s="497">
        <f t="shared" si="22"/>
        <v>0.4</v>
      </c>
      <c r="AB48" s="487" t="s">
        <v>312</v>
      </c>
      <c r="AC48" s="487" t="s">
        <v>134</v>
      </c>
      <c r="AD48" s="487">
        <v>6</v>
      </c>
      <c r="AE48" s="487">
        <v>144</v>
      </c>
      <c r="AF48" s="487" t="s">
        <v>1285</v>
      </c>
      <c r="AG48" s="360">
        <v>46342</v>
      </c>
      <c r="AH48" s="475"/>
      <c r="AI48" s="503">
        <v>109</v>
      </c>
      <c r="AJ48" s="491">
        <f t="shared" si="8"/>
        <v>93.965517241379317</v>
      </c>
      <c r="AK48" s="323" t="e">
        <f t="shared" si="9"/>
        <v>#REF!</v>
      </c>
      <c r="AL48" s="323" t="e">
        <f t="shared" si="10"/>
        <v>#REF!</v>
      </c>
      <c r="AM48" s="317">
        <f t="shared" si="11"/>
        <v>0</v>
      </c>
      <c r="BB48" s="322">
        <v>1</v>
      </c>
      <c r="BC48" s="322">
        <v>1</v>
      </c>
      <c r="BD48" s="322"/>
      <c r="BE48" s="322">
        <v>1</v>
      </c>
      <c r="BF48" s="322">
        <v>1</v>
      </c>
      <c r="BG48" s="322"/>
      <c r="BH48" s="322"/>
      <c r="BI48" s="322"/>
      <c r="BJ48" s="322"/>
      <c r="BK48" s="322">
        <v>9</v>
      </c>
      <c r="BL48" s="322">
        <f t="shared" si="12"/>
        <v>4</v>
      </c>
      <c r="BM48" s="499">
        <f t="shared" si="13"/>
        <v>0.44444444444444442</v>
      </c>
      <c r="BN48" s="361"/>
      <c r="BO48" s="361"/>
      <c r="BP48" s="361"/>
      <c r="BQ48" s="361"/>
      <c r="BR48" s="500" t="str">
        <f t="shared" si="14"/>
        <v>PENDIENTE INFORMACION DE PROVEEDOR</v>
      </c>
      <c r="BS48" s="360">
        <f t="shared" si="15"/>
        <v>46342</v>
      </c>
      <c r="BT48" s="487"/>
      <c r="CJ48" s="325"/>
      <c r="CK48" s="325"/>
      <c r="CL48" s="325"/>
      <c r="CM48" s="325"/>
      <c r="CN48" s="325"/>
      <c r="CO48" s="325"/>
      <c r="CP48" s="327"/>
      <c r="CQ48" s="327"/>
      <c r="CR48" s="328"/>
      <c r="CS48" s="328"/>
      <c r="CT48" s="328"/>
      <c r="CU48" s="328"/>
      <c r="CV48" s="328"/>
      <c r="CW48" s="328"/>
      <c r="CX48" s="328"/>
      <c r="CY48" s="328"/>
      <c r="CZ48" s="328"/>
      <c r="DA48" s="328"/>
    </row>
    <row r="49" spans="1:105" ht="108.5">
      <c r="A49" s="487">
        <v>33</v>
      </c>
      <c r="B49" s="487">
        <v>1</v>
      </c>
      <c r="C49" s="488">
        <v>46241</v>
      </c>
      <c r="D49" s="487" t="s">
        <v>305</v>
      </c>
      <c r="E49" s="489" t="s">
        <v>1282</v>
      </c>
      <c r="F49" s="322" t="s">
        <v>57</v>
      </c>
      <c r="G49" s="487" t="s">
        <v>1294</v>
      </c>
      <c r="H49" s="487" t="s">
        <v>1295</v>
      </c>
      <c r="I49" s="490" t="s">
        <v>1267</v>
      </c>
      <c r="J49" s="487" t="s">
        <v>403</v>
      </c>
      <c r="K49" s="487" t="s">
        <v>1198</v>
      </c>
      <c r="L49" s="487" t="s">
        <v>309</v>
      </c>
      <c r="M49" s="487">
        <v>1</v>
      </c>
      <c r="N49" s="491">
        <v>0.35</v>
      </c>
      <c r="O49" s="491">
        <f>N49*'Perry Ellis 2026 Fase 2'!$O$19</f>
        <v>3.8202499999999993</v>
      </c>
      <c r="P49" s="491">
        <f t="shared" si="23"/>
        <v>0.38500000000000001</v>
      </c>
      <c r="Q49" s="491"/>
      <c r="R49" s="491" t="e">
        <f>N49*#REF!</f>
        <v>#REF!</v>
      </c>
      <c r="S49" s="491" t="e">
        <f t="shared" si="24"/>
        <v>#REF!</v>
      </c>
      <c r="T49" s="491" t="e">
        <f t="shared" si="25"/>
        <v>#REF!</v>
      </c>
      <c r="U49" s="492" t="e">
        <f t="shared" si="17"/>
        <v>#REF!</v>
      </c>
      <c r="V49" s="493">
        <v>119</v>
      </c>
      <c r="W49" s="491">
        <f t="shared" si="18"/>
        <v>102.58620689655173</v>
      </c>
      <c r="X49" s="494">
        <f t="shared" si="19"/>
        <v>61.551724137931032</v>
      </c>
      <c r="Y49" s="495" t="e">
        <f t="shared" si="20"/>
        <v>#REF!</v>
      </c>
      <c r="Z49" s="497" t="e">
        <f t="shared" si="21"/>
        <v>#REF!</v>
      </c>
      <c r="AA49" s="497">
        <f t="shared" si="22"/>
        <v>0.4</v>
      </c>
      <c r="AB49" s="487" t="s">
        <v>312</v>
      </c>
      <c r="AC49" s="487" t="s">
        <v>134</v>
      </c>
      <c r="AD49" s="487">
        <v>6</v>
      </c>
      <c r="AE49" s="487">
        <v>144</v>
      </c>
      <c r="AF49" s="487" t="s">
        <v>1285</v>
      </c>
      <c r="AG49" s="360">
        <v>46342</v>
      </c>
      <c r="AH49" s="475"/>
      <c r="AI49" s="503">
        <v>69</v>
      </c>
      <c r="AJ49" s="491">
        <f t="shared" ref="AJ49:AJ80" si="26">AI49/1.16</f>
        <v>59.482758620689658</v>
      </c>
      <c r="AK49" s="323" t="e">
        <f t="shared" ref="AK49:AK80" si="27">U49/AJ49</f>
        <v>#REF!</v>
      </c>
      <c r="AL49" s="323" t="e">
        <f t="shared" ref="AL49:AL70" si="28">1-(U49/AJ49)</f>
        <v>#REF!</v>
      </c>
      <c r="AM49" s="317">
        <f t="shared" ref="AM49:AM70" si="29">1-(AJ49/(AI49/1.16))</f>
        <v>0</v>
      </c>
      <c r="BB49" s="322">
        <v>1</v>
      </c>
      <c r="BC49" s="322">
        <v>1</v>
      </c>
      <c r="BD49" s="322"/>
      <c r="BE49" s="322">
        <v>1</v>
      </c>
      <c r="BF49" s="322">
        <v>1</v>
      </c>
      <c r="BG49" s="322"/>
      <c r="BH49" s="322"/>
      <c r="BI49" s="322"/>
      <c r="BJ49" s="322"/>
      <c r="BK49" s="322">
        <v>9</v>
      </c>
      <c r="BL49" s="322">
        <f t="shared" ref="BL49:BL70" si="30">SUM(BB49:BJ49)</f>
        <v>4</v>
      </c>
      <c r="BM49" s="499">
        <f t="shared" ref="BM49:BM80" si="31">+BL49/BK49</f>
        <v>0.44444444444444442</v>
      </c>
      <c r="BN49" s="361"/>
      <c r="BO49" s="361"/>
      <c r="BP49" s="361"/>
      <c r="BQ49" s="361"/>
      <c r="BR49" s="500" t="str">
        <f t="shared" ref="BR49:BR70" si="32">+AF49</f>
        <v>PENDIENTE INFORMACION DE PROVEEDOR</v>
      </c>
      <c r="BS49" s="360">
        <f t="shared" ref="BS49:BS70" si="33">+AG49</f>
        <v>46342</v>
      </c>
      <c r="BT49" s="487"/>
      <c r="CJ49" s="325"/>
      <c r="CK49" s="325"/>
      <c r="CL49" s="325"/>
      <c r="CM49" s="325"/>
      <c r="CN49" s="325"/>
      <c r="CO49" s="325"/>
      <c r="CP49" s="327"/>
      <c r="CQ49" s="327"/>
      <c r="CR49" s="328"/>
      <c r="CS49" s="328"/>
      <c r="CT49" s="328"/>
      <c r="CU49" s="328"/>
      <c r="CV49" s="328"/>
      <c r="CW49" s="328"/>
      <c r="CX49" s="328"/>
      <c r="CY49" s="328"/>
      <c r="CZ49" s="328"/>
      <c r="DA49" s="328"/>
    </row>
    <row r="50" spans="1:105" ht="108.5">
      <c r="A50" s="487">
        <v>34</v>
      </c>
      <c r="B50" s="487">
        <v>1</v>
      </c>
      <c r="C50" s="488">
        <v>46241</v>
      </c>
      <c r="D50" s="487" t="s">
        <v>305</v>
      </c>
      <c r="E50" s="489" t="s">
        <v>1282</v>
      </c>
      <c r="F50" s="322" t="s">
        <v>57</v>
      </c>
      <c r="G50" s="487" t="s">
        <v>1296</v>
      </c>
      <c r="H50" s="487" t="s">
        <v>1297</v>
      </c>
      <c r="I50" s="490"/>
      <c r="J50" s="487" t="s">
        <v>403</v>
      </c>
      <c r="K50" s="487" t="s">
        <v>1198</v>
      </c>
      <c r="L50" s="487" t="s">
        <v>309</v>
      </c>
      <c r="M50" s="487">
        <v>1</v>
      </c>
      <c r="N50" s="491">
        <v>0.35</v>
      </c>
      <c r="O50" s="491">
        <f>N50*'Perry Ellis 2026 Fase 2'!$O$19</f>
        <v>3.8202499999999993</v>
      </c>
      <c r="P50" s="491">
        <f t="shared" si="23"/>
        <v>0.38500000000000001</v>
      </c>
      <c r="Q50" s="491"/>
      <c r="R50" s="491" t="e">
        <f>N50*#REF!</f>
        <v>#REF!</v>
      </c>
      <c r="S50" s="491" t="e">
        <f t="shared" si="24"/>
        <v>#REF!</v>
      </c>
      <c r="T50" s="491" t="e">
        <f t="shared" si="25"/>
        <v>#REF!</v>
      </c>
      <c r="U50" s="492" t="e">
        <f t="shared" si="17"/>
        <v>#REF!</v>
      </c>
      <c r="V50" s="493">
        <v>119</v>
      </c>
      <c r="W50" s="491">
        <f t="shared" si="18"/>
        <v>102.58620689655173</v>
      </c>
      <c r="X50" s="494">
        <f t="shared" si="19"/>
        <v>61.551724137931032</v>
      </c>
      <c r="Y50" s="495" t="e">
        <f t="shared" si="20"/>
        <v>#REF!</v>
      </c>
      <c r="Z50" s="497" t="e">
        <f t="shared" si="21"/>
        <v>#REF!</v>
      </c>
      <c r="AA50" s="497">
        <f t="shared" si="22"/>
        <v>0.4</v>
      </c>
      <c r="AB50" s="487" t="s">
        <v>312</v>
      </c>
      <c r="AC50" s="487" t="s">
        <v>134</v>
      </c>
      <c r="AD50" s="487">
        <v>6</v>
      </c>
      <c r="AE50" s="487">
        <v>144</v>
      </c>
      <c r="AF50" s="487" t="s">
        <v>1285</v>
      </c>
      <c r="AG50" s="360">
        <v>46342</v>
      </c>
      <c r="AH50" s="475"/>
      <c r="AI50" s="503">
        <v>69</v>
      </c>
      <c r="AJ50" s="491">
        <f t="shared" si="26"/>
        <v>59.482758620689658</v>
      </c>
      <c r="AK50" s="323" t="e">
        <f t="shared" si="27"/>
        <v>#REF!</v>
      </c>
      <c r="AL50" s="323" t="e">
        <f t="shared" si="28"/>
        <v>#REF!</v>
      </c>
      <c r="AM50" s="317">
        <f t="shared" si="29"/>
        <v>0</v>
      </c>
      <c r="BB50" s="322">
        <v>1</v>
      </c>
      <c r="BC50" s="322">
        <v>1</v>
      </c>
      <c r="BD50" s="322"/>
      <c r="BE50" s="322">
        <v>1</v>
      </c>
      <c r="BF50" s="322">
        <v>1</v>
      </c>
      <c r="BG50" s="322"/>
      <c r="BH50" s="322"/>
      <c r="BI50" s="322"/>
      <c r="BJ50" s="322"/>
      <c r="BK50" s="322">
        <v>9</v>
      </c>
      <c r="BL50" s="322">
        <f t="shared" si="30"/>
        <v>4</v>
      </c>
      <c r="BM50" s="499">
        <f t="shared" si="31"/>
        <v>0.44444444444444442</v>
      </c>
      <c r="BN50" s="361"/>
      <c r="BO50" s="361"/>
      <c r="BP50" s="361"/>
      <c r="BQ50" s="361"/>
      <c r="BR50" s="500" t="str">
        <f t="shared" si="32"/>
        <v>PENDIENTE INFORMACION DE PROVEEDOR</v>
      </c>
      <c r="BS50" s="360">
        <f t="shared" si="33"/>
        <v>46342</v>
      </c>
      <c r="BT50" s="487"/>
      <c r="CJ50" s="325"/>
      <c r="CK50" s="325"/>
      <c r="CL50" s="325"/>
      <c r="CM50" s="325"/>
      <c r="CN50" s="325"/>
      <c r="CO50" s="325"/>
      <c r="CP50" s="327"/>
      <c r="CQ50" s="327"/>
      <c r="CR50" s="328"/>
      <c r="CS50" s="328"/>
      <c r="CT50" s="328"/>
      <c r="CU50" s="328"/>
      <c r="CV50" s="328"/>
      <c r="CW50" s="328"/>
      <c r="CX50" s="328"/>
      <c r="CY50" s="328"/>
      <c r="CZ50" s="328"/>
      <c r="DA50" s="328"/>
    </row>
    <row r="51" spans="1:105" ht="108.5">
      <c r="A51" s="487">
        <v>35</v>
      </c>
      <c r="B51" s="487">
        <v>1</v>
      </c>
      <c r="C51" s="488">
        <v>46241</v>
      </c>
      <c r="D51" s="487" t="s">
        <v>305</v>
      </c>
      <c r="E51" s="489" t="s">
        <v>1282</v>
      </c>
      <c r="F51" s="322" t="s">
        <v>57</v>
      </c>
      <c r="G51" s="487" t="s">
        <v>1298</v>
      </c>
      <c r="H51" s="487" t="s">
        <v>1299</v>
      </c>
      <c r="I51" s="490"/>
      <c r="J51" s="487" t="s">
        <v>403</v>
      </c>
      <c r="K51" s="487" t="s">
        <v>1198</v>
      </c>
      <c r="L51" s="487" t="s">
        <v>309</v>
      </c>
      <c r="M51" s="487">
        <v>1</v>
      </c>
      <c r="N51" s="491">
        <v>0.35</v>
      </c>
      <c r="O51" s="491">
        <f>N51*'Perry Ellis 2026 Fase 2'!$O$19</f>
        <v>3.8202499999999993</v>
      </c>
      <c r="P51" s="491">
        <f t="shared" si="23"/>
        <v>0.38500000000000001</v>
      </c>
      <c r="Q51" s="491"/>
      <c r="R51" s="491" t="e">
        <f>N51*#REF!</f>
        <v>#REF!</v>
      </c>
      <c r="S51" s="491" t="e">
        <f t="shared" si="24"/>
        <v>#REF!</v>
      </c>
      <c r="T51" s="491" t="e">
        <f t="shared" si="25"/>
        <v>#REF!</v>
      </c>
      <c r="U51" s="492" t="e">
        <f t="shared" si="17"/>
        <v>#REF!</v>
      </c>
      <c r="V51" s="493">
        <v>119</v>
      </c>
      <c r="W51" s="491">
        <f t="shared" si="18"/>
        <v>102.58620689655173</v>
      </c>
      <c r="X51" s="494">
        <f t="shared" si="19"/>
        <v>61.551724137931032</v>
      </c>
      <c r="Y51" s="495" t="e">
        <f t="shared" si="20"/>
        <v>#REF!</v>
      </c>
      <c r="Z51" s="497" t="e">
        <f t="shared" si="21"/>
        <v>#REF!</v>
      </c>
      <c r="AA51" s="497">
        <f t="shared" si="22"/>
        <v>0.4</v>
      </c>
      <c r="AB51" s="487" t="s">
        <v>312</v>
      </c>
      <c r="AC51" s="487" t="s">
        <v>134</v>
      </c>
      <c r="AD51" s="487">
        <v>6</v>
      </c>
      <c r="AE51" s="487">
        <v>144</v>
      </c>
      <c r="AF51" s="487" t="s">
        <v>1285</v>
      </c>
      <c r="AG51" s="360">
        <v>46342</v>
      </c>
      <c r="AH51" s="475"/>
      <c r="AI51" s="503">
        <v>69</v>
      </c>
      <c r="AJ51" s="491">
        <f t="shared" si="26"/>
        <v>59.482758620689658</v>
      </c>
      <c r="AK51" s="323" t="e">
        <f t="shared" si="27"/>
        <v>#REF!</v>
      </c>
      <c r="AL51" s="323" t="e">
        <f t="shared" si="28"/>
        <v>#REF!</v>
      </c>
      <c r="AM51" s="317">
        <f t="shared" si="29"/>
        <v>0</v>
      </c>
      <c r="BB51" s="322">
        <v>1</v>
      </c>
      <c r="BC51" s="322">
        <v>1</v>
      </c>
      <c r="BD51" s="322"/>
      <c r="BE51" s="322">
        <v>1</v>
      </c>
      <c r="BF51" s="322">
        <v>1</v>
      </c>
      <c r="BG51" s="322"/>
      <c r="BH51" s="322"/>
      <c r="BI51" s="322"/>
      <c r="BJ51" s="322"/>
      <c r="BK51" s="322">
        <v>9</v>
      </c>
      <c r="BL51" s="322">
        <f t="shared" si="30"/>
        <v>4</v>
      </c>
      <c r="BM51" s="499">
        <f t="shared" si="31"/>
        <v>0.44444444444444442</v>
      </c>
      <c r="BN51" s="361"/>
      <c r="BO51" s="361"/>
      <c r="BP51" s="361"/>
      <c r="BQ51" s="361"/>
      <c r="BR51" s="500" t="str">
        <f t="shared" si="32"/>
        <v>PENDIENTE INFORMACION DE PROVEEDOR</v>
      </c>
      <c r="BS51" s="360">
        <f t="shared" si="33"/>
        <v>46342</v>
      </c>
      <c r="BT51" s="487"/>
      <c r="CJ51" s="325"/>
      <c r="CK51" s="325"/>
      <c r="CL51" s="325"/>
      <c r="CM51" s="325"/>
      <c r="CN51" s="325"/>
      <c r="CO51" s="325"/>
      <c r="CP51" s="327"/>
      <c r="CQ51" s="327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</row>
    <row r="52" spans="1:105" ht="108.5">
      <c r="A52" s="487">
        <v>36</v>
      </c>
      <c r="B52" s="487">
        <v>1</v>
      </c>
      <c r="C52" s="488">
        <v>46241</v>
      </c>
      <c r="D52" s="487" t="s">
        <v>305</v>
      </c>
      <c r="E52" s="489" t="s">
        <v>1282</v>
      </c>
      <c r="F52" s="322" t="s">
        <v>57</v>
      </c>
      <c r="G52" s="487" t="s">
        <v>1300</v>
      </c>
      <c r="H52" s="487" t="s">
        <v>1301</v>
      </c>
      <c r="I52" s="490"/>
      <c r="J52" s="487" t="s">
        <v>403</v>
      </c>
      <c r="K52" s="487" t="s">
        <v>1198</v>
      </c>
      <c r="L52" s="487" t="s">
        <v>309</v>
      </c>
      <c r="M52" s="487">
        <v>1</v>
      </c>
      <c r="N52" s="491">
        <v>0.35</v>
      </c>
      <c r="O52" s="491">
        <f>N52*'Perry Ellis 2026 Fase 2'!$O$19</f>
        <v>3.8202499999999993</v>
      </c>
      <c r="P52" s="491">
        <f t="shared" si="23"/>
        <v>0.38500000000000001</v>
      </c>
      <c r="Q52" s="491"/>
      <c r="R52" s="491" t="e">
        <f>N52*#REF!</f>
        <v>#REF!</v>
      </c>
      <c r="S52" s="491" t="e">
        <f t="shared" si="24"/>
        <v>#REF!</v>
      </c>
      <c r="T52" s="491" t="e">
        <f t="shared" si="25"/>
        <v>#REF!</v>
      </c>
      <c r="U52" s="492" t="e">
        <f t="shared" si="17"/>
        <v>#REF!</v>
      </c>
      <c r="V52" s="493">
        <v>119</v>
      </c>
      <c r="W52" s="491">
        <f t="shared" si="18"/>
        <v>102.58620689655173</v>
      </c>
      <c r="X52" s="494">
        <f t="shared" si="19"/>
        <v>61.551724137931032</v>
      </c>
      <c r="Y52" s="495" t="e">
        <f t="shared" si="20"/>
        <v>#REF!</v>
      </c>
      <c r="Z52" s="497" t="e">
        <f t="shared" si="21"/>
        <v>#REF!</v>
      </c>
      <c r="AA52" s="497">
        <f t="shared" si="22"/>
        <v>0.4</v>
      </c>
      <c r="AB52" s="487" t="s">
        <v>312</v>
      </c>
      <c r="AC52" s="487" t="s">
        <v>134</v>
      </c>
      <c r="AD52" s="487">
        <v>6</v>
      </c>
      <c r="AE52" s="487">
        <v>144</v>
      </c>
      <c r="AF52" s="487" t="s">
        <v>1285</v>
      </c>
      <c r="AG52" s="360">
        <v>46342</v>
      </c>
      <c r="AH52" s="475"/>
      <c r="AI52" s="503">
        <v>69</v>
      </c>
      <c r="AJ52" s="491">
        <f t="shared" si="26"/>
        <v>59.482758620689658</v>
      </c>
      <c r="AK52" s="323" t="e">
        <f t="shared" si="27"/>
        <v>#REF!</v>
      </c>
      <c r="AL52" s="323" t="e">
        <f t="shared" si="28"/>
        <v>#REF!</v>
      </c>
      <c r="AM52" s="317">
        <f t="shared" si="29"/>
        <v>0</v>
      </c>
      <c r="BB52" s="322">
        <v>1</v>
      </c>
      <c r="BC52" s="322">
        <v>1</v>
      </c>
      <c r="BD52" s="322"/>
      <c r="BE52" s="322">
        <v>1</v>
      </c>
      <c r="BF52" s="322">
        <v>1</v>
      </c>
      <c r="BG52" s="322"/>
      <c r="BH52" s="322"/>
      <c r="BI52" s="322"/>
      <c r="BJ52" s="322"/>
      <c r="BK52" s="322">
        <v>9</v>
      </c>
      <c r="BL52" s="322">
        <f t="shared" si="30"/>
        <v>4</v>
      </c>
      <c r="BM52" s="499">
        <f t="shared" si="31"/>
        <v>0.44444444444444442</v>
      </c>
      <c r="BN52" s="361"/>
      <c r="BO52" s="361"/>
      <c r="BP52" s="361"/>
      <c r="BQ52" s="361"/>
      <c r="BR52" s="500" t="str">
        <f t="shared" si="32"/>
        <v>PENDIENTE INFORMACION DE PROVEEDOR</v>
      </c>
      <c r="BS52" s="360">
        <f t="shared" si="33"/>
        <v>46342</v>
      </c>
      <c r="BT52" s="487"/>
      <c r="CJ52" s="325"/>
      <c r="CK52" s="325"/>
      <c r="CL52" s="325"/>
      <c r="CM52" s="325"/>
      <c r="CN52" s="325"/>
      <c r="CO52" s="325"/>
      <c r="CP52" s="327"/>
      <c r="CQ52" s="327"/>
      <c r="CR52" s="328"/>
      <c r="CS52" s="328"/>
      <c r="CT52" s="328"/>
      <c r="CU52" s="328"/>
      <c r="CV52" s="328"/>
      <c r="CW52" s="328"/>
      <c r="CX52" s="328"/>
      <c r="CY52" s="328"/>
      <c r="CZ52" s="328"/>
      <c r="DA52" s="328"/>
    </row>
    <row r="53" spans="1:105" ht="108.5">
      <c r="A53" s="487">
        <v>37</v>
      </c>
      <c r="B53" s="487">
        <v>1</v>
      </c>
      <c r="C53" s="488">
        <v>46241</v>
      </c>
      <c r="D53" s="487" t="s">
        <v>305</v>
      </c>
      <c r="E53" s="489" t="s">
        <v>1282</v>
      </c>
      <c r="F53" s="322" t="s">
        <v>57</v>
      </c>
      <c r="G53" s="487" t="s">
        <v>1302</v>
      </c>
      <c r="H53" s="487" t="s">
        <v>1303</v>
      </c>
      <c r="I53" s="490" t="s">
        <v>1267</v>
      </c>
      <c r="J53" s="487" t="s">
        <v>403</v>
      </c>
      <c r="K53" s="487" t="s">
        <v>1198</v>
      </c>
      <c r="L53" s="487" t="s">
        <v>309</v>
      </c>
      <c r="M53" s="487">
        <v>1</v>
      </c>
      <c r="N53" s="491">
        <v>0.35</v>
      </c>
      <c r="O53" s="491">
        <f>N53*'Perry Ellis 2026 Fase 2'!$O$19</f>
        <v>3.8202499999999993</v>
      </c>
      <c r="P53" s="491">
        <f t="shared" si="23"/>
        <v>0.38500000000000001</v>
      </c>
      <c r="Q53" s="491"/>
      <c r="R53" s="491" t="e">
        <f>N53*#REF!</f>
        <v>#REF!</v>
      </c>
      <c r="S53" s="491" t="e">
        <f t="shared" si="24"/>
        <v>#REF!</v>
      </c>
      <c r="T53" s="491" t="e">
        <f>(R53+S53)*23.37%</f>
        <v>#REF!</v>
      </c>
      <c r="U53" s="492" t="e">
        <f t="shared" si="17"/>
        <v>#REF!</v>
      </c>
      <c r="V53" s="493">
        <v>149</v>
      </c>
      <c r="W53" s="491">
        <f t="shared" si="18"/>
        <v>128.44827586206898</v>
      </c>
      <c r="X53" s="494">
        <f t="shared" si="19"/>
        <v>77.068965517241381</v>
      </c>
      <c r="Y53" s="495" t="e">
        <f t="shared" si="20"/>
        <v>#REF!</v>
      </c>
      <c r="Z53" s="497" t="e">
        <f t="shared" si="21"/>
        <v>#REF!</v>
      </c>
      <c r="AA53" s="497">
        <f t="shared" si="22"/>
        <v>0.4</v>
      </c>
      <c r="AB53" s="487" t="s">
        <v>312</v>
      </c>
      <c r="AC53" s="487" t="s">
        <v>134</v>
      </c>
      <c r="AD53" s="487">
        <v>6</v>
      </c>
      <c r="AE53" s="487">
        <v>144</v>
      </c>
      <c r="AF53" s="487" t="s">
        <v>1285</v>
      </c>
      <c r="AG53" s="360">
        <v>46342</v>
      </c>
      <c r="AH53" s="475"/>
      <c r="AI53" s="503">
        <f>V53*0.6</f>
        <v>89.399999999999991</v>
      </c>
      <c r="AJ53" s="491">
        <f t="shared" si="26"/>
        <v>77.068965517241381</v>
      </c>
      <c r="AK53" s="323" t="e">
        <f t="shared" si="27"/>
        <v>#REF!</v>
      </c>
      <c r="AL53" s="323" t="e">
        <f t="shared" si="28"/>
        <v>#REF!</v>
      </c>
      <c r="AM53" s="317">
        <f t="shared" si="29"/>
        <v>0</v>
      </c>
      <c r="BB53" s="322">
        <v>1</v>
      </c>
      <c r="BC53" s="322">
        <v>1</v>
      </c>
      <c r="BD53" s="322"/>
      <c r="BE53" s="322">
        <v>1</v>
      </c>
      <c r="BF53" s="322">
        <v>1</v>
      </c>
      <c r="BG53" s="322"/>
      <c r="BH53" s="322"/>
      <c r="BI53" s="322"/>
      <c r="BJ53" s="322"/>
      <c r="BK53" s="322">
        <v>9</v>
      </c>
      <c r="BL53" s="322">
        <f t="shared" si="30"/>
        <v>4</v>
      </c>
      <c r="BM53" s="499">
        <f t="shared" si="31"/>
        <v>0.44444444444444442</v>
      </c>
      <c r="BN53" s="361"/>
      <c r="BO53" s="361"/>
      <c r="BP53" s="361"/>
      <c r="BQ53" s="361"/>
      <c r="BR53" s="500" t="str">
        <f t="shared" si="32"/>
        <v>PENDIENTE INFORMACION DE PROVEEDOR</v>
      </c>
      <c r="BS53" s="360">
        <f t="shared" si="33"/>
        <v>46342</v>
      </c>
      <c r="BT53" s="487"/>
      <c r="CJ53" s="325"/>
      <c r="CK53" s="325"/>
      <c r="CL53" s="325"/>
      <c r="CM53" s="325"/>
      <c r="CN53" s="325"/>
      <c r="CO53" s="325"/>
      <c r="CP53" s="327"/>
      <c r="CQ53" s="327"/>
      <c r="CR53" s="328"/>
      <c r="CS53" s="328"/>
      <c r="CT53" s="328"/>
      <c r="CU53" s="328"/>
      <c r="CV53" s="328"/>
      <c r="CW53" s="328"/>
      <c r="CX53" s="328"/>
      <c r="CY53" s="328"/>
      <c r="CZ53" s="328"/>
      <c r="DA53" s="328"/>
    </row>
    <row r="54" spans="1:105" ht="108.5">
      <c r="A54" s="487">
        <v>38</v>
      </c>
      <c r="B54" s="487">
        <v>1</v>
      </c>
      <c r="C54" s="488">
        <v>46241</v>
      </c>
      <c r="D54" s="487" t="s">
        <v>305</v>
      </c>
      <c r="E54" s="489" t="s">
        <v>1282</v>
      </c>
      <c r="F54" s="322" t="s">
        <v>57</v>
      </c>
      <c r="G54" s="487" t="s">
        <v>1304</v>
      </c>
      <c r="H54" s="487" t="s">
        <v>1305</v>
      </c>
      <c r="I54" s="490"/>
      <c r="J54" s="487" t="s">
        <v>403</v>
      </c>
      <c r="K54" s="487" t="s">
        <v>1198</v>
      </c>
      <c r="L54" s="487" t="s">
        <v>309</v>
      </c>
      <c r="M54" s="487">
        <v>1</v>
      </c>
      <c r="N54" s="491">
        <v>0.35</v>
      </c>
      <c r="O54" s="491">
        <f>N54*'Perry Ellis 2026 Fase 2'!$O$19</f>
        <v>3.8202499999999993</v>
      </c>
      <c r="P54" s="491">
        <f t="shared" si="23"/>
        <v>0.38500000000000001</v>
      </c>
      <c r="Q54" s="491"/>
      <c r="R54" s="491" t="e">
        <f>N54*#REF!</f>
        <v>#REF!</v>
      </c>
      <c r="S54" s="491" t="e">
        <f t="shared" si="24"/>
        <v>#REF!</v>
      </c>
      <c r="T54" s="491" t="e">
        <f>(R54+S54)*23.37%</f>
        <v>#REF!</v>
      </c>
      <c r="U54" s="492" t="e">
        <f t="shared" si="17"/>
        <v>#REF!</v>
      </c>
      <c r="V54" s="493">
        <v>149</v>
      </c>
      <c r="W54" s="491">
        <f t="shared" si="18"/>
        <v>128.44827586206898</v>
      </c>
      <c r="X54" s="494">
        <f t="shared" si="19"/>
        <v>77.068965517241381</v>
      </c>
      <c r="Y54" s="495" t="e">
        <f t="shared" si="20"/>
        <v>#REF!</v>
      </c>
      <c r="Z54" s="497" t="e">
        <f t="shared" si="21"/>
        <v>#REF!</v>
      </c>
      <c r="AA54" s="497">
        <f t="shared" si="22"/>
        <v>0.4</v>
      </c>
      <c r="AB54" s="487" t="s">
        <v>312</v>
      </c>
      <c r="AC54" s="487" t="s">
        <v>134</v>
      </c>
      <c r="AD54" s="487">
        <v>6</v>
      </c>
      <c r="AE54" s="487">
        <v>144</v>
      </c>
      <c r="AF54" s="487" t="s">
        <v>1285</v>
      </c>
      <c r="AG54" s="360">
        <v>46342</v>
      </c>
      <c r="AH54" s="475"/>
      <c r="AI54" s="503">
        <f>V54*0.6</f>
        <v>89.399999999999991</v>
      </c>
      <c r="AJ54" s="491">
        <f t="shared" si="26"/>
        <v>77.068965517241381</v>
      </c>
      <c r="AK54" s="323" t="e">
        <f t="shared" si="27"/>
        <v>#REF!</v>
      </c>
      <c r="AL54" s="323" t="e">
        <f t="shared" si="28"/>
        <v>#REF!</v>
      </c>
      <c r="AM54" s="317">
        <f t="shared" si="29"/>
        <v>0</v>
      </c>
      <c r="BB54" s="322">
        <v>1</v>
      </c>
      <c r="BC54" s="322">
        <v>1</v>
      </c>
      <c r="BD54" s="322"/>
      <c r="BE54" s="322">
        <v>1</v>
      </c>
      <c r="BF54" s="322">
        <v>1</v>
      </c>
      <c r="BG54" s="322"/>
      <c r="BH54" s="322"/>
      <c r="BI54" s="322"/>
      <c r="BJ54" s="322"/>
      <c r="BK54" s="322">
        <v>9</v>
      </c>
      <c r="BL54" s="322">
        <f t="shared" si="30"/>
        <v>4</v>
      </c>
      <c r="BM54" s="499">
        <f t="shared" si="31"/>
        <v>0.44444444444444442</v>
      </c>
      <c r="BN54" s="361"/>
      <c r="BO54" s="361"/>
      <c r="BP54" s="361"/>
      <c r="BQ54" s="361"/>
      <c r="BR54" s="500" t="str">
        <f t="shared" si="32"/>
        <v>PENDIENTE INFORMACION DE PROVEEDOR</v>
      </c>
      <c r="BS54" s="360">
        <f t="shared" si="33"/>
        <v>46342</v>
      </c>
      <c r="BT54" s="487"/>
      <c r="CJ54" s="325"/>
      <c r="CK54" s="325"/>
      <c r="CL54" s="325"/>
      <c r="CM54" s="325"/>
      <c r="CN54" s="325"/>
      <c r="CO54" s="325"/>
      <c r="CP54" s="327"/>
      <c r="CQ54" s="327"/>
      <c r="CR54" s="328"/>
      <c r="CS54" s="328"/>
      <c r="CT54" s="328"/>
      <c r="CU54" s="328"/>
      <c r="CV54" s="328"/>
      <c r="CW54" s="328"/>
      <c r="CX54" s="328"/>
      <c r="CY54" s="328"/>
      <c r="CZ54" s="328"/>
      <c r="DA54" s="328"/>
    </row>
    <row r="55" spans="1:105" ht="108.5">
      <c r="A55" s="487">
        <v>39</v>
      </c>
      <c r="B55" s="487">
        <v>1</v>
      </c>
      <c r="C55" s="488">
        <v>46241</v>
      </c>
      <c r="D55" s="487" t="s">
        <v>305</v>
      </c>
      <c r="E55" s="489" t="s">
        <v>1282</v>
      </c>
      <c r="F55" s="322" t="s">
        <v>57</v>
      </c>
      <c r="G55" s="487" t="s">
        <v>1306</v>
      </c>
      <c r="H55" s="487" t="s">
        <v>1307</v>
      </c>
      <c r="I55" s="490"/>
      <c r="J55" s="487" t="s">
        <v>403</v>
      </c>
      <c r="K55" s="487" t="s">
        <v>1198</v>
      </c>
      <c r="L55" s="487" t="s">
        <v>309</v>
      </c>
      <c r="M55" s="487">
        <v>1</v>
      </c>
      <c r="N55" s="491">
        <v>0.35</v>
      </c>
      <c r="O55" s="491">
        <f>N55*'Perry Ellis 2026 Fase 2'!$O$19</f>
        <v>3.8202499999999993</v>
      </c>
      <c r="P55" s="491">
        <f t="shared" si="23"/>
        <v>0.38500000000000001</v>
      </c>
      <c r="Q55" s="491"/>
      <c r="R55" s="491" t="e">
        <f>N55*#REF!</f>
        <v>#REF!</v>
      </c>
      <c r="S55" s="491" t="e">
        <f t="shared" si="24"/>
        <v>#REF!</v>
      </c>
      <c r="T55" s="491" t="e">
        <f>(R55+S55)*23.37%</f>
        <v>#REF!</v>
      </c>
      <c r="U55" s="492" t="e">
        <f t="shared" si="17"/>
        <v>#REF!</v>
      </c>
      <c r="V55" s="493">
        <v>149</v>
      </c>
      <c r="W55" s="491">
        <f t="shared" si="18"/>
        <v>128.44827586206898</v>
      </c>
      <c r="X55" s="494">
        <f t="shared" si="19"/>
        <v>77.068965517241381</v>
      </c>
      <c r="Y55" s="495" t="e">
        <f t="shared" si="20"/>
        <v>#REF!</v>
      </c>
      <c r="Z55" s="497" t="e">
        <f t="shared" si="21"/>
        <v>#REF!</v>
      </c>
      <c r="AA55" s="497">
        <f t="shared" si="22"/>
        <v>0.4</v>
      </c>
      <c r="AB55" s="487" t="s">
        <v>312</v>
      </c>
      <c r="AC55" s="487" t="s">
        <v>134</v>
      </c>
      <c r="AD55" s="487">
        <v>6</v>
      </c>
      <c r="AE55" s="487">
        <v>144</v>
      </c>
      <c r="AF55" s="487" t="s">
        <v>1285</v>
      </c>
      <c r="AG55" s="360">
        <v>46342</v>
      </c>
      <c r="AH55" s="475"/>
      <c r="AI55" s="503">
        <f>V55*0.6</f>
        <v>89.399999999999991</v>
      </c>
      <c r="AJ55" s="491">
        <f t="shared" si="26"/>
        <v>77.068965517241381</v>
      </c>
      <c r="AK55" s="323" t="e">
        <f t="shared" si="27"/>
        <v>#REF!</v>
      </c>
      <c r="AL55" s="323" t="e">
        <f t="shared" si="28"/>
        <v>#REF!</v>
      </c>
      <c r="AM55" s="317">
        <f t="shared" si="29"/>
        <v>0</v>
      </c>
      <c r="BB55" s="322">
        <v>1</v>
      </c>
      <c r="BC55" s="322">
        <v>1</v>
      </c>
      <c r="BD55" s="322"/>
      <c r="BE55" s="322">
        <v>1</v>
      </c>
      <c r="BF55" s="322">
        <v>1</v>
      </c>
      <c r="BG55" s="322"/>
      <c r="BH55" s="322"/>
      <c r="BI55" s="322"/>
      <c r="BJ55" s="322"/>
      <c r="BK55" s="322">
        <v>9</v>
      </c>
      <c r="BL55" s="322">
        <f t="shared" si="30"/>
        <v>4</v>
      </c>
      <c r="BM55" s="499">
        <f t="shared" si="31"/>
        <v>0.44444444444444442</v>
      </c>
      <c r="BN55" s="361"/>
      <c r="BO55" s="361"/>
      <c r="BP55" s="361"/>
      <c r="BQ55" s="361"/>
      <c r="BR55" s="500" t="str">
        <f t="shared" si="32"/>
        <v>PENDIENTE INFORMACION DE PROVEEDOR</v>
      </c>
      <c r="BS55" s="360">
        <f t="shared" si="33"/>
        <v>46342</v>
      </c>
      <c r="BT55" s="487"/>
      <c r="CJ55" s="325"/>
      <c r="CK55" s="325"/>
      <c r="CL55" s="325"/>
      <c r="CM55" s="325"/>
      <c r="CN55" s="325"/>
      <c r="CO55" s="325"/>
      <c r="CP55" s="327"/>
      <c r="CQ55" s="327"/>
      <c r="CR55" s="328"/>
      <c r="CS55" s="328"/>
      <c r="CT55" s="328"/>
      <c r="CU55" s="328"/>
      <c r="CV55" s="328"/>
      <c r="CW55" s="328"/>
      <c r="CX55" s="328"/>
      <c r="CY55" s="328"/>
      <c r="CZ55" s="328"/>
      <c r="DA55" s="328"/>
    </row>
    <row r="56" spans="1:105" ht="108.5">
      <c r="A56" s="487">
        <v>40</v>
      </c>
      <c r="B56" s="487">
        <v>1</v>
      </c>
      <c r="C56" s="488">
        <v>46241</v>
      </c>
      <c r="D56" s="487" t="s">
        <v>305</v>
      </c>
      <c r="E56" s="489" t="s">
        <v>1282</v>
      </c>
      <c r="F56" s="322" t="s">
        <v>57</v>
      </c>
      <c r="G56" s="487" t="s">
        <v>1308</v>
      </c>
      <c r="H56" s="487" t="s">
        <v>1309</v>
      </c>
      <c r="I56" s="490"/>
      <c r="J56" s="487" t="s">
        <v>403</v>
      </c>
      <c r="K56" s="487" t="s">
        <v>1198</v>
      </c>
      <c r="L56" s="487" t="s">
        <v>309</v>
      </c>
      <c r="M56" s="487">
        <v>1</v>
      </c>
      <c r="N56" s="491">
        <v>0.35</v>
      </c>
      <c r="O56" s="491">
        <f>N56*'Perry Ellis 2026 Fase 2'!$O$19</f>
        <v>3.8202499999999993</v>
      </c>
      <c r="P56" s="491">
        <f t="shared" si="23"/>
        <v>0.38500000000000001</v>
      </c>
      <c r="Q56" s="491"/>
      <c r="R56" s="491" t="e">
        <f>N56*#REF!</f>
        <v>#REF!</v>
      </c>
      <c r="S56" s="491" t="e">
        <f t="shared" si="24"/>
        <v>#REF!</v>
      </c>
      <c r="T56" s="491" t="e">
        <f>(R56+S56)*23.37%</f>
        <v>#REF!</v>
      </c>
      <c r="U56" s="492" t="e">
        <f t="shared" si="17"/>
        <v>#REF!</v>
      </c>
      <c r="V56" s="493">
        <v>149</v>
      </c>
      <c r="W56" s="491">
        <f t="shared" si="18"/>
        <v>128.44827586206898</v>
      </c>
      <c r="X56" s="494">
        <f t="shared" si="19"/>
        <v>77.068965517241381</v>
      </c>
      <c r="Y56" s="495" t="e">
        <f t="shared" si="20"/>
        <v>#REF!</v>
      </c>
      <c r="Z56" s="497" t="e">
        <f t="shared" si="21"/>
        <v>#REF!</v>
      </c>
      <c r="AA56" s="497">
        <f t="shared" si="22"/>
        <v>0.4</v>
      </c>
      <c r="AB56" s="487" t="s">
        <v>312</v>
      </c>
      <c r="AC56" s="487" t="s">
        <v>134</v>
      </c>
      <c r="AD56" s="487">
        <v>6</v>
      </c>
      <c r="AE56" s="487">
        <v>144</v>
      </c>
      <c r="AF56" s="487" t="s">
        <v>1285</v>
      </c>
      <c r="AG56" s="360">
        <v>46342</v>
      </c>
      <c r="AH56" s="475"/>
      <c r="AI56" s="503">
        <f>V56*0.6</f>
        <v>89.399999999999991</v>
      </c>
      <c r="AJ56" s="491">
        <f t="shared" si="26"/>
        <v>77.068965517241381</v>
      </c>
      <c r="AK56" s="323" t="e">
        <f t="shared" si="27"/>
        <v>#REF!</v>
      </c>
      <c r="AL56" s="323" t="e">
        <f t="shared" si="28"/>
        <v>#REF!</v>
      </c>
      <c r="AM56" s="317">
        <f t="shared" si="29"/>
        <v>0</v>
      </c>
      <c r="BB56" s="322">
        <v>1</v>
      </c>
      <c r="BC56" s="322">
        <v>1</v>
      </c>
      <c r="BD56" s="322"/>
      <c r="BE56" s="322">
        <v>1</v>
      </c>
      <c r="BF56" s="322">
        <v>1</v>
      </c>
      <c r="BG56" s="322"/>
      <c r="BH56" s="322"/>
      <c r="BI56" s="322"/>
      <c r="BJ56" s="322"/>
      <c r="BK56" s="322">
        <v>9</v>
      </c>
      <c r="BL56" s="322">
        <f t="shared" si="30"/>
        <v>4</v>
      </c>
      <c r="BM56" s="499">
        <f t="shared" si="31"/>
        <v>0.44444444444444442</v>
      </c>
      <c r="BN56" s="361"/>
      <c r="BO56" s="361"/>
      <c r="BP56" s="361"/>
      <c r="BQ56" s="361"/>
      <c r="BR56" s="500" t="str">
        <f t="shared" si="32"/>
        <v>PENDIENTE INFORMACION DE PROVEEDOR</v>
      </c>
      <c r="BS56" s="360">
        <f t="shared" si="33"/>
        <v>46342</v>
      </c>
      <c r="BT56" s="487"/>
      <c r="CJ56" s="325"/>
      <c r="CK56" s="325"/>
      <c r="CL56" s="325"/>
      <c r="CM56" s="325"/>
      <c r="CN56" s="325"/>
      <c r="CO56" s="325"/>
      <c r="CP56" s="327"/>
      <c r="CQ56" s="327"/>
      <c r="CR56" s="328"/>
      <c r="CS56" s="328"/>
      <c r="CT56" s="328"/>
      <c r="CU56" s="328"/>
      <c r="CV56" s="328"/>
      <c r="CW56" s="328"/>
      <c r="CX56" s="328"/>
      <c r="CY56" s="328"/>
      <c r="CZ56" s="328"/>
      <c r="DA56" s="328"/>
    </row>
    <row r="57" spans="1:105" ht="31">
      <c r="A57" s="487">
        <v>41</v>
      </c>
      <c r="B57" s="487">
        <v>1</v>
      </c>
      <c r="C57" s="488">
        <v>46241</v>
      </c>
      <c r="D57" s="487" t="s">
        <v>305</v>
      </c>
      <c r="E57" s="489" t="s">
        <v>1310</v>
      </c>
      <c r="F57" s="322" t="s">
        <v>57</v>
      </c>
      <c r="G57" s="487" t="s">
        <v>1311</v>
      </c>
      <c r="H57" s="487" t="s">
        <v>1312</v>
      </c>
      <c r="I57" s="490" t="s">
        <v>1267</v>
      </c>
      <c r="J57" s="487" t="s">
        <v>1313</v>
      </c>
      <c r="K57" s="487" t="s">
        <v>1198</v>
      </c>
      <c r="L57" s="487" t="s">
        <v>309</v>
      </c>
      <c r="M57" s="487">
        <v>1</v>
      </c>
      <c r="N57" s="491">
        <v>0.45</v>
      </c>
      <c r="O57" s="491">
        <f>N57*'Perry Ellis 2026 Fase 2'!$O$19</f>
        <v>4.9117499999999996</v>
      </c>
      <c r="P57" s="491">
        <f t="shared" si="23"/>
        <v>0.49500000000000005</v>
      </c>
      <c r="Q57" s="491"/>
      <c r="R57" s="491" t="e">
        <f>N57*#REF!</f>
        <v>#REF!</v>
      </c>
      <c r="S57" s="491" t="e">
        <f t="shared" ref="S57:S65" si="34">R57*0.25</f>
        <v>#REF!</v>
      </c>
      <c r="T57" s="491" t="e">
        <f>(R57+S57)*8.31%</f>
        <v>#REF!</v>
      </c>
      <c r="U57" s="492" t="e">
        <f t="shared" si="17"/>
        <v>#REF!</v>
      </c>
      <c r="V57" s="493">
        <v>149</v>
      </c>
      <c r="W57" s="491">
        <f t="shared" si="18"/>
        <v>128.44827586206898</v>
      </c>
      <c r="X57" s="494">
        <f t="shared" si="19"/>
        <v>77.068965517241381</v>
      </c>
      <c r="Y57" s="495" t="e">
        <f t="shared" si="20"/>
        <v>#REF!</v>
      </c>
      <c r="Z57" s="497" t="e">
        <f t="shared" si="21"/>
        <v>#REF!</v>
      </c>
      <c r="AA57" s="497">
        <f t="shared" si="22"/>
        <v>0.4</v>
      </c>
      <c r="AB57" s="487" t="s">
        <v>312</v>
      </c>
      <c r="AC57" s="487" t="s">
        <v>134</v>
      </c>
      <c r="AD57" s="487">
        <v>6</v>
      </c>
      <c r="AE57" s="487">
        <v>144</v>
      </c>
      <c r="AF57" s="487"/>
      <c r="AG57" s="360">
        <v>46342</v>
      </c>
      <c r="AH57" s="475"/>
      <c r="AI57" s="503">
        <f>V57*0.6</f>
        <v>89.399999999999991</v>
      </c>
      <c r="AJ57" s="491">
        <f t="shared" si="26"/>
        <v>77.068965517241381</v>
      </c>
      <c r="AK57" s="323" t="e">
        <f t="shared" si="27"/>
        <v>#REF!</v>
      </c>
      <c r="AL57" s="323" t="e">
        <f t="shared" si="28"/>
        <v>#REF!</v>
      </c>
      <c r="AM57" s="317">
        <f t="shared" si="29"/>
        <v>0</v>
      </c>
      <c r="BB57" s="322">
        <v>1</v>
      </c>
      <c r="BC57" s="322">
        <v>1</v>
      </c>
      <c r="BD57" s="322"/>
      <c r="BE57" s="322">
        <v>1</v>
      </c>
      <c r="BF57" s="322">
        <v>1</v>
      </c>
      <c r="BG57" s="322"/>
      <c r="BH57" s="322"/>
      <c r="BI57" s="322"/>
      <c r="BJ57" s="322"/>
      <c r="BK57" s="322">
        <v>9</v>
      </c>
      <c r="BL57" s="322">
        <f t="shared" si="30"/>
        <v>4</v>
      </c>
      <c r="BM57" s="499">
        <f t="shared" si="31"/>
        <v>0.44444444444444442</v>
      </c>
      <c r="BN57" s="361"/>
      <c r="BO57" s="361"/>
      <c r="BP57" s="361"/>
      <c r="BQ57" s="361"/>
      <c r="BR57" s="500">
        <f t="shared" si="32"/>
        <v>0</v>
      </c>
      <c r="BS57" s="360">
        <f t="shared" si="33"/>
        <v>46342</v>
      </c>
      <c r="BT57" s="487"/>
      <c r="CJ57" s="325"/>
      <c r="CK57" s="325"/>
      <c r="CL57" s="325"/>
      <c r="CM57" s="325"/>
      <c r="CN57" s="325"/>
      <c r="CO57" s="325"/>
      <c r="CP57" s="327"/>
      <c r="CQ57" s="327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</row>
    <row r="58" spans="1:105" ht="31">
      <c r="A58" s="487">
        <v>42</v>
      </c>
      <c r="B58" s="487">
        <v>1</v>
      </c>
      <c r="C58" s="488">
        <v>46241</v>
      </c>
      <c r="D58" s="487" t="s">
        <v>305</v>
      </c>
      <c r="E58" s="489" t="s">
        <v>1310</v>
      </c>
      <c r="F58" s="322" t="s">
        <v>57</v>
      </c>
      <c r="G58" s="487" t="s">
        <v>1314</v>
      </c>
      <c r="H58" s="487" t="s">
        <v>1315</v>
      </c>
      <c r="I58" s="490" t="s">
        <v>1267</v>
      </c>
      <c r="J58" s="487" t="s">
        <v>510</v>
      </c>
      <c r="K58" s="487" t="s">
        <v>1198</v>
      </c>
      <c r="L58" s="487" t="s">
        <v>309</v>
      </c>
      <c r="M58" s="487">
        <v>1</v>
      </c>
      <c r="N58" s="491">
        <v>0.8</v>
      </c>
      <c r="O58" s="491">
        <f>N58*'Perry Ellis 2026 Fase 2'!$O$19</f>
        <v>8.7319999999999993</v>
      </c>
      <c r="P58" s="491">
        <f t="shared" si="23"/>
        <v>0.88000000000000012</v>
      </c>
      <c r="Q58" s="491"/>
      <c r="R58" s="491" t="e">
        <f>N58*#REF!</f>
        <v>#REF!</v>
      </c>
      <c r="S58" s="491" t="e">
        <f t="shared" si="34"/>
        <v>#REF!</v>
      </c>
      <c r="T58" s="491" t="e">
        <f>(R58+S58)*5.01%</f>
        <v>#REF!</v>
      </c>
      <c r="U58" s="492" t="e">
        <f t="shared" si="17"/>
        <v>#REF!</v>
      </c>
      <c r="V58" s="493">
        <v>179</v>
      </c>
      <c r="W58" s="491">
        <f t="shared" si="18"/>
        <v>154.31034482758622</v>
      </c>
      <c r="X58" s="494">
        <f t="shared" si="19"/>
        <v>92.58620689655173</v>
      </c>
      <c r="Y58" s="495" t="e">
        <f t="shared" si="20"/>
        <v>#REF!</v>
      </c>
      <c r="Z58" s="497" t="e">
        <f t="shared" si="21"/>
        <v>#REF!</v>
      </c>
      <c r="AA58" s="497">
        <f t="shared" si="22"/>
        <v>0.4</v>
      </c>
      <c r="AB58" s="487" t="s">
        <v>312</v>
      </c>
      <c r="AC58" s="487" t="s">
        <v>134</v>
      </c>
      <c r="AD58" s="487">
        <v>6</v>
      </c>
      <c r="AE58" s="487">
        <v>48</v>
      </c>
      <c r="AF58" s="487"/>
      <c r="AG58" s="360">
        <v>46342</v>
      </c>
      <c r="AH58" s="475"/>
      <c r="AI58" s="503">
        <v>109</v>
      </c>
      <c r="AJ58" s="491">
        <f t="shared" si="26"/>
        <v>93.965517241379317</v>
      </c>
      <c r="AK58" s="323" t="e">
        <f t="shared" si="27"/>
        <v>#REF!</v>
      </c>
      <c r="AL58" s="323" t="e">
        <f t="shared" si="28"/>
        <v>#REF!</v>
      </c>
      <c r="AM58" s="317">
        <f t="shared" si="29"/>
        <v>0</v>
      </c>
      <c r="BB58" s="322">
        <v>1</v>
      </c>
      <c r="BC58" s="322">
        <v>1</v>
      </c>
      <c r="BD58" s="322"/>
      <c r="BE58" s="322">
        <v>1</v>
      </c>
      <c r="BF58" s="322">
        <v>1</v>
      </c>
      <c r="BG58" s="322"/>
      <c r="BH58" s="322"/>
      <c r="BI58" s="322"/>
      <c r="BJ58" s="322"/>
      <c r="BK58" s="322">
        <v>9</v>
      </c>
      <c r="BL58" s="322">
        <f t="shared" si="30"/>
        <v>4</v>
      </c>
      <c r="BM58" s="499">
        <f t="shared" si="31"/>
        <v>0.44444444444444442</v>
      </c>
      <c r="BN58" s="361"/>
      <c r="BO58" s="361"/>
      <c r="BP58" s="361"/>
      <c r="BQ58" s="361"/>
      <c r="BR58" s="500">
        <f t="shared" si="32"/>
        <v>0</v>
      </c>
      <c r="BS58" s="360">
        <f t="shared" si="33"/>
        <v>46342</v>
      </c>
      <c r="BT58" s="487"/>
      <c r="CJ58" s="325"/>
      <c r="CK58" s="325"/>
      <c r="CL58" s="325"/>
      <c r="CM58" s="325"/>
      <c r="CN58" s="325"/>
      <c r="CO58" s="325"/>
      <c r="CP58" s="327"/>
      <c r="CQ58" s="327"/>
      <c r="CR58" s="328"/>
      <c r="CS58" s="328"/>
      <c r="CT58" s="328"/>
      <c r="CU58" s="328"/>
      <c r="CV58" s="328"/>
      <c r="CW58" s="328"/>
      <c r="CX58" s="328"/>
      <c r="CY58" s="328"/>
      <c r="CZ58" s="328"/>
      <c r="DA58" s="328"/>
    </row>
    <row r="59" spans="1:105" ht="31">
      <c r="A59" s="487">
        <v>43</v>
      </c>
      <c r="B59" s="487">
        <v>1</v>
      </c>
      <c r="C59" s="488">
        <v>46241</v>
      </c>
      <c r="D59" s="487" t="s">
        <v>305</v>
      </c>
      <c r="E59" s="489" t="s">
        <v>1310</v>
      </c>
      <c r="F59" s="322" t="s">
        <v>57</v>
      </c>
      <c r="G59" s="487" t="s">
        <v>1316</v>
      </c>
      <c r="H59" s="487" t="s">
        <v>1317</v>
      </c>
      <c r="I59" s="502"/>
      <c r="J59" s="487" t="s">
        <v>510</v>
      </c>
      <c r="K59" s="487" t="s">
        <v>1198</v>
      </c>
      <c r="L59" s="487" t="s">
        <v>309</v>
      </c>
      <c r="M59" s="487">
        <v>1</v>
      </c>
      <c r="N59" s="491">
        <v>0.8</v>
      </c>
      <c r="O59" s="491">
        <f>N59*'Perry Ellis 2026 Fase 2'!$O$19</f>
        <v>8.7319999999999993</v>
      </c>
      <c r="P59" s="491">
        <f t="shared" si="23"/>
        <v>0.88000000000000012</v>
      </c>
      <c r="Q59" s="491"/>
      <c r="R59" s="491" t="e">
        <f>N59*#REF!</f>
        <v>#REF!</v>
      </c>
      <c r="S59" s="491" t="e">
        <f t="shared" si="34"/>
        <v>#REF!</v>
      </c>
      <c r="T59" s="491" t="e">
        <f>(R59+S59)*5.01%</f>
        <v>#REF!</v>
      </c>
      <c r="U59" s="492" t="e">
        <f t="shared" si="17"/>
        <v>#REF!</v>
      </c>
      <c r="V59" s="493">
        <v>179</v>
      </c>
      <c r="W59" s="491">
        <f t="shared" si="18"/>
        <v>154.31034482758622</v>
      </c>
      <c r="X59" s="494">
        <f t="shared" si="19"/>
        <v>92.58620689655173</v>
      </c>
      <c r="Y59" s="495" t="e">
        <f t="shared" si="20"/>
        <v>#REF!</v>
      </c>
      <c r="Z59" s="497" t="e">
        <f t="shared" si="21"/>
        <v>#REF!</v>
      </c>
      <c r="AA59" s="497">
        <f t="shared" si="22"/>
        <v>0.4</v>
      </c>
      <c r="AB59" s="487" t="s">
        <v>312</v>
      </c>
      <c r="AC59" s="487" t="s">
        <v>134</v>
      </c>
      <c r="AD59" s="487">
        <v>6</v>
      </c>
      <c r="AE59" s="487">
        <v>48</v>
      </c>
      <c r="AF59" s="487"/>
      <c r="AG59" s="360">
        <v>46342</v>
      </c>
      <c r="AH59" s="475"/>
      <c r="AI59" s="503">
        <v>109</v>
      </c>
      <c r="AJ59" s="491">
        <f t="shared" si="26"/>
        <v>93.965517241379317</v>
      </c>
      <c r="AK59" s="323" t="e">
        <f t="shared" si="27"/>
        <v>#REF!</v>
      </c>
      <c r="AL59" s="323" t="e">
        <f t="shared" si="28"/>
        <v>#REF!</v>
      </c>
      <c r="AM59" s="317">
        <f t="shared" si="29"/>
        <v>0</v>
      </c>
      <c r="BB59" s="322">
        <v>1</v>
      </c>
      <c r="BC59" s="322">
        <v>1</v>
      </c>
      <c r="BD59" s="322"/>
      <c r="BE59" s="322">
        <v>1</v>
      </c>
      <c r="BF59" s="322">
        <v>1</v>
      </c>
      <c r="BG59" s="322"/>
      <c r="BH59" s="322"/>
      <c r="BI59" s="322"/>
      <c r="BJ59" s="322"/>
      <c r="BK59" s="322">
        <v>9</v>
      </c>
      <c r="BL59" s="322">
        <f t="shared" si="30"/>
        <v>4</v>
      </c>
      <c r="BM59" s="499">
        <f t="shared" si="31"/>
        <v>0.44444444444444442</v>
      </c>
      <c r="BN59" s="361"/>
      <c r="BO59" s="361"/>
      <c r="BP59" s="361"/>
      <c r="BQ59" s="361"/>
      <c r="BR59" s="500">
        <f t="shared" si="32"/>
        <v>0</v>
      </c>
      <c r="BS59" s="360">
        <f t="shared" si="33"/>
        <v>46342</v>
      </c>
      <c r="BT59" s="487"/>
      <c r="CJ59" s="325"/>
      <c r="CK59" s="325"/>
      <c r="CL59" s="325"/>
      <c r="CM59" s="325"/>
      <c r="CN59" s="325"/>
      <c r="CO59" s="325"/>
      <c r="CP59" s="327"/>
      <c r="CQ59" s="327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</row>
    <row r="60" spans="1:105" ht="31">
      <c r="A60" s="487">
        <v>44</v>
      </c>
      <c r="B60" s="487">
        <v>1</v>
      </c>
      <c r="C60" s="488">
        <v>46241</v>
      </c>
      <c r="D60" s="487" t="s">
        <v>305</v>
      </c>
      <c r="E60" s="489" t="s">
        <v>1310</v>
      </c>
      <c r="F60" s="322" t="s">
        <v>57</v>
      </c>
      <c r="G60" s="487" t="s">
        <v>1318</v>
      </c>
      <c r="H60" s="487" t="s">
        <v>1319</v>
      </c>
      <c r="I60" s="490"/>
      <c r="J60" s="487" t="s">
        <v>510</v>
      </c>
      <c r="K60" s="487" t="s">
        <v>1198</v>
      </c>
      <c r="L60" s="487" t="s">
        <v>309</v>
      </c>
      <c r="M60" s="487">
        <v>1</v>
      </c>
      <c r="N60" s="491">
        <v>0.8</v>
      </c>
      <c r="O60" s="491">
        <f>N60*'Perry Ellis 2026 Fase 2'!$O$19</f>
        <v>8.7319999999999993</v>
      </c>
      <c r="P60" s="491">
        <f t="shared" si="23"/>
        <v>0.88000000000000012</v>
      </c>
      <c r="Q60" s="491"/>
      <c r="R60" s="491" t="e">
        <f>N60*#REF!</f>
        <v>#REF!</v>
      </c>
      <c r="S60" s="491" t="e">
        <f t="shared" si="34"/>
        <v>#REF!</v>
      </c>
      <c r="T60" s="491" t="e">
        <f>(R60+S60)*5.01%</f>
        <v>#REF!</v>
      </c>
      <c r="U60" s="492" t="e">
        <f t="shared" si="17"/>
        <v>#REF!</v>
      </c>
      <c r="V60" s="493">
        <v>179</v>
      </c>
      <c r="W60" s="491">
        <f t="shared" si="18"/>
        <v>154.31034482758622</v>
      </c>
      <c r="X60" s="494">
        <f t="shared" si="19"/>
        <v>92.58620689655173</v>
      </c>
      <c r="Y60" s="495" t="e">
        <f t="shared" si="20"/>
        <v>#REF!</v>
      </c>
      <c r="Z60" s="497" t="e">
        <f t="shared" si="21"/>
        <v>#REF!</v>
      </c>
      <c r="AA60" s="497">
        <f t="shared" si="22"/>
        <v>0.4</v>
      </c>
      <c r="AB60" s="487" t="s">
        <v>312</v>
      </c>
      <c r="AC60" s="487" t="s">
        <v>134</v>
      </c>
      <c r="AD60" s="487">
        <v>6</v>
      </c>
      <c r="AE60" s="487">
        <v>48</v>
      </c>
      <c r="AF60" s="487"/>
      <c r="AG60" s="360">
        <v>46342</v>
      </c>
      <c r="AH60" s="475"/>
      <c r="AI60" s="503">
        <v>109</v>
      </c>
      <c r="AJ60" s="491">
        <f t="shared" si="26"/>
        <v>93.965517241379317</v>
      </c>
      <c r="AK60" s="323" t="e">
        <f t="shared" si="27"/>
        <v>#REF!</v>
      </c>
      <c r="AL60" s="323" t="e">
        <f t="shared" si="28"/>
        <v>#REF!</v>
      </c>
      <c r="AM60" s="317">
        <f t="shared" si="29"/>
        <v>0</v>
      </c>
      <c r="BB60" s="322">
        <v>1</v>
      </c>
      <c r="BC60" s="322">
        <v>1</v>
      </c>
      <c r="BD60" s="322"/>
      <c r="BE60" s="322">
        <v>1</v>
      </c>
      <c r="BF60" s="322">
        <v>1</v>
      </c>
      <c r="BG60" s="322"/>
      <c r="BH60" s="322"/>
      <c r="BI60" s="322"/>
      <c r="BJ60" s="322"/>
      <c r="BK60" s="322">
        <v>9</v>
      </c>
      <c r="BL60" s="322">
        <f t="shared" si="30"/>
        <v>4</v>
      </c>
      <c r="BM60" s="499">
        <f t="shared" si="31"/>
        <v>0.44444444444444442</v>
      </c>
      <c r="BN60" s="361"/>
      <c r="BO60" s="361"/>
      <c r="BP60" s="361"/>
      <c r="BQ60" s="361"/>
      <c r="BR60" s="500">
        <f t="shared" si="32"/>
        <v>0</v>
      </c>
      <c r="BS60" s="360">
        <f t="shared" si="33"/>
        <v>46342</v>
      </c>
      <c r="BT60" s="487"/>
      <c r="CJ60" s="325"/>
      <c r="CK60" s="325"/>
      <c r="CL60" s="325"/>
      <c r="CM60" s="325"/>
      <c r="CN60" s="325"/>
      <c r="CO60" s="325"/>
      <c r="CP60" s="327"/>
      <c r="CQ60" s="327"/>
      <c r="CR60" s="328"/>
      <c r="CS60" s="328"/>
      <c r="CT60" s="328"/>
      <c r="CU60" s="328"/>
      <c r="CV60" s="328"/>
      <c r="CW60" s="328"/>
      <c r="CX60" s="328"/>
      <c r="CY60" s="328"/>
      <c r="CZ60" s="328"/>
      <c r="DA60" s="328"/>
    </row>
    <row r="61" spans="1:105" ht="31">
      <c r="A61" s="487">
        <v>45</v>
      </c>
      <c r="B61" s="487">
        <v>1</v>
      </c>
      <c r="C61" s="488">
        <v>46241</v>
      </c>
      <c r="D61" s="487" t="s">
        <v>305</v>
      </c>
      <c r="E61" s="489" t="s">
        <v>1310</v>
      </c>
      <c r="F61" s="322" t="s">
        <v>57</v>
      </c>
      <c r="G61" s="487" t="s">
        <v>1320</v>
      </c>
      <c r="H61" s="487" t="s">
        <v>1321</v>
      </c>
      <c r="I61" s="490"/>
      <c r="J61" s="487" t="s">
        <v>510</v>
      </c>
      <c r="K61" s="487" t="s">
        <v>1198</v>
      </c>
      <c r="L61" s="487" t="s">
        <v>309</v>
      </c>
      <c r="M61" s="487">
        <v>1</v>
      </c>
      <c r="N61" s="491">
        <v>0.8</v>
      </c>
      <c r="O61" s="491">
        <f>N61*'Perry Ellis 2026 Fase 2'!$O$19</f>
        <v>8.7319999999999993</v>
      </c>
      <c r="P61" s="491">
        <f t="shared" si="23"/>
        <v>0.88000000000000012</v>
      </c>
      <c r="Q61" s="491"/>
      <c r="R61" s="491" t="e">
        <f>N61*#REF!</f>
        <v>#REF!</v>
      </c>
      <c r="S61" s="491" t="e">
        <f t="shared" si="34"/>
        <v>#REF!</v>
      </c>
      <c r="T61" s="491" t="e">
        <f>(R61+S61)*5.01%</f>
        <v>#REF!</v>
      </c>
      <c r="U61" s="492" t="e">
        <f t="shared" si="17"/>
        <v>#REF!</v>
      </c>
      <c r="V61" s="493">
        <v>179</v>
      </c>
      <c r="W61" s="491">
        <f t="shared" si="18"/>
        <v>154.31034482758622</v>
      </c>
      <c r="X61" s="494">
        <f t="shared" si="19"/>
        <v>92.58620689655173</v>
      </c>
      <c r="Y61" s="495" t="e">
        <f t="shared" si="20"/>
        <v>#REF!</v>
      </c>
      <c r="Z61" s="497" t="e">
        <f t="shared" si="21"/>
        <v>#REF!</v>
      </c>
      <c r="AA61" s="497">
        <f t="shared" si="22"/>
        <v>0.4</v>
      </c>
      <c r="AB61" s="487" t="s">
        <v>312</v>
      </c>
      <c r="AC61" s="487" t="s">
        <v>134</v>
      </c>
      <c r="AD61" s="487">
        <v>6</v>
      </c>
      <c r="AE61" s="487">
        <v>48</v>
      </c>
      <c r="AF61" s="487"/>
      <c r="AG61" s="360">
        <v>46342</v>
      </c>
      <c r="AH61" s="475"/>
      <c r="AI61" s="503">
        <v>109</v>
      </c>
      <c r="AJ61" s="491">
        <f t="shared" si="26"/>
        <v>93.965517241379317</v>
      </c>
      <c r="AK61" s="323" t="e">
        <f t="shared" si="27"/>
        <v>#REF!</v>
      </c>
      <c r="AL61" s="323" t="e">
        <f t="shared" si="28"/>
        <v>#REF!</v>
      </c>
      <c r="AM61" s="317">
        <f t="shared" si="29"/>
        <v>0</v>
      </c>
      <c r="BB61" s="322">
        <v>1</v>
      </c>
      <c r="BC61" s="322">
        <v>1</v>
      </c>
      <c r="BD61" s="322"/>
      <c r="BE61" s="322">
        <v>1</v>
      </c>
      <c r="BF61" s="322">
        <v>1</v>
      </c>
      <c r="BG61" s="322"/>
      <c r="BH61" s="322"/>
      <c r="BI61" s="322"/>
      <c r="BJ61" s="322"/>
      <c r="BK61" s="322">
        <v>9</v>
      </c>
      <c r="BL61" s="322">
        <f t="shared" si="30"/>
        <v>4</v>
      </c>
      <c r="BM61" s="499">
        <f t="shared" si="31"/>
        <v>0.44444444444444442</v>
      </c>
      <c r="BN61" s="361"/>
      <c r="BO61" s="361"/>
      <c r="BP61" s="361"/>
      <c r="BQ61" s="361"/>
      <c r="BR61" s="500">
        <f t="shared" si="32"/>
        <v>0</v>
      </c>
      <c r="BS61" s="360">
        <f t="shared" si="33"/>
        <v>46342</v>
      </c>
      <c r="BT61" s="487"/>
      <c r="CJ61" s="325"/>
      <c r="CK61" s="325"/>
      <c r="CL61" s="325"/>
      <c r="CM61" s="325"/>
      <c r="CN61" s="325"/>
      <c r="CO61" s="325"/>
      <c r="CP61" s="327"/>
      <c r="CQ61" s="327"/>
      <c r="CR61" s="328"/>
      <c r="CS61" s="328"/>
      <c r="CT61" s="328"/>
      <c r="CU61" s="328"/>
      <c r="CV61" s="328"/>
      <c r="CW61" s="328"/>
      <c r="CX61" s="328"/>
      <c r="CY61" s="328"/>
      <c r="CZ61" s="328"/>
      <c r="DA61" s="328"/>
    </row>
    <row r="62" spans="1:105" ht="31">
      <c r="A62" s="487">
        <v>46</v>
      </c>
      <c r="B62" s="487">
        <v>1</v>
      </c>
      <c r="C62" s="488">
        <v>46241</v>
      </c>
      <c r="D62" s="487" t="s">
        <v>305</v>
      </c>
      <c r="E62" s="489" t="s">
        <v>1310</v>
      </c>
      <c r="F62" s="322" t="s">
        <v>57</v>
      </c>
      <c r="G62" s="487" t="s">
        <v>1322</v>
      </c>
      <c r="H62" s="487" t="s">
        <v>1323</v>
      </c>
      <c r="I62" s="490" t="s">
        <v>1267</v>
      </c>
      <c r="J62" s="487" t="s">
        <v>1324</v>
      </c>
      <c r="K62" s="487" t="s">
        <v>1198</v>
      </c>
      <c r="L62" s="487" t="s">
        <v>309</v>
      </c>
      <c r="M62" s="487">
        <v>1</v>
      </c>
      <c r="N62" s="491">
        <v>0.65</v>
      </c>
      <c r="O62" s="491">
        <f>N62*'Perry Ellis 2026 Fase 2'!$O$19</f>
        <v>7.0947499999999994</v>
      </c>
      <c r="P62" s="491">
        <f t="shared" si="23"/>
        <v>0.71500000000000008</v>
      </c>
      <c r="Q62" s="491"/>
      <c r="R62" s="491" t="e">
        <f>N62*#REF!</f>
        <v>#REF!</v>
      </c>
      <c r="S62" s="491" t="e">
        <f t="shared" si="34"/>
        <v>#REF!</v>
      </c>
      <c r="T62" s="491" t="e">
        <f>(R62+S62)*7.08%</f>
        <v>#REF!</v>
      </c>
      <c r="U62" s="492" t="e">
        <f t="shared" si="17"/>
        <v>#REF!</v>
      </c>
      <c r="V62" s="493">
        <v>169</v>
      </c>
      <c r="W62" s="491">
        <f t="shared" si="18"/>
        <v>145.68965517241381</v>
      </c>
      <c r="X62" s="494">
        <f t="shared" si="19"/>
        <v>87.413793103448285</v>
      </c>
      <c r="Y62" s="495" t="e">
        <f t="shared" si="20"/>
        <v>#REF!</v>
      </c>
      <c r="Z62" s="497" t="e">
        <f t="shared" si="21"/>
        <v>#REF!</v>
      </c>
      <c r="AA62" s="497">
        <f t="shared" si="22"/>
        <v>0.4</v>
      </c>
      <c r="AB62" s="487" t="s">
        <v>312</v>
      </c>
      <c r="AC62" s="487" t="s">
        <v>134</v>
      </c>
      <c r="AD62" s="487">
        <v>6</v>
      </c>
      <c r="AE62" s="487">
        <v>144</v>
      </c>
      <c r="AF62" s="487"/>
      <c r="AG62" s="487"/>
      <c r="AH62" s="475"/>
      <c r="AI62" s="503">
        <v>109</v>
      </c>
      <c r="AJ62" s="491">
        <f t="shared" si="26"/>
        <v>93.965517241379317</v>
      </c>
      <c r="AK62" s="323" t="e">
        <f t="shared" si="27"/>
        <v>#REF!</v>
      </c>
      <c r="AL62" s="323" t="e">
        <f t="shared" si="28"/>
        <v>#REF!</v>
      </c>
      <c r="AM62" s="317">
        <f t="shared" si="29"/>
        <v>0</v>
      </c>
      <c r="BB62" s="322">
        <v>1</v>
      </c>
      <c r="BC62" s="322">
        <v>1</v>
      </c>
      <c r="BD62" s="322"/>
      <c r="BE62" s="322">
        <v>1</v>
      </c>
      <c r="BF62" s="322">
        <v>1</v>
      </c>
      <c r="BG62" s="322"/>
      <c r="BH62" s="322"/>
      <c r="BI62" s="322"/>
      <c r="BJ62" s="322"/>
      <c r="BK62" s="322">
        <v>9</v>
      </c>
      <c r="BL62" s="322">
        <f t="shared" si="30"/>
        <v>4</v>
      </c>
      <c r="BM62" s="499">
        <f t="shared" si="31"/>
        <v>0.44444444444444442</v>
      </c>
      <c r="BN62" s="361"/>
      <c r="BO62" s="361"/>
      <c r="BP62" s="361"/>
      <c r="BQ62" s="361"/>
      <c r="BR62" s="500">
        <f t="shared" si="32"/>
        <v>0</v>
      </c>
      <c r="BS62" s="360">
        <f t="shared" si="33"/>
        <v>0</v>
      </c>
      <c r="BT62" s="487"/>
      <c r="CJ62" s="325"/>
      <c r="CK62" s="325"/>
      <c r="CL62" s="325"/>
      <c r="CM62" s="325"/>
      <c r="CN62" s="325"/>
      <c r="CO62" s="325"/>
      <c r="CP62" s="327"/>
      <c r="CQ62" s="327"/>
      <c r="CR62" s="328"/>
      <c r="CS62" s="328"/>
      <c r="CT62" s="328"/>
      <c r="CU62" s="328"/>
      <c r="CV62" s="328"/>
      <c r="CW62" s="328"/>
      <c r="CX62" s="328"/>
      <c r="CY62" s="328"/>
      <c r="CZ62" s="328"/>
      <c r="DA62" s="328"/>
    </row>
    <row r="63" spans="1:105" ht="31">
      <c r="A63" s="487">
        <v>47</v>
      </c>
      <c r="B63" s="487">
        <v>1</v>
      </c>
      <c r="C63" s="488">
        <v>46241</v>
      </c>
      <c r="D63" s="487" t="s">
        <v>305</v>
      </c>
      <c r="E63" s="489" t="s">
        <v>1310</v>
      </c>
      <c r="F63" s="322" t="s">
        <v>57</v>
      </c>
      <c r="G63" s="487" t="s">
        <v>1325</v>
      </c>
      <c r="H63" s="487" t="s">
        <v>1326</v>
      </c>
      <c r="I63" s="490"/>
      <c r="J63" s="487" t="s">
        <v>1324</v>
      </c>
      <c r="K63" s="487" t="s">
        <v>1198</v>
      </c>
      <c r="L63" s="487" t="s">
        <v>309</v>
      </c>
      <c r="M63" s="487">
        <v>1</v>
      </c>
      <c r="N63" s="491">
        <v>0.65</v>
      </c>
      <c r="O63" s="491">
        <f>N63*'Perry Ellis 2026 Fase 2'!$O$19</f>
        <v>7.0947499999999994</v>
      </c>
      <c r="P63" s="491">
        <f t="shared" si="23"/>
        <v>0.71500000000000008</v>
      </c>
      <c r="Q63" s="491"/>
      <c r="R63" s="491" t="e">
        <f>N63*#REF!</f>
        <v>#REF!</v>
      </c>
      <c r="S63" s="491" t="e">
        <f t="shared" si="34"/>
        <v>#REF!</v>
      </c>
      <c r="T63" s="491" t="e">
        <f>(R63+S63)*7.08%</f>
        <v>#REF!</v>
      </c>
      <c r="U63" s="492" t="e">
        <f t="shared" si="17"/>
        <v>#REF!</v>
      </c>
      <c r="V63" s="493">
        <v>169</v>
      </c>
      <c r="W63" s="491">
        <f t="shared" si="18"/>
        <v>145.68965517241381</v>
      </c>
      <c r="X63" s="494">
        <f t="shared" si="19"/>
        <v>87.413793103448285</v>
      </c>
      <c r="Y63" s="495" t="e">
        <f t="shared" si="20"/>
        <v>#REF!</v>
      </c>
      <c r="Z63" s="497" t="e">
        <f t="shared" si="21"/>
        <v>#REF!</v>
      </c>
      <c r="AA63" s="497">
        <f t="shared" si="22"/>
        <v>0.4</v>
      </c>
      <c r="AB63" s="487" t="s">
        <v>312</v>
      </c>
      <c r="AC63" s="487" t="s">
        <v>134</v>
      </c>
      <c r="AD63" s="487">
        <v>6</v>
      </c>
      <c r="AE63" s="487">
        <v>144</v>
      </c>
      <c r="AF63" s="487"/>
      <c r="AG63" s="487"/>
      <c r="AH63" s="475"/>
      <c r="AI63" s="503">
        <v>109</v>
      </c>
      <c r="AJ63" s="491">
        <f t="shared" si="26"/>
        <v>93.965517241379317</v>
      </c>
      <c r="AK63" s="323" t="e">
        <f t="shared" si="27"/>
        <v>#REF!</v>
      </c>
      <c r="AL63" s="323" t="e">
        <f t="shared" si="28"/>
        <v>#REF!</v>
      </c>
      <c r="AM63" s="317">
        <f t="shared" si="29"/>
        <v>0</v>
      </c>
      <c r="BB63" s="322">
        <v>1</v>
      </c>
      <c r="BC63" s="322">
        <v>1</v>
      </c>
      <c r="BD63" s="322"/>
      <c r="BE63" s="322">
        <v>1</v>
      </c>
      <c r="BF63" s="322">
        <v>1</v>
      </c>
      <c r="BG63" s="322"/>
      <c r="BH63" s="322"/>
      <c r="BI63" s="322"/>
      <c r="BJ63" s="322"/>
      <c r="BK63" s="322">
        <v>9</v>
      </c>
      <c r="BL63" s="322">
        <f t="shared" si="30"/>
        <v>4</v>
      </c>
      <c r="BM63" s="499">
        <f t="shared" si="31"/>
        <v>0.44444444444444442</v>
      </c>
      <c r="BN63" s="361"/>
      <c r="BO63" s="361"/>
      <c r="BP63" s="361"/>
      <c r="BQ63" s="361"/>
      <c r="BR63" s="500">
        <f t="shared" si="32"/>
        <v>0</v>
      </c>
      <c r="BS63" s="360">
        <f t="shared" si="33"/>
        <v>0</v>
      </c>
      <c r="BT63" s="487"/>
    </row>
    <row r="64" spans="1:105" ht="31">
      <c r="A64" s="487">
        <v>48</v>
      </c>
      <c r="B64" s="487">
        <v>1</v>
      </c>
      <c r="C64" s="488">
        <v>46241</v>
      </c>
      <c r="D64" s="487" t="s">
        <v>305</v>
      </c>
      <c r="E64" s="489" t="s">
        <v>1310</v>
      </c>
      <c r="F64" s="322" t="s">
        <v>57</v>
      </c>
      <c r="G64" s="487" t="s">
        <v>1327</v>
      </c>
      <c r="H64" s="487" t="s">
        <v>1328</v>
      </c>
      <c r="I64" s="502" t="s">
        <v>1267</v>
      </c>
      <c r="J64" s="487" t="s">
        <v>1324</v>
      </c>
      <c r="K64" s="487" t="s">
        <v>1198</v>
      </c>
      <c r="L64" s="487" t="s">
        <v>309</v>
      </c>
      <c r="M64" s="487">
        <v>1</v>
      </c>
      <c r="N64" s="491">
        <v>0.45</v>
      </c>
      <c r="O64" s="491">
        <f>N64*'Perry Ellis 2026 Fase 2'!$O$19</f>
        <v>4.9117499999999996</v>
      </c>
      <c r="P64" s="491">
        <f t="shared" si="23"/>
        <v>0.49500000000000005</v>
      </c>
      <c r="Q64" s="491"/>
      <c r="R64" s="491" t="e">
        <f>N64*#REF!</f>
        <v>#REF!</v>
      </c>
      <c r="S64" s="491" t="e">
        <f t="shared" si="34"/>
        <v>#REF!</v>
      </c>
      <c r="T64" s="491" t="e">
        <f>(R64+S64)*10.23%</f>
        <v>#REF!</v>
      </c>
      <c r="U64" s="492" t="e">
        <f t="shared" si="17"/>
        <v>#REF!</v>
      </c>
      <c r="V64" s="493">
        <v>169</v>
      </c>
      <c r="W64" s="491">
        <f t="shared" si="18"/>
        <v>145.68965517241381</v>
      </c>
      <c r="X64" s="494">
        <f t="shared" si="19"/>
        <v>87.413793103448285</v>
      </c>
      <c r="Y64" s="495" t="e">
        <f t="shared" si="20"/>
        <v>#REF!</v>
      </c>
      <c r="Z64" s="497" t="e">
        <f t="shared" si="21"/>
        <v>#REF!</v>
      </c>
      <c r="AA64" s="497">
        <f t="shared" si="22"/>
        <v>0.4</v>
      </c>
      <c r="AB64" s="487" t="s">
        <v>312</v>
      </c>
      <c r="AC64" s="487" t="s">
        <v>134</v>
      </c>
      <c r="AD64" s="487">
        <v>6</v>
      </c>
      <c r="AE64" s="487">
        <v>144</v>
      </c>
      <c r="AF64" s="487"/>
      <c r="AG64" s="487"/>
      <c r="AH64" s="475"/>
      <c r="AI64" s="503">
        <v>99</v>
      </c>
      <c r="AJ64" s="491">
        <f t="shared" si="26"/>
        <v>85.344827586206904</v>
      </c>
      <c r="AK64" s="323" t="e">
        <f t="shared" si="27"/>
        <v>#REF!</v>
      </c>
      <c r="AL64" s="323" t="e">
        <f t="shared" si="28"/>
        <v>#REF!</v>
      </c>
      <c r="AM64" s="317">
        <f t="shared" si="29"/>
        <v>0</v>
      </c>
      <c r="BB64" s="322">
        <v>1</v>
      </c>
      <c r="BC64" s="322">
        <v>1</v>
      </c>
      <c r="BD64" s="322"/>
      <c r="BE64" s="322">
        <v>1</v>
      </c>
      <c r="BF64" s="322">
        <v>1</v>
      </c>
      <c r="BG64" s="322"/>
      <c r="BH64" s="322"/>
      <c r="BI64" s="322"/>
      <c r="BJ64" s="322"/>
      <c r="BK64" s="322">
        <v>9</v>
      </c>
      <c r="BL64" s="322">
        <f t="shared" si="30"/>
        <v>4</v>
      </c>
      <c r="BM64" s="499">
        <f t="shared" si="31"/>
        <v>0.44444444444444442</v>
      </c>
      <c r="BN64" s="361"/>
      <c r="BO64" s="361"/>
      <c r="BP64" s="361"/>
      <c r="BQ64" s="361"/>
      <c r="BR64" s="500">
        <f t="shared" si="32"/>
        <v>0</v>
      </c>
      <c r="BS64" s="360">
        <f t="shared" si="33"/>
        <v>0</v>
      </c>
      <c r="BT64" s="487"/>
    </row>
    <row r="65" spans="1:72" ht="31">
      <c r="A65" s="487">
        <v>49</v>
      </c>
      <c r="B65" s="487">
        <v>1</v>
      </c>
      <c r="C65" s="488">
        <v>46241</v>
      </c>
      <c r="D65" s="487" t="s">
        <v>305</v>
      </c>
      <c r="E65" s="489" t="s">
        <v>1310</v>
      </c>
      <c r="F65" s="322" t="s">
        <v>57</v>
      </c>
      <c r="G65" s="487" t="s">
        <v>1329</v>
      </c>
      <c r="H65" s="487" t="s">
        <v>1330</v>
      </c>
      <c r="I65" s="490"/>
      <c r="J65" s="487" t="s">
        <v>1324</v>
      </c>
      <c r="K65" s="487" t="s">
        <v>1198</v>
      </c>
      <c r="L65" s="487" t="s">
        <v>309</v>
      </c>
      <c r="M65" s="487">
        <v>1</v>
      </c>
      <c r="N65" s="491">
        <v>0.45</v>
      </c>
      <c r="O65" s="491">
        <f>N65*'Perry Ellis 2026 Fase 2'!$O$19</f>
        <v>4.9117499999999996</v>
      </c>
      <c r="P65" s="491">
        <f t="shared" si="23"/>
        <v>0.49500000000000005</v>
      </c>
      <c r="Q65" s="491"/>
      <c r="R65" s="491" t="e">
        <f>N65*#REF!</f>
        <v>#REF!</v>
      </c>
      <c r="S65" s="491" t="e">
        <f t="shared" si="34"/>
        <v>#REF!</v>
      </c>
      <c r="T65" s="491" t="e">
        <f>(R65+S65)*10.23%</f>
        <v>#REF!</v>
      </c>
      <c r="U65" s="492" t="e">
        <f t="shared" si="17"/>
        <v>#REF!</v>
      </c>
      <c r="V65" s="493">
        <v>169</v>
      </c>
      <c r="W65" s="491">
        <f t="shared" si="18"/>
        <v>145.68965517241381</v>
      </c>
      <c r="X65" s="494">
        <f t="shared" si="19"/>
        <v>87.413793103448285</v>
      </c>
      <c r="Y65" s="495" t="e">
        <f t="shared" si="20"/>
        <v>#REF!</v>
      </c>
      <c r="Z65" s="497" t="e">
        <f t="shared" si="21"/>
        <v>#REF!</v>
      </c>
      <c r="AA65" s="497">
        <f t="shared" si="22"/>
        <v>0.4</v>
      </c>
      <c r="AB65" s="487" t="s">
        <v>312</v>
      </c>
      <c r="AC65" s="487" t="s">
        <v>134</v>
      </c>
      <c r="AD65" s="487">
        <v>6</v>
      </c>
      <c r="AE65" s="487">
        <v>144</v>
      </c>
      <c r="AF65" s="487"/>
      <c r="AG65" s="487"/>
      <c r="AH65" s="475"/>
      <c r="AI65" s="503">
        <v>99</v>
      </c>
      <c r="AJ65" s="505">
        <f t="shared" si="26"/>
        <v>85.344827586206904</v>
      </c>
      <c r="AK65" s="323" t="e">
        <f t="shared" si="27"/>
        <v>#REF!</v>
      </c>
      <c r="AL65" s="323" t="e">
        <f t="shared" si="28"/>
        <v>#REF!</v>
      </c>
      <c r="AM65" s="317">
        <f t="shared" si="29"/>
        <v>0</v>
      </c>
      <c r="BB65" s="322">
        <v>1</v>
      </c>
      <c r="BC65" s="322">
        <v>1</v>
      </c>
      <c r="BD65" s="322"/>
      <c r="BE65" s="322">
        <v>1</v>
      </c>
      <c r="BF65" s="322">
        <v>1</v>
      </c>
      <c r="BG65" s="322"/>
      <c r="BH65" s="322"/>
      <c r="BI65" s="322"/>
      <c r="BJ65" s="322"/>
      <c r="BK65" s="322">
        <v>9</v>
      </c>
      <c r="BL65" s="322">
        <f t="shared" si="30"/>
        <v>4</v>
      </c>
      <c r="BM65" s="499">
        <f t="shared" si="31"/>
        <v>0.44444444444444442</v>
      </c>
      <c r="BN65" s="361"/>
      <c r="BO65" s="361"/>
      <c r="BP65" s="361"/>
      <c r="BQ65" s="361"/>
      <c r="BR65" s="500">
        <f t="shared" si="32"/>
        <v>0</v>
      </c>
      <c r="BS65" s="360">
        <f t="shared" si="33"/>
        <v>0</v>
      </c>
      <c r="BT65" s="487"/>
    </row>
    <row r="66" spans="1:72" ht="31">
      <c r="A66" s="487">
        <v>50</v>
      </c>
      <c r="B66" s="487">
        <v>1</v>
      </c>
      <c r="C66" s="488">
        <v>46241</v>
      </c>
      <c r="D66" s="487" t="s">
        <v>305</v>
      </c>
      <c r="E66" s="489" t="s">
        <v>1310</v>
      </c>
      <c r="F66" s="322" t="s">
        <v>57</v>
      </c>
      <c r="G66" s="487" t="s">
        <v>1331</v>
      </c>
      <c r="H66" s="487" t="s">
        <v>1332</v>
      </c>
      <c r="I66" s="490"/>
      <c r="J66" s="487" t="s">
        <v>403</v>
      </c>
      <c r="K66" s="487" t="s">
        <v>1198</v>
      </c>
      <c r="L66" s="487" t="s">
        <v>309</v>
      </c>
      <c r="M66" s="487">
        <v>1</v>
      </c>
      <c r="N66" s="491">
        <v>0.36</v>
      </c>
      <c r="O66" s="491">
        <f>N66*'Perry Ellis 2026 Fase 2'!$O$19</f>
        <v>3.9293999999999993</v>
      </c>
      <c r="P66" s="491">
        <f t="shared" si="23"/>
        <v>0.39600000000000002</v>
      </c>
      <c r="Q66" s="491"/>
      <c r="R66" s="491" t="e">
        <f>N66*#REF!</f>
        <v>#REF!</v>
      </c>
      <c r="S66" s="491" t="e">
        <f>R66*0.36</f>
        <v>#REF!</v>
      </c>
      <c r="T66" s="491" t="e">
        <f>(R66+S66)*2.72%</f>
        <v>#REF!</v>
      </c>
      <c r="U66" s="492" t="e">
        <f t="shared" si="17"/>
        <v>#REF!</v>
      </c>
      <c r="V66" s="493">
        <v>149</v>
      </c>
      <c r="W66" s="491">
        <f t="shared" si="18"/>
        <v>128.44827586206898</v>
      </c>
      <c r="X66" s="494">
        <f t="shared" si="19"/>
        <v>77.068965517241381</v>
      </c>
      <c r="Y66" s="495" t="e">
        <f t="shared" si="20"/>
        <v>#REF!</v>
      </c>
      <c r="Z66" s="497" t="e">
        <f t="shared" si="21"/>
        <v>#REF!</v>
      </c>
      <c r="AA66" s="497">
        <f t="shared" si="22"/>
        <v>0.4</v>
      </c>
      <c r="AB66" s="487" t="s">
        <v>312</v>
      </c>
      <c r="AC66" s="487" t="s">
        <v>134</v>
      </c>
      <c r="AD66" s="487">
        <v>6</v>
      </c>
      <c r="AE66" s="487">
        <v>144</v>
      </c>
      <c r="AF66" s="487"/>
      <c r="AG66" s="360">
        <v>46342</v>
      </c>
      <c r="AH66" s="475"/>
      <c r="AI66" s="503">
        <v>89</v>
      </c>
      <c r="AJ66" s="505">
        <f t="shared" si="26"/>
        <v>76.724137931034491</v>
      </c>
      <c r="AK66" s="323" t="e">
        <f t="shared" si="27"/>
        <v>#REF!</v>
      </c>
      <c r="AL66" s="323" t="e">
        <f t="shared" si="28"/>
        <v>#REF!</v>
      </c>
      <c r="AM66" s="317">
        <f t="shared" si="29"/>
        <v>0</v>
      </c>
      <c r="BB66" s="322">
        <v>1</v>
      </c>
      <c r="BC66" s="322">
        <v>1</v>
      </c>
      <c r="BD66" s="322"/>
      <c r="BE66" s="322">
        <v>1</v>
      </c>
      <c r="BF66" s="322">
        <v>1</v>
      </c>
      <c r="BG66" s="322"/>
      <c r="BH66" s="322"/>
      <c r="BI66" s="322"/>
      <c r="BJ66" s="322"/>
      <c r="BK66" s="322">
        <v>9</v>
      </c>
      <c r="BL66" s="322">
        <f t="shared" si="30"/>
        <v>4</v>
      </c>
      <c r="BM66" s="499">
        <f t="shared" si="31"/>
        <v>0.44444444444444442</v>
      </c>
      <c r="BN66" s="361"/>
      <c r="BO66" s="361"/>
      <c r="BP66" s="361"/>
      <c r="BQ66" s="361"/>
      <c r="BR66" s="500">
        <f t="shared" si="32"/>
        <v>0</v>
      </c>
      <c r="BS66" s="360">
        <f t="shared" si="33"/>
        <v>46342</v>
      </c>
      <c r="BT66" s="487"/>
    </row>
    <row r="67" spans="1:72" ht="31">
      <c r="A67" s="487">
        <v>51</v>
      </c>
      <c r="B67" s="487">
        <v>1</v>
      </c>
      <c r="C67" s="488">
        <v>46241</v>
      </c>
      <c r="D67" s="487" t="s">
        <v>305</v>
      </c>
      <c r="E67" s="489" t="s">
        <v>1310</v>
      </c>
      <c r="F67" s="322" t="s">
        <v>57</v>
      </c>
      <c r="G67" s="487" t="s">
        <v>1333</v>
      </c>
      <c r="H67" s="487" t="s">
        <v>1334</v>
      </c>
      <c r="I67" s="490"/>
      <c r="J67" s="487" t="s">
        <v>403</v>
      </c>
      <c r="K67" s="487" t="s">
        <v>1198</v>
      </c>
      <c r="L67" s="487" t="s">
        <v>309</v>
      </c>
      <c r="M67" s="487">
        <v>1</v>
      </c>
      <c r="N67" s="491">
        <v>0.36</v>
      </c>
      <c r="O67" s="491">
        <f>N67*'Perry Ellis 2026 Fase 2'!$O$19</f>
        <v>3.9293999999999993</v>
      </c>
      <c r="P67" s="491">
        <f t="shared" si="23"/>
        <v>0.39600000000000002</v>
      </c>
      <c r="Q67" s="491"/>
      <c r="R67" s="491" t="e">
        <f>N67*#REF!</f>
        <v>#REF!</v>
      </c>
      <c r="S67" s="491" t="e">
        <f>R67*0.36</f>
        <v>#REF!</v>
      </c>
      <c r="T67" s="491" t="e">
        <f>(R67+S67)*2.72%</f>
        <v>#REF!</v>
      </c>
      <c r="U67" s="492" t="e">
        <f t="shared" si="17"/>
        <v>#REF!</v>
      </c>
      <c r="V67" s="493">
        <v>149</v>
      </c>
      <c r="W67" s="491">
        <f t="shared" si="18"/>
        <v>128.44827586206898</v>
      </c>
      <c r="X67" s="494">
        <f t="shared" si="19"/>
        <v>77.068965517241381</v>
      </c>
      <c r="Y67" s="495" t="e">
        <f t="shared" si="20"/>
        <v>#REF!</v>
      </c>
      <c r="Z67" s="497" t="e">
        <f t="shared" si="21"/>
        <v>#REF!</v>
      </c>
      <c r="AA67" s="497">
        <f t="shared" si="22"/>
        <v>0.4</v>
      </c>
      <c r="AB67" s="487" t="s">
        <v>312</v>
      </c>
      <c r="AC67" s="487" t="s">
        <v>134</v>
      </c>
      <c r="AD67" s="487">
        <v>6</v>
      </c>
      <c r="AE67" s="487">
        <v>144</v>
      </c>
      <c r="AF67" s="487"/>
      <c r="AG67" s="360">
        <v>46342</v>
      </c>
      <c r="AH67" s="475"/>
      <c r="AI67" s="503">
        <f>V67*0.6</f>
        <v>89.399999999999991</v>
      </c>
      <c r="AJ67" s="505">
        <f t="shared" si="26"/>
        <v>77.068965517241381</v>
      </c>
      <c r="AK67" s="323" t="e">
        <f t="shared" si="27"/>
        <v>#REF!</v>
      </c>
      <c r="AL67" s="323" t="e">
        <f t="shared" si="28"/>
        <v>#REF!</v>
      </c>
      <c r="AM67" s="317">
        <f t="shared" si="29"/>
        <v>0</v>
      </c>
      <c r="BB67" s="322">
        <v>1</v>
      </c>
      <c r="BC67" s="322">
        <v>1</v>
      </c>
      <c r="BD67" s="322"/>
      <c r="BE67" s="322">
        <v>1</v>
      </c>
      <c r="BF67" s="322">
        <v>1</v>
      </c>
      <c r="BG67" s="322"/>
      <c r="BH67" s="322"/>
      <c r="BI67" s="322"/>
      <c r="BJ67" s="322"/>
      <c r="BK67" s="322">
        <v>9</v>
      </c>
      <c r="BL67" s="322">
        <f t="shared" si="30"/>
        <v>4</v>
      </c>
      <c r="BM67" s="499">
        <f t="shared" si="31"/>
        <v>0.44444444444444442</v>
      </c>
      <c r="BN67" s="361"/>
      <c r="BO67" s="361"/>
      <c r="BP67" s="361"/>
      <c r="BQ67" s="361"/>
      <c r="BR67" s="500">
        <f t="shared" si="32"/>
        <v>0</v>
      </c>
      <c r="BS67" s="360">
        <f t="shared" si="33"/>
        <v>46342</v>
      </c>
      <c r="BT67" s="487"/>
    </row>
    <row r="68" spans="1:72" ht="31">
      <c r="A68" s="487">
        <v>52</v>
      </c>
      <c r="B68" s="487">
        <v>1</v>
      </c>
      <c r="C68" s="488">
        <v>46241</v>
      </c>
      <c r="D68" s="487" t="s">
        <v>305</v>
      </c>
      <c r="E68" s="489" t="s">
        <v>1310</v>
      </c>
      <c r="F68" s="322" t="s">
        <v>57</v>
      </c>
      <c r="G68" s="487" t="s">
        <v>1335</v>
      </c>
      <c r="H68" s="487" t="s">
        <v>1336</v>
      </c>
      <c r="I68" s="490"/>
      <c r="J68" s="487" t="s">
        <v>403</v>
      </c>
      <c r="K68" s="487" t="s">
        <v>1198</v>
      </c>
      <c r="L68" s="487" t="s">
        <v>309</v>
      </c>
      <c r="M68" s="487">
        <v>1</v>
      </c>
      <c r="N68" s="491">
        <v>0.36</v>
      </c>
      <c r="O68" s="491">
        <f>N68*'Perry Ellis 2026 Fase 2'!$O$19</f>
        <v>3.9293999999999993</v>
      </c>
      <c r="P68" s="491">
        <f t="shared" si="23"/>
        <v>0.39600000000000002</v>
      </c>
      <c r="Q68" s="491"/>
      <c r="R68" s="491" t="e">
        <f>N68*#REF!</f>
        <v>#REF!</v>
      </c>
      <c r="S68" s="491" t="e">
        <f>R68*0.36</f>
        <v>#REF!</v>
      </c>
      <c r="T68" s="491" t="e">
        <f>(R68+S68)*2.72%</f>
        <v>#REF!</v>
      </c>
      <c r="U68" s="492" t="e">
        <f t="shared" si="17"/>
        <v>#REF!</v>
      </c>
      <c r="V68" s="493">
        <v>149</v>
      </c>
      <c r="W68" s="491">
        <f t="shared" si="18"/>
        <v>128.44827586206898</v>
      </c>
      <c r="X68" s="494">
        <f t="shared" si="19"/>
        <v>77.068965517241381</v>
      </c>
      <c r="Y68" s="495" t="e">
        <f t="shared" si="20"/>
        <v>#REF!</v>
      </c>
      <c r="Z68" s="497" t="e">
        <f t="shared" si="21"/>
        <v>#REF!</v>
      </c>
      <c r="AA68" s="497">
        <f t="shared" si="22"/>
        <v>0.4</v>
      </c>
      <c r="AB68" s="487" t="s">
        <v>312</v>
      </c>
      <c r="AC68" s="487" t="s">
        <v>134</v>
      </c>
      <c r="AD68" s="487">
        <v>6</v>
      </c>
      <c r="AE68" s="487">
        <v>144</v>
      </c>
      <c r="AF68" s="487"/>
      <c r="AG68" s="360">
        <v>46342</v>
      </c>
      <c r="AH68" s="475"/>
      <c r="AI68" s="503">
        <f>V68*0.6</f>
        <v>89.399999999999991</v>
      </c>
      <c r="AJ68" s="505">
        <f t="shared" si="26"/>
        <v>77.068965517241381</v>
      </c>
      <c r="AK68" s="323" t="e">
        <f t="shared" si="27"/>
        <v>#REF!</v>
      </c>
      <c r="AL68" s="323" t="e">
        <f t="shared" si="28"/>
        <v>#REF!</v>
      </c>
      <c r="AM68" s="317">
        <f t="shared" si="29"/>
        <v>0</v>
      </c>
      <c r="BB68" s="322">
        <v>1</v>
      </c>
      <c r="BC68" s="322">
        <v>1</v>
      </c>
      <c r="BD68" s="322"/>
      <c r="BE68" s="322">
        <v>1</v>
      </c>
      <c r="BF68" s="322">
        <v>1</v>
      </c>
      <c r="BG68" s="322"/>
      <c r="BH68" s="322"/>
      <c r="BI68" s="322"/>
      <c r="BJ68" s="322"/>
      <c r="BK68" s="322">
        <v>9</v>
      </c>
      <c r="BL68" s="322">
        <f t="shared" si="30"/>
        <v>4</v>
      </c>
      <c r="BM68" s="499">
        <f t="shared" si="31"/>
        <v>0.44444444444444442</v>
      </c>
      <c r="BN68" s="361"/>
      <c r="BO68" s="361"/>
      <c r="BP68" s="361"/>
      <c r="BQ68" s="361"/>
      <c r="BR68" s="500">
        <f t="shared" si="32"/>
        <v>0</v>
      </c>
      <c r="BS68" s="360">
        <f t="shared" si="33"/>
        <v>46342</v>
      </c>
      <c r="BT68" s="487"/>
    </row>
    <row r="69" spans="1:72" ht="108.5">
      <c r="A69" s="487">
        <v>53</v>
      </c>
      <c r="B69" s="487">
        <v>1</v>
      </c>
      <c r="C69" s="488">
        <v>46241</v>
      </c>
      <c r="D69" s="487" t="s">
        <v>305</v>
      </c>
      <c r="E69" s="489" t="s">
        <v>1310</v>
      </c>
      <c r="F69" s="322" t="s">
        <v>57</v>
      </c>
      <c r="G69" s="487" t="s">
        <v>1337</v>
      </c>
      <c r="H69" s="487" t="s">
        <v>1338</v>
      </c>
      <c r="I69" s="490"/>
      <c r="J69" s="487" t="s">
        <v>1339</v>
      </c>
      <c r="K69" s="487" t="s">
        <v>1198</v>
      </c>
      <c r="L69" s="487" t="s">
        <v>309</v>
      </c>
      <c r="M69" s="487">
        <v>1</v>
      </c>
      <c r="N69" s="491">
        <v>0.55000000000000004</v>
      </c>
      <c r="O69" s="491">
        <f>N69*'Perry Ellis 2026 Fase 2'!$O$19</f>
        <v>6.0032500000000004</v>
      </c>
      <c r="P69" s="491">
        <f t="shared" si="23"/>
        <v>0.60500000000000009</v>
      </c>
      <c r="Q69" s="491"/>
      <c r="R69" s="491" t="e">
        <f>N69*#REF!</f>
        <v>#REF!</v>
      </c>
      <c r="S69" s="491" t="e">
        <f>R69*0.25</f>
        <v>#REF!</v>
      </c>
      <c r="T69" s="491" t="e">
        <f>(R69+S69)*4.94%</f>
        <v>#REF!</v>
      </c>
      <c r="U69" s="492" t="e">
        <f t="shared" si="17"/>
        <v>#REF!</v>
      </c>
      <c r="V69" s="493">
        <v>199</v>
      </c>
      <c r="W69" s="491">
        <f t="shared" si="18"/>
        <v>171.55172413793105</v>
      </c>
      <c r="X69" s="494">
        <f t="shared" si="19"/>
        <v>102.93103448275862</v>
      </c>
      <c r="Y69" s="495" t="e">
        <f t="shared" si="20"/>
        <v>#REF!</v>
      </c>
      <c r="Z69" s="497" t="e">
        <f t="shared" si="21"/>
        <v>#REF!</v>
      </c>
      <c r="AA69" s="497">
        <f t="shared" si="22"/>
        <v>0.4</v>
      </c>
      <c r="AB69" s="487" t="s">
        <v>312</v>
      </c>
      <c r="AC69" s="487" t="s">
        <v>134</v>
      </c>
      <c r="AD69" s="487">
        <v>6</v>
      </c>
      <c r="AE69" s="487">
        <v>144</v>
      </c>
      <c r="AF69" s="487" t="s">
        <v>1233</v>
      </c>
      <c r="AG69" s="360">
        <v>46335</v>
      </c>
      <c r="AH69" s="475"/>
      <c r="AI69" s="503">
        <f>V69*0.6</f>
        <v>119.39999999999999</v>
      </c>
      <c r="AJ69" s="505">
        <f t="shared" si="26"/>
        <v>102.93103448275862</v>
      </c>
      <c r="AK69" s="323" t="e">
        <f t="shared" si="27"/>
        <v>#REF!</v>
      </c>
      <c r="AL69" s="323" t="e">
        <f t="shared" si="28"/>
        <v>#REF!</v>
      </c>
      <c r="AM69" s="317">
        <f t="shared" si="29"/>
        <v>0</v>
      </c>
      <c r="BB69" s="322">
        <v>1</v>
      </c>
      <c r="BC69" s="322">
        <v>1</v>
      </c>
      <c r="BD69" s="322"/>
      <c r="BE69" s="322">
        <v>1</v>
      </c>
      <c r="BF69" s="322">
        <v>1</v>
      </c>
      <c r="BG69" s="322"/>
      <c r="BH69" s="322"/>
      <c r="BI69" s="322"/>
      <c r="BJ69" s="322"/>
      <c r="BK69" s="322">
        <v>9</v>
      </c>
      <c r="BL69" s="322">
        <f t="shared" si="30"/>
        <v>4</v>
      </c>
      <c r="BM69" s="499">
        <f t="shared" si="31"/>
        <v>0.44444444444444442</v>
      </c>
      <c r="BN69" s="361"/>
      <c r="BO69" s="361"/>
      <c r="BP69" s="361"/>
      <c r="BQ69" s="361"/>
      <c r="BR69" s="500" t="str">
        <f t="shared" si="32"/>
        <v>En elaboración de archivos de impresión</v>
      </c>
      <c r="BS69" s="360">
        <f t="shared" si="33"/>
        <v>46335</v>
      </c>
      <c r="BT69" s="487"/>
    </row>
    <row r="70" spans="1:72" ht="108.5">
      <c r="A70" s="487">
        <v>54</v>
      </c>
      <c r="B70" s="487">
        <v>1</v>
      </c>
      <c r="C70" s="488">
        <v>46241</v>
      </c>
      <c r="D70" s="487" t="s">
        <v>305</v>
      </c>
      <c r="E70" s="489" t="s">
        <v>1310</v>
      </c>
      <c r="F70" s="322" t="s">
        <v>57</v>
      </c>
      <c r="G70" s="487" t="s">
        <v>1340</v>
      </c>
      <c r="H70" s="487" t="s">
        <v>1341</v>
      </c>
      <c r="I70" s="490"/>
      <c r="J70" s="487" t="s">
        <v>1339</v>
      </c>
      <c r="K70" s="487" t="s">
        <v>1198</v>
      </c>
      <c r="L70" s="487" t="s">
        <v>309</v>
      </c>
      <c r="M70" s="487">
        <v>1</v>
      </c>
      <c r="N70" s="491">
        <v>0.55000000000000004</v>
      </c>
      <c r="O70" s="491">
        <f>N70*'Perry Ellis 2026 Fase 2'!$O$19</f>
        <v>6.0032500000000004</v>
      </c>
      <c r="P70" s="491">
        <f t="shared" si="23"/>
        <v>0.60500000000000009</v>
      </c>
      <c r="Q70" s="491"/>
      <c r="R70" s="491" t="e">
        <f>N70*#REF!</f>
        <v>#REF!</v>
      </c>
      <c r="S70" s="491" t="e">
        <f>R70*0.25</f>
        <v>#REF!</v>
      </c>
      <c r="T70" s="491" t="e">
        <f>(R70+S70)*4.94%</f>
        <v>#REF!</v>
      </c>
      <c r="U70" s="492" t="e">
        <f t="shared" si="17"/>
        <v>#REF!</v>
      </c>
      <c r="V70" s="493">
        <v>199</v>
      </c>
      <c r="W70" s="491">
        <f t="shared" si="18"/>
        <v>171.55172413793105</v>
      </c>
      <c r="X70" s="494">
        <f t="shared" si="19"/>
        <v>102.93103448275862</v>
      </c>
      <c r="Y70" s="495" t="e">
        <f t="shared" si="20"/>
        <v>#REF!</v>
      </c>
      <c r="Z70" s="497" t="e">
        <f t="shared" si="21"/>
        <v>#REF!</v>
      </c>
      <c r="AA70" s="497">
        <f t="shared" si="22"/>
        <v>0.4</v>
      </c>
      <c r="AB70" s="487" t="s">
        <v>312</v>
      </c>
      <c r="AC70" s="487" t="s">
        <v>134</v>
      </c>
      <c r="AD70" s="487">
        <v>6</v>
      </c>
      <c r="AE70" s="487">
        <v>144</v>
      </c>
      <c r="AF70" s="487" t="s">
        <v>1233</v>
      </c>
      <c r="AG70" s="360">
        <v>46335</v>
      </c>
      <c r="AH70" s="475"/>
      <c r="AI70" s="503">
        <f>V70*0.6</f>
        <v>119.39999999999999</v>
      </c>
      <c r="AJ70" s="505">
        <f t="shared" si="26"/>
        <v>102.93103448275862</v>
      </c>
      <c r="AK70" s="323" t="e">
        <f t="shared" si="27"/>
        <v>#REF!</v>
      </c>
      <c r="AL70" s="323" t="e">
        <f t="shared" si="28"/>
        <v>#REF!</v>
      </c>
      <c r="AM70" s="317">
        <f t="shared" si="29"/>
        <v>0</v>
      </c>
      <c r="BB70" s="322">
        <v>1</v>
      </c>
      <c r="BC70" s="322">
        <v>1</v>
      </c>
      <c r="BD70" s="322"/>
      <c r="BE70" s="322">
        <v>1</v>
      </c>
      <c r="BF70" s="322">
        <v>1</v>
      </c>
      <c r="BG70" s="322"/>
      <c r="BH70" s="322"/>
      <c r="BI70" s="322"/>
      <c r="BJ70" s="322"/>
      <c r="BK70" s="322">
        <v>9</v>
      </c>
      <c r="BL70" s="322">
        <f t="shared" si="30"/>
        <v>4</v>
      </c>
      <c r="BM70" s="499">
        <f t="shared" si="31"/>
        <v>0.44444444444444442</v>
      </c>
      <c r="BN70" s="361"/>
      <c r="BO70" s="361"/>
      <c r="BP70" s="361"/>
      <c r="BQ70" s="361"/>
      <c r="BR70" s="500" t="str">
        <f t="shared" si="32"/>
        <v>En elaboración de archivos de impresión</v>
      </c>
      <c r="BS70" s="360">
        <f t="shared" si="33"/>
        <v>46335</v>
      </c>
      <c r="BT70" s="487"/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A9" zoomScale="26" zoomScaleNormal="26" workbookViewId="0">
      <selection activeCell="A9" sqref="A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62" customWidth="1"/>
    <col min="94" max="105" width="35.453125" style="153" customWidth="1"/>
  </cols>
  <sheetData>
    <row r="1" spans="1:105" s="124" customFormat="1" ht="32.5">
      <c r="A1" s="144"/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  <c r="AD1" s="144"/>
      <c r="AE1" s="144"/>
      <c r="AF1" s="144"/>
      <c r="AG1" s="144"/>
      <c r="AH1" s="144"/>
      <c r="AI1" s="144"/>
      <c r="AJ1" s="144"/>
      <c r="AK1" s="144"/>
      <c r="AM1" s="134"/>
      <c r="AN1" s="134"/>
      <c r="AO1" s="134"/>
      <c r="AP1" s="134"/>
      <c r="AQ1" s="134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</row>
    <row r="2" spans="1:105" s="124" customFormat="1" ht="32.5">
      <c r="A2" s="144"/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  <c r="AK2" s="144"/>
      <c r="AM2" s="134"/>
      <c r="AN2" s="134"/>
      <c r="AO2" s="134"/>
      <c r="AP2" s="134"/>
      <c r="AQ2" s="134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21"/>
      <c r="BL2" s="121"/>
      <c r="CJ2" s="121"/>
      <c r="CK2" s="121"/>
      <c r="CL2" s="121"/>
      <c r="CM2" s="121"/>
      <c r="CN2" s="121"/>
      <c r="CO2" s="121"/>
      <c r="CP2" s="121"/>
      <c r="CQ2" s="121"/>
      <c r="CR2" s="121"/>
      <c r="CS2" s="121"/>
      <c r="CT2" s="121"/>
      <c r="CU2" s="121"/>
      <c r="CV2" s="121"/>
      <c r="CW2" s="121"/>
      <c r="CX2" s="121"/>
      <c r="CY2" s="121"/>
      <c r="CZ2" s="121"/>
      <c r="DA2" s="121"/>
    </row>
    <row r="3" spans="1:105" s="124" customFormat="1" ht="32.5">
      <c r="A3" s="144"/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  <c r="AD3" s="144"/>
      <c r="AE3" s="144"/>
      <c r="AF3" s="144"/>
      <c r="AG3" s="144"/>
      <c r="AH3" s="144"/>
      <c r="AI3" s="144"/>
      <c r="AJ3" s="144"/>
      <c r="AK3" s="144"/>
      <c r="AM3" s="134"/>
      <c r="AN3" s="134"/>
      <c r="AO3" s="134"/>
      <c r="AP3" s="134"/>
      <c r="AQ3" s="134"/>
      <c r="BA3" s="121"/>
      <c r="BB3" s="121"/>
      <c r="BC3" s="121"/>
      <c r="BD3" s="121"/>
      <c r="BE3" s="121"/>
      <c r="BF3" s="121"/>
      <c r="BG3" s="121"/>
      <c r="BH3" s="121"/>
      <c r="BI3" s="121"/>
      <c r="BJ3" s="121"/>
      <c r="BK3" s="121"/>
      <c r="BL3" s="121"/>
      <c r="CJ3" s="121"/>
      <c r="CK3" s="121"/>
      <c r="CL3" s="121"/>
      <c r="CM3" s="121"/>
      <c r="CN3" s="121"/>
      <c r="CO3" s="121"/>
      <c r="CP3" s="121"/>
      <c r="CQ3" s="121"/>
      <c r="CR3" s="121"/>
      <c r="CS3" s="121"/>
      <c r="CT3" s="121"/>
      <c r="CU3" s="121"/>
      <c r="CV3" s="121"/>
      <c r="CW3" s="121"/>
      <c r="CX3" s="121"/>
      <c r="CY3" s="121"/>
      <c r="CZ3" s="121"/>
      <c r="DA3" s="121"/>
    </row>
    <row r="4" spans="1:105" s="124" customFormat="1" ht="32.5">
      <c r="A4" s="144"/>
      <c r="B4" s="144"/>
      <c r="C4" s="144"/>
      <c r="D4" s="144"/>
      <c r="E4" s="144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  <c r="AD4" s="144"/>
      <c r="AE4" s="144"/>
      <c r="AF4" s="144"/>
      <c r="AG4" s="144"/>
      <c r="AH4" s="144"/>
      <c r="AI4" s="144"/>
      <c r="AJ4" s="144"/>
      <c r="AK4" s="144"/>
      <c r="AM4" s="134"/>
      <c r="AN4" s="134"/>
      <c r="AO4" s="134"/>
      <c r="AP4" s="134"/>
      <c r="AQ4" s="134"/>
      <c r="BA4" s="121"/>
      <c r="BB4" s="121"/>
      <c r="BC4" s="121"/>
      <c r="BD4" s="121"/>
      <c r="BE4" s="121"/>
      <c r="BF4" s="121"/>
      <c r="BG4" s="121"/>
      <c r="BH4" s="121"/>
      <c r="BI4" s="121"/>
      <c r="BJ4" s="121"/>
      <c r="BK4" s="121"/>
      <c r="BL4" s="121"/>
      <c r="CJ4" s="121"/>
      <c r="CK4" s="121"/>
      <c r="CL4" s="121"/>
      <c r="CM4" s="121"/>
      <c r="CN4" s="121"/>
      <c r="CO4" s="121"/>
      <c r="CP4" s="121"/>
      <c r="CQ4" s="121"/>
      <c r="CR4" s="121"/>
      <c r="CS4" s="121"/>
      <c r="CT4" s="121"/>
      <c r="CU4" s="121"/>
      <c r="CV4" s="121"/>
      <c r="CW4" s="121"/>
      <c r="CX4" s="121"/>
      <c r="CY4" s="121"/>
      <c r="CZ4" s="121"/>
      <c r="DA4" s="121"/>
    </row>
    <row r="5" spans="1:105" s="124" customFormat="1" ht="32.5">
      <c r="A5" s="144"/>
      <c r="B5" s="144"/>
      <c r="C5" s="144"/>
      <c r="D5" s="144"/>
      <c r="E5" s="144"/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  <c r="AK5" s="144"/>
      <c r="AM5" s="134"/>
      <c r="AN5" s="134"/>
      <c r="AO5" s="134"/>
      <c r="AP5" s="134"/>
      <c r="AQ5" s="134"/>
      <c r="BA5" s="121"/>
      <c r="BB5" s="121"/>
      <c r="BC5" s="121"/>
      <c r="BD5" s="121"/>
      <c r="BE5" s="121"/>
      <c r="BF5" s="121"/>
      <c r="BG5" s="121"/>
      <c r="BH5" s="121"/>
      <c r="BI5" s="121"/>
      <c r="BJ5" s="121"/>
      <c r="BK5" s="121"/>
      <c r="BL5" s="121"/>
      <c r="CJ5" s="121"/>
      <c r="CK5" s="121"/>
      <c r="CL5" s="121"/>
      <c r="CM5" s="121"/>
      <c r="CN5" s="121"/>
      <c r="CO5" s="121"/>
      <c r="CP5" s="121"/>
      <c r="CQ5" s="121"/>
      <c r="CR5" s="121"/>
      <c r="CS5" s="121"/>
      <c r="CT5" s="121"/>
      <c r="CU5" s="121"/>
      <c r="CV5" s="121"/>
      <c r="CW5" s="121"/>
      <c r="CX5" s="121"/>
      <c r="CY5" s="121"/>
      <c r="CZ5" s="121"/>
      <c r="DA5" s="121"/>
    </row>
    <row r="6" spans="1:105" s="124" customFormat="1" ht="32.5">
      <c r="A6" s="144"/>
      <c r="B6" s="144"/>
      <c r="C6" s="144"/>
      <c r="D6" s="144"/>
      <c r="E6" s="144"/>
      <c r="F6" s="144"/>
      <c r="G6" s="144"/>
      <c r="H6" s="144"/>
      <c r="I6" s="144"/>
      <c r="J6" s="144"/>
      <c r="K6" s="144"/>
      <c r="L6" s="144"/>
      <c r="M6" s="144"/>
      <c r="N6" s="144"/>
      <c r="O6" s="144"/>
      <c r="P6" s="144"/>
      <c r="Q6" s="144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  <c r="AD6" s="144"/>
      <c r="AE6" s="144"/>
      <c r="AF6" s="144"/>
      <c r="AG6" s="144"/>
      <c r="AH6" s="144"/>
      <c r="AI6" s="144"/>
      <c r="AJ6" s="144"/>
      <c r="AK6" s="144"/>
      <c r="AM6" s="134"/>
      <c r="AN6" s="134"/>
      <c r="AO6" s="134"/>
      <c r="AP6" s="134"/>
      <c r="AQ6" s="134"/>
      <c r="BA6" s="121"/>
      <c r="BB6" s="121"/>
      <c r="BC6" s="121"/>
      <c r="BD6" s="121"/>
      <c r="BE6" s="121"/>
      <c r="BF6" s="121"/>
      <c r="BG6" s="121"/>
      <c r="BH6" s="121"/>
      <c r="BI6" s="121"/>
      <c r="BJ6" s="121"/>
      <c r="BK6" s="121"/>
      <c r="BL6" s="121"/>
      <c r="CJ6" s="121"/>
      <c r="CK6" s="121"/>
      <c r="CL6" s="121"/>
      <c r="CM6" s="121"/>
      <c r="CN6" s="121"/>
      <c r="CO6" s="121"/>
      <c r="CP6" s="121"/>
      <c r="CQ6" s="121"/>
      <c r="CR6" s="121"/>
      <c r="CS6" s="121"/>
      <c r="CT6" s="121"/>
      <c r="CU6" s="121"/>
      <c r="CV6" s="121"/>
      <c r="CW6" s="121"/>
      <c r="CX6" s="121"/>
      <c r="CY6" s="121"/>
      <c r="CZ6" s="121"/>
      <c r="DA6" s="121"/>
    </row>
    <row r="7" spans="1:105" s="124" customFormat="1" ht="32.5">
      <c r="A7" s="144"/>
      <c r="B7" s="144"/>
      <c r="C7" s="144"/>
      <c r="D7" s="144"/>
      <c r="E7" s="144"/>
      <c r="F7" s="144"/>
      <c r="G7" s="144"/>
      <c r="H7" s="144"/>
      <c r="I7" s="144"/>
      <c r="J7" s="144"/>
      <c r="K7" s="144"/>
      <c r="L7" s="144"/>
      <c r="M7" s="144"/>
      <c r="N7" s="144"/>
      <c r="O7" s="144"/>
      <c r="P7" s="144"/>
      <c r="Q7" s="144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  <c r="AD7" s="144"/>
      <c r="AE7" s="144"/>
      <c r="AF7" s="144"/>
      <c r="AG7" s="144"/>
      <c r="AH7" s="144"/>
      <c r="AI7" s="144"/>
      <c r="AJ7" s="144"/>
      <c r="AK7" s="144"/>
      <c r="AM7" s="134"/>
      <c r="AN7" s="134"/>
      <c r="AO7" s="134"/>
      <c r="AP7" s="134"/>
      <c r="AQ7" s="134"/>
      <c r="BA7" s="121"/>
      <c r="BB7" s="121"/>
      <c r="BC7" s="121"/>
      <c r="BD7" s="121"/>
      <c r="BE7" s="121"/>
      <c r="BF7" s="121"/>
      <c r="BG7" s="121"/>
      <c r="BH7" s="121"/>
      <c r="BI7" s="121"/>
      <c r="BJ7" s="121"/>
      <c r="BK7" s="121"/>
      <c r="BL7" s="121"/>
      <c r="CJ7" s="121"/>
      <c r="CK7" s="121"/>
      <c r="CL7" s="121"/>
      <c r="CM7" s="121"/>
      <c r="CN7" s="121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</row>
    <row r="8" spans="1:105" s="124" customFormat="1" ht="32.5">
      <c r="A8" s="144"/>
      <c r="B8" s="144"/>
      <c r="C8" s="144"/>
      <c r="D8" s="144"/>
      <c r="E8" s="144"/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  <c r="AD8" s="144"/>
      <c r="AE8" s="144"/>
      <c r="AF8" s="144"/>
      <c r="AG8" s="144"/>
      <c r="AH8" s="144"/>
      <c r="AI8" s="144"/>
      <c r="AJ8" s="144"/>
      <c r="AK8" s="144"/>
      <c r="AM8" s="134"/>
      <c r="AN8" s="134"/>
      <c r="AO8" s="134"/>
      <c r="AP8" s="134"/>
      <c r="AQ8" s="134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</row>
    <row r="9" spans="1:105" s="124" customFormat="1" ht="32.5">
      <c r="A9" s="144"/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  <c r="AD9" s="144"/>
      <c r="AE9" s="144"/>
      <c r="AF9" s="144"/>
      <c r="AG9" s="144"/>
      <c r="AH9" s="144"/>
      <c r="AI9" s="144"/>
      <c r="AJ9" s="144"/>
      <c r="AK9" s="144"/>
      <c r="AM9" s="134"/>
      <c r="AN9" s="134"/>
      <c r="AO9" s="134"/>
      <c r="AP9" s="134"/>
      <c r="AQ9" s="134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1"/>
      <c r="CY9" s="121"/>
      <c r="CZ9" s="121"/>
      <c r="DA9" s="121"/>
    </row>
    <row r="10" spans="1:105" s="124" customFormat="1" ht="32.5">
      <c r="A10" s="144"/>
      <c r="B10" s="144"/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44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  <c r="AD10" s="144"/>
      <c r="AE10" s="144"/>
      <c r="AF10" s="144"/>
      <c r="AG10" s="144"/>
      <c r="AH10" s="144"/>
      <c r="AI10" s="144"/>
      <c r="AJ10" s="144"/>
      <c r="AK10" s="144"/>
      <c r="AM10" s="134"/>
      <c r="AN10" s="134"/>
      <c r="AO10" s="134"/>
      <c r="AP10" s="134"/>
      <c r="AQ10" s="134"/>
      <c r="BA10" s="121"/>
      <c r="BB10" s="121"/>
      <c r="BC10" s="121"/>
      <c r="BD10" s="121"/>
      <c r="BE10" s="121"/>
      <c r="BF10" s="121"/>
      <c r="BG10" s="121"/>
      <c r="BH10" s="121"/>
      <c r="BI10" s="121"/>
      <c r="BJ10" s="121"/>
      <c r="BK10" s="121"/>
      <c r="BL10" s="121"/>
      <c r="CJ10" s="121"/>
      <c r="CK10" s="121"/>
      <c r="CL10" s="121"/>
      <c r="CM10" s="121"/>
      <c r="CN10" s="121"/>
      <c r="CO10" s="121"/>
      <c r="CP10" s="121"/>
      <c r="CQ10" s="121"/>
      <c r="CR10" s="121"/>
      <c r="CS10" s="121"/>
      <c r="CT10" s="121"/>
      <c r="CU10" s="121"/>
      <c r="CV10" s="121"/>
      <c r="CW10" s="121"/>
      <c r="CX10" s="121"/>
      <c r="CY10" s="121"/>
      <c r="CZ10" s="121"/>
      <c r="DA10" s="121"/>
    </row>
    <row r="11" spans="1:105" s="124" customFormat="1" ht="32.5">
      <c r="A11" s="144"/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  <c r="AD11" s="144"/>
      <c r="AE11" s="144"/>
      <c r="AF11" s="144"/>
      <c r="AG11" s="144"/>
      <c r="AH11" s="144"/>
      <c r="AI11" s="144"/>
      <c r="AJ11" s="144"/>
      <c r="AK11" s="144"/>
      <c r="AM11" s="134"/>
      <c r="AN11" s="134"/>
      <c r="AO11" s="134"/>
      <c r="AP11" s="134"/>
      <c r="AQ11" s="134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1"/>
      <c r="CY11" s="121"/>
      <c r="CZ11" s="121"/>
      <c r="DA11" s="121"/>
    </row>
    <row r="12" spans="1:105" s="124" customFormat="1" ht="32.5">
      <c r="A12" s="144"/>
      <c r="B12" s="144"/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4"/>
      <c r="N12" s="144"/>
      <c r="O12" s="144"/>
      <c r="P12" s="144"/>
      <c r="Q12" s="144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  <c r="AD12" s="144"/>
      <c r="AE12" s="144"/>
      <c r="AF12" s="144"/>
      <c r="AG12" s="144"/>
      <c r="AH12" s="144"/>
      <c r="AI12" s="144"/>
      <c r="AJ12" s="144"/>
      <c r="AK12" s="144"/>
      <c r="AM12" s="134"/>
      <c r="AN12" s="134"/>
      <c r="AO12" s="134"/>
      <c r="AP12" s="134"/>
      <c r="AQ12" s="134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</row>
    <row r="13" spans="1:105" s="124" customFormat="1" ht="32.5">
      <c r="A13" s="144"/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4"/>
      <c r="AJ13" s="144"/>
      <c r="AK13" s="144"/>
      <c r="AM13" s="134"/>
      <c r="AN13" s="134"/>
      <c r="AO13" s="134"/>
      <c r="AP13" s="134"/>
      <c r="AQ13" s="134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</row>
    <row r="14" spans="1:105" ht="35.15" customHeight="1">
      <c r="A14" s="143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M14" s="130"/>
      <c r="AN14" s="130"/>
      <c r="AO14" s="130"/>
      <c r="AP14" s="130"/>
      <c r="AQ14" s="130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CJ14" s="523" t="s">
        <v>0</v>
      </c>
      <c r="CK14" s="524"/>
      <c r="CL14" s="524"/>
      <c r="CM14" s="524"/>
      <c r="CN14" s="524"/>
      <c r="CO14" s="524"/>
      <c r="CP14" s="524"/>
      <c r="CQ14" s="524"/>
      <c r="CR14" s="524"/>
      <c r="CS14" s="524"/>
      <c r="CT14" s="524"/>
      <c r="CU14" s="524"/>
      <c r="CV14" s="524"/>
      <c r="CW14" s="524"/>
      <c r="CX14" s="524"/>
      <c r="CY14" s="524"/>
      <c r="CZ14" s="524"/>
      <c r="DA14" s="524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06" t="s">
        <v>1</v>
      </c>
      <c r="CK15" s="206"/>
      <c r="CL15" s="206" t="s">
        <v>2</v>
      </c>
      <c r="CM15" s="206"/>
      <c r="CN15" s="206" t="s">
        <v>3</v>
      </c>
      <c r="CO15" s="206"/>
      <c r="CP15" s="206" t="s">
        <v>4</v>
      </c>
      <c r="CQ15" s="206"/>
      <c r="CR15" s="206" t="s">
        <v>5</v>
      </c>
      <c r="CS15" s="206"/>
      <c r="CT15" s="206" t="s">
        <v>6</v>
      </c>
      <c r="CU15" s="206"/>
      <c r="CV15" s="206" t="s">
        <v>7</v>
      </c>
      <c r="CW15" s="206"/>
      <c r="CX15" s="206" t="s">
        <v>8</v>
      </c>
      <c r="CY15" s="206"/>
      <c r="CZ15" s="206" t="s">
        <v>9</v>
      </c>
      <c r="DA15" s="206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1051</v>
      </c>
      <c r="M16" s="91" t="s">
        <v>1052</v>
      </c>
      <c r="N16" s="91" t="s">
        <v>1053</v>
      </c>
      <c r="O16" s="91" t="s">
        <v>511</v>
      </c>
      <c r="P16" s="91" t="s">
        <v>1054</v>
      </c>
      <c r="Q16" s="91" t="s">
        <v>1055</v>
      </c>
      <c r="R16" s="91" t="s">
        <v>1056</v>
      </c>
      <c r="S16" s="91" t="s">
        <v>415</v>
      </c>
      <c r="T16" s="91" t="s">
        <v>41</v>
      </c>
      <c r="U16" s="91" t="s">
        <v>23</v>
      </c>
      <c r="V16" s="91" t="s">
        <v>24</v>
      </c>
      <c r="W16" s="91" t="s">
        <v>679</v>
      </c>
      <c r="X16" s="91" t="s">
        <v>1057</v>
      </c>
      <c r="Y16" s="91" t="s">
        <v>27</v>
      </c>
      <c r="Z16" s="91" t="s">
        <v>28</v>
      </c>
      <c r="AA16" s="91" t="s">
        <v>30</v>
      </c>
      <c r="AB16" s="91" t="s">
        <v>1058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1059</v>
      </c>
      <c r="AJ16" s="91" t="s">
        <v>1060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300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07" t="s">
        <v>54</v>
      </c>
      <c r="CK16" s="207" t="s">
        <v>55</v>
      </c>
      <c r="CL16" s="207" t="s">
        <v>54</v>
      </c>
      <c r="CM16" s="207" t="s">
        <v>55</v>
      </c>
      <c r="CN16" s="207" t="s">
        <v>54</v>
      </c>
      <c r="CO16" s="207" t="s">
        <v>55</v>
      </c>
      <c r="CP16" s="207" t="s">
        <v>54</v>
      </c>
      <c r="CQ16" s="207" t="s">
        <v>55</v>
      </c>
      <c r="CR16" s="207" t="s">
        <v>54</v>
      </c>
      <c r="CS16" s="207" t="s">
        <v>55</v>
      </c>
      <c r="CT16" s="207" t="s">
        <v>54</v>
      </c>
      <c r="CU16" s="207" t="s">
        <v>55</v>
      </c>
      <c r="CV16" s="207" t="s">
        <v>54</v>
      </c>
      <c r="CW16" s="207" t="s">
        <v>55</v>
      </c>
      <c r="CX16" s="207" t="s">
        <v>54</v>
      </c>
      <c r="CY16" s="207" t="s">
        <v>55</v>
      </c>
      <c r="CZ16" s="207" t="s">
        <v>54</v>
      </c>
      <c r="DA16" s="207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1342</v>
      </c>
      <c r="G17" s="52" t="s">
        <v>1343</v>
      </c>
      <c r="H17" s="102" t="s">
        <v>60</v>
      </c>
      <c r="I17" s="52"/>
      <c r="J17" s="46" t="s">
        <v>1063</v>
      </c>
      <c r="K17" s="52" t="s">
        <v>1064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952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1149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64"/>
      <c r="BS17" s="166"/>
      <c r="BT17" s="164"/>
      <c r="CJ17" s="208">
        <v>45809</v>
      </c>
      <c r="CK17" s="208">
        <v>45809</v>
      </c>
      <c r="CL17" s="161"/>
      <c r="CM17" s="161"/>
      <c r="CN17" s="161"/>
      <c r="CO17" s="161"/>
      <c r="CP17" s="155"/>
      <c r="CQ17" s="155"/>
      <c r="CR17" s="154"/>
      <c r="CS17" s="154"/>
      <c r="CT17" s="154"/>
      <c r="CU17" s="154"/>
      <c r="CV17" s="154"/>
      <c r="CW17" s="154"/>
      <c r="CX17" s="154"/>
      <c r="CY17" s="154"/>
      <c r="CZ17" s="154"/>
      <c r="DA17" s="154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1344</v>
      </c>
      <c r="G18" s="52" t="s">
        <v>1345</v>
      </c>
      <c r="H18" s="102" t="s">
        <v>60</v>
      </c>
      <c r="I18" s="52"/>
      <c r="J18" s="46" t="s">
        <v>1063</v>
      </c>
      <c r="K18" s="52" t="s">
        <v>1064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952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1149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1"/>
      <c r="CK18" s="161"/>
      <c r="CL18" s="161"/>
      <c r="CM18" s="161"/>
      <c r="CN18" s="161"/>
      <c r="CO18" s="161"/>
      <c r="CP18" s="155"/>
      <c r="CQ18" s="155"/>
      <c r="CR18" s="154"/>
      <c r="CS18" s="154"/>
      <c r="CT18" s="154"/>
      <c r="CU18" s="154"/>
      <c r="CV18" s="154"/>
      <c r="CW18" s="154"/>
      <c r="CX18" s="154"/>
      <c r="CY18" s="154"/>
      <c r="CZ18" s="154"/>
      <c r="DA18" s="154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1346</v>
      </c>
      <c r="G19" s="52" t="s">
        <v>1347</v>
      </c>
      <c r="H19" s="102" t="s">
        <v>60</v>
      </c>
      <c r="I19" s="52"/>
      <c r="J19" s="46" t="s">
        <v>1063</v>
      </c>
      <c r="K19" s="52" t="s">
        <v>1064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692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1149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1"/>
      <c r="CK19" s="161"/>
      <c r="CL19" s="161"/>
      <c r="CM19" s="161"/>
      <c r="CN19" s="161"/>
      <c r="CO19" s="161"/>
      <c r="CP19" s="155"/>
      <c r="CQ19" s="155"/>
      <c r="CR19" s="154"/>
      <c r="CS19" s="154"/>
      <c r="CT19" s="154"/>
      <c r="CU19" s="154"/>
      <c r="CV19" s="154"/>
      <c r="CW19" s="154"/>
      <c r="CX19" s="154"/>
      <c r="CY19" s="154"/>
      <c r="CZ19" s="154"/>
      <c r="DA19" s="154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1348</v>
      </c>
      <c r="G20" s="52" t="s">
        <v>1349</v>
      </c>
      <c r="H20" s="102" t="s">
        <v>60</v>
      </c>
      <c r="I20" s="52"/>
      <c r="J20" s="46" t="s">
        <v>1063</v>
      </c>
      <c r="K20" s="52" t="s">
        <v>1064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692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1149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1"/>
      <c r="CK20" s="161"/>
      <c r="CL20" s="161"/>
      <c r="CM20" s="161"/>
      <c r="CN20" s="161"/>
      <c r="CO20" s="161"/>
      <c r="CP20" s="155"/>
      <c r="CQ20" s="155"/>
      <c r="CR20" s="154"/>
      <c r="CS20" s="154"/>
      <c r="CT20" s="154"/>
      <c r="CU20" s="154"/>
      <c r="CV20" s="154"/>
      <c r="CW20" s="154"/>
      <c r="CX20" s="154"/>
      <c r="CY20" s="154"/>
      <c r="CZ20" s="154"/>
      <c r="DA20" s="154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1350</v>
      </c>
      <c r="G21" s="52" t="s">
        <v>1351</v>
      </c>
      <c r="H21" s="102" t="s">
        <v>60</v>
      </c>
      <c r="I21" s="52"/>
      <c r="J21" s="46" t="s">
        <v>1063</v>
      </c>
      <c r="K21" s="52" t="s">
        <v>1064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692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1149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1"/>
      <c r="CK21" s="161"/>
      <c r="CL21" s="161"/>
      <c r="CM21" s="161"/>
      <c r="CN21" s="161"/>
      <c r="CO21" s="161"/>
      <c r="CP21" s="155"/>
      <c r="CQ21" s="155"/>
      <c r="CR21" s="154"/>
      <c r="CS21" s="154"/>
      <c r="CT21" s="154"/>
      <c r="CU21" s="154"/>
      <c r="CV21" s="154"/>
      <c r="CW21" s="154"/>
      <c r="CX21" s="154"/>
      <c r="CY21" s="154"/>
      <c r="CZ21" s="154"/>
      <c r="DA21" s="154"/>
    </row>
    <row r="22" spans="1:105">
      <c r="CJ22" s="161"/>
      <c r="CK22" s="161"/>
      <c r="CL22" s="161"/>
      <c r="CM22" s="161"/>
      <c r="CN22" s="161"/>
      <c r="CO22" s="161"/>
      <c r="CP22" s="155"/>
      <c r="CQ22" s="155"/>
      <c r="CR22" s="154"/>
      <c r="CS22" s="154"/>
      <c r="CT22" s="154"/>
      <c r="CU22" s="154"/>
      <c r="CV22" s="154"/>
      <c r="CW22" s="154"/>
      <c r="CX22" s="154"/>
      <c r="CY22" s="154"/>
      <c r="CZ22" s="154"/>
      <c r="DA22" s="154"/>
    </row>
    <row r="23" spans="1:105">
      <c r="CJ23" s="161"/>
      <c r="CK23" s="161"/>
      <c r="CL23" s="161"/>
      <c r="CM23" s="161"/>
      <c r="CN23" s="161"/>
      <c r="CO23" s="161"/>
      <c r="CP23" s="155"/>
      <c r="CQ23" s="155"/>
      <c r="CR23" s="154"/>
      <c r="CS23" s="154"/>
      <c r="CT23" s="154"/>
      <c r="CU23" s="154"/>
      <c r="CV23" s="154"/>
      <c r="CW23" s="154"/>
      <c r="CX23" s="154"/>
      <c r="CY23" s="154"/>
      <c r="CZ23" s="154"/>
      <c r="DA23" s="154"/>
    </row>
    <row r="24" spans="1:105">
      <c r="CJ24" s="161"/>
      <c r="CK24" s="161"/>
      <c r="CL24" s="161"/>
      <c r="CM24" s="161"/>
      <c r="CN24" s="161"/>
      <c r="CO24" s="161"/>
      <c r="CP24" s="155"/>
      <c r="CQ24" s="155"/>
      <c r="CR24" s="154"/>
      <c r="CS24" s="154"/>
      <c r="CT24" s="154"/>
      <c r="CU24" s="154"/>
      <c r="CV24" s="154"/>
      <c r="CW24" s="154"/>
      <c r="CX24" s="154"/>
      <c r="CY24" s="154"/>
      <c r="CZ24" s="154"/>
      <c r="DA24" s="154"/>
    </row>
    <row r="25" spans="1:105">
      <c r="CJ25" s="161"/>
      <c r="CK25" s="161"/>
      <c r="CL25" s="161"/>
      <c r="CM25" s="161"/>
      <c r="CN25" s="161"/>
      <c r="CO25" s="161"/>
      <c r="CP25" s="155"/>
      <c r="CQ25" s="155"/>
      <c r="CR25" s="154"/>
      <c r="CS25" s="154"/>
      <c r="CT25" s="154"/>
      <c r="CU25" s="154"/>
      <c r="CV25" s="154"/>
      <c r="CW25" s="154"/>
      <c r="CX25" s="154"/>
      <c r="CY25" s="154"/>
      <c r="CZ25" s="154"/>
      <c r="DA25" s="154"/>
    </row>
    <row r="26" spans="1:105">
      <c r="CJ26" s="161"/>
      <c r="CK26" s="161"/>
      <c r="CL26" s="161"/>
      <c r="CM26" s="161"/>
      <c r="CN26" s="161"/>
      <c r="CO26" s="161"/>
      <c r="CP26" s="155"/>
      <c r="CQ26" s="155"/>
      <c r="CR26" s="154"/>
      <c r="CS26" s="154"/>
      <c r="CT26" s="154"/>
      <c r="CU26" s="154"/>
      <c r="CV26" s="154"/>
      <c r="CW26" s="154"/>
      <c r="CX26" s="154"/>
      <c r="CY26" s="154"/>
      <c r="CZ26" s="154"/>
      <c r="DA26" s="154"/>
    </row>
    <row r="27" spans="1:105">
      <c r="CJ27" s="161"/>
      <c r="CK27" s="161"/>
      <c r="CL27" s="161"/>
      <c r="CM27" s="161"/>
      <c r="CN27" s="161"/>
      <c r="CO27" s="161"/>
      <c r="CP27" s="155"/>
      <c r="CQ27" s="155"/>
      <c r="CR27" s="154"/>
      <c r="CS27" s="154"/>
      <c r="CT27" s="154"/>
      <c r="CU27" s="154"/>
      <c r="CV27" s="154"/>
      <c r="CW27" s="154"/>
      <c r="CX27" s="154"/>
      <c r="CY27" s="154"/>
      <c r="CZ27" s="154"/>
      <c r="DA27" s="154"/>
    </row>
    <row r="28" spans="1:105">
      <c r="CJ28" s="161"/>
      <c r="CK28" s="161"/>
      <c r="CL28" s="161"/>
      <c r="CM28" s="161"/>
      <c r="CN28" s="161"/>
      <c r="CO28" s="161"/>
      <c r="CP28" s="155"/>
      <c r="CQ28" s="155"/>
      <c r="CR28" s="154"/>
      <c r="CS28" s="154"/>
      <c r="CT28" s="154"/>
      <c r="CU28" s="154"/>
      <c r="CV28" s="154"/>
      <c r="CW28" s="154"/>
      <c r="CX28" s="154"/>
      <c r="CY28" s="154"/>
      <c r="CZ28" s="154"/>
      <c r="DA28" s="154"/>
    </row>
    <row r="29" spans="1:105">
      <c r="CJ29" s="161"/>
      <c r="CK29" s="161"/>
      <c r="CL29" s="161"/>
      <c r="CM29" s="161"/>
      <c r="CN29" s="161"/>
      <c r="CO29" s="161"/>
      <c r="CP29" s="155"/>
      <c r="CQ29" s="155"/>
      <c r="CR29" s="154"/>
      <c r="CS29" s="154"/>
      <c r="CT29" s="154"/>
      <c r="CU29" s="154"/>
      <c r="CV29" s="154"/>
      <c r="CW29" s="154"/>
      <c r="CX29" s="154"/>
      <c r="CY29" s="154"/>
      <c r="CZ29" s="154"/>
      <c r="DA29" s="154"/>
    </row>
    <row r="30" spans="1:105">
      <c r="CJ30" s="161"/>
      <c r="CK30" s="161"/>
      <c r="CL30" s="161"/>
      <c r="CM30" s="161"/>
      <c r="CN30" s="161"/>
      <c r="CO30" s="161"/>
      <c r="CP30" s="155"/>
      <c r="CQ30" s="155"/>
      <c r="CR30" s="154"/>
      <c r="CS30" s="154"/>
      <c r="CT30" s="154"/>
      <c r="CU30" s="154"/>
      <c r="CV30" s="154"/>
      <c r="CW30" s="154"/>
      <c r="CX30" s="154"/>
      <c r="CY30" s="154"/>
      <c r="CZ30" s="154"/>
      <c r="DA30" s="154"/>
    </row>
    <row r="31" spans="1:105">
      <c r="CJ31" s="161"/>
      <c r="CK31" s="161"/>
      <c r="CL31" s="161"/>
      <c r="CM31" s="161"/>
      <c r="CN31" s="161"/>
      <c r="CO31" s="161"/>
      <c r="CP31" s="155"/>
      <c r="CQ31" s="155"/>
      <c r="CR31" s="154"/>
      <c r="CS31" s="154"/>
      <c r="CT31" s="154"/>
      <c r="CU31" s="154"/>
      <c r="CV31" s="154"/>
      <c r="CW31" s="154"/>
      <c r="CX31" s="154"/>
      <c r="CY31" s="154"/>
      <c r="CZ31" s="154"/>
      <c r="DA31" s="154"/>
    </row>
    <row r="32" spans="1:105">
      <c r="CJ32" s="161"/>
      <c r="CK32" s="161"/>
      <c r="CL32" s="161"/>
      <c r="CM32" s="161"/>
      <c r="CN32" s="161"/>
      <c r="CO32" s="161"/>
      <c r="CP32" s="155"/>
      <c r="CQ32" s="155"/>
      <c r="CR32" s="154"/>
      <c r="CS32" s="154"/>
      <c r="CT32" s="154"/>
      <c r="CU32" s="154"/>
      <c r="CV32" s="154"/>
      <c r="CW32" s="154"/>
      <c r="CX32" s="154"/>
      <c r="CY32" s="154"/>
      <c r="CZ32" s="154"/>
      <c r="DA32" s="154"/>
    </row>
    <row r="33" spans="88:105">
      <c r="CJ33" s="161"/>
      <c r="CK33" s="161"/>
      <c r="CL33" s="161"/>
      <c r="CM33" s="161"/>
      <c r="CN33" s="161"/>
      <c r="CO33" s="161"/>
      <c r="CP33" s="155"/>
      <c r="CQ33" s="155"/>
      <c r="CR33" s="154"/>
      <c r="CS33" s="154"/>
      <c r="CT33" s="154"/>
      <c r="CU33" s="154"/>
      <c r="CV33" s="154"/>
      <c r="CW33" s="154"/>
      <c r="CX33" s="154"/>
      <c r="CY33" s="154"/>
      <c r="CZ33" s="154"/>
      <c r="DA33" s="154"/>
    </row>
    <row r="34" spans="88:105">
      <c r="CJ34" s="161"/>
      <c r="CK34" s="161"/>
      <c r="CL34" s="161"/>
      <c r="CM34" s="161"/>
      <c r="CN34" s="161"/>
      <c r="CO34" s="161"/>
      <c r="CP34" s="155"/>
      <c r="CQ34" s="155"/>
      <c r="CR34" s="154"/>
      <c r="CS34" s="154"/>
      <c r="CT34" s="154"/>
      <c r="CU34" s="154"/>
      <c r="CV34" s="154"/>
      <c r="CW34" s="154"/>
      <c r="CX34" s="154"/>
      <c r="CY34" s="154"/>
      <c r="CZ34" s="154"/>
      <c r="DA34" s="154"/>
    </row>
    <row r="35" spans="88:105">
      <c r="CJ35" s="161"/>
      <c r="CK35" s="161"/>
      <c r="CL35" s="161"/>
      <c r="CM35" s="161"/>
      <c r="CN35" s="161"/>
      <c r="CO35" s="161"/>
      <c r="CP35" s="155"/>
      <c r="CQ35" s="155"/>
      <c r="CR35" s="154"/>
      <c r="CS35" s="154"/>
      <c r="CT35" s="154"/>
      <c r="CU35" s="154"/>
      <c r="CV35" s="154"/>
      <c r="CW35" s="154"/>
      <c r="CX35" s="154"/>
      <c r="CY35" s="154"/>
      <c r="CZ35" s="154"/>
      <c r="DA35" s="154"/>
    </row>
    <row r="36" spans="88:105">
      <c r="CJ36" s="161"/>
      <c r="CK36" s="161"/>
      <c r="CL36" s="161"/>
      <c r="CM36" s="161"/>
      <c r="CN36" s="161"/>
      <c r="CO36" s="161"/>
      <c r="CP36" s="155"/>
      <c r="CQ36" s="155"/>
      <c r="CR36" s="154"/>
      <c r="CS36" s="154"/>
      <c r="CT36" s="154"/>
      <c r="CU36" s="154"/>
      <c r="CV36" s="154"/>
      <c r="CW36" s="154"/>
      <c r="CX36" s="154"/>
      <c r="CY36" s="154"/>
      <c r="CZ36" s="154"/>
      <c r="DA36" s="154"/>
    </row>
    <row r="37" spans="88:105">
      <c r="CJ37" s="161"/>
      <c r="CK37" s="161"/>
      <c r="CL37" s="161"/>
      <c r="CM37" s="161"/>
      <c r="CN37" s="161"/>
      <c r="CO37" s="161"/>
      <c r="CP37" s="155"/>
      <c r="CQ37" s="155"/>
      <c r="CR37" s="154"/>
      <c r="CS37" s="154"/>
      <c r="CT37" s="154"/>
      <c r="CU37" s="154"/>
      <c r="CV37" s="154"/>
      <c r="CW37" s="154"/>
      <c r="CX37" s="154"/>
      <c r="CY37" s="154"/>
      <c r="CZ37" s="154"/>
      <c r="DA37" s="154"/>
    </row>
    <row r="38" spans="88:105">
      <c r="CJ38" s="161"/>
      <c r="CK38" s="161"/>
      <c r="CL38" s="161"/>
      <c r="CM38" s="161"/>
      <c r="CN38" s="161"/>
      <c r="CO38" s="161"/>
      <c r="CP38" s="155"/>
      <c r="CQ38" s="155"/>
      <c r="CR38" s="154"/>
      <c r="CS38" s="154"/>
      <c r="CT38" s="154"/>
      <c r="CU38" s="154"/>
      <c r="CV38" s="154"/>
      <c r="CW38" s="154"/>
      <c r="CX38" s="154"/>
      <c r="CY38" s="154"/>
      <c r="CZ38" s="154"/>
      <c r="DA38" s="154"/>
    </row>
    <row r="39" spans="88:105">
      <c r="CJ39" s="161"/>
      <c r="CK39" s="161"/>
      <c r="CL39" s="161"/>
      <c r="CM39" s="161"/>
      <c r="CN39" s="161"/>
      <c r="CO39" s="161"/>
      <c r="CP39" s="155"/>
      <c r="CQ39" s="155"/>
      <c r="CR39" s="154"/>
      <c r="CS39" s="154"/>
      <c r="CT39" s="154"/>
      <c r="CU39" s="154"/>
      <c r="CV39" s="154"/>
      <c r="CW39" s="154"/>
      <c r="CX39" s="154"/>
      <c r="CY39" s="154"/>
      <c r="CZ39" s="154"/>
      <c r="DA39" s="154"/>
    </row>
    <row r="40" spans="88:105">
      <c r="CJ40" s="161"/>
      <c r="CK40" s="161"/>
      <c r="CL40" s="161"/>
      <c r="CM40" s="161"/>
      <c r="CN40" s="161"/>
      <c r="CO40" s="161"/>
      <c r="CP40" s="155"/>
      <c r="CQ40" s="155"/>
      <c r="CR40" s="154"/>
      <c r="CS40" s="154"/>
      <c r="CT40" s="154"/>
      <c r="CU40" s="154"/>
      <c r="CV40" s="154"/>
      <c r="CW40" s="154"/>
      <c r="CX40" s="154"/>
      <c r="CY40" s="154"/>
      <c r="CZ40" s="154"/>
      <c r="DA40" s="154"/>
    </row>
    <row r="41" spans="88:105">
      <c r="CJ41" s="161"/>
      <c r="CK41" s="161"/>
      <c r="CL41" s="161"/>
      <c r="CM41" s="161"/>
      <c r="CN41" s="161"/>
      <c r="CO41" s="161"/>
      <c r="CP41" s="155"/>
      <c r="CQ41" s="155"/>
      <c r="CR41" s="154"/>
      <c r="CS41" s="154"/>
      <c r="CT41" s="154"/>
      <c r="CU41" s="154"/>
      <c r="CV41" s="154"/>
      <c r="CW41" s="154"/>
      <c r="CX41" s="154"/>
      <c r="CY41" s="154"/>
      <c r="CZ41" s="154"/>
      <c r="DA41" s="154"/>
    </row>
    <row r="42" spans="88:105">
      <c r="CJ42" s="161"/>
      <c r="CK42" s="161"/>
      <c r="CL42" s="161"/>
      <c r="CM42" s="161"/>
      <c r="CN42" s="161"/>
      <c r="CO42" s="161"/>
      <c r="CP42" s="155"/>
      <c r="CQ42" s="155"/>
      <c r="CR42" s="154"/>
      <c r="CS42" s="154"/>
      <c r="CT42" s="154"/>
      <c r="CU42" s="154"/>
      <c r="CV42" s="154"/>
      <c r="CW42" s="154"/>
      <c r="CX42" s="154"/>
      <c r="CY42" s="154"/>
      <c r="CZ42" s="154"/>
      <c r="DA42" s="154"/>
    </row>
    <row r="43" spans="88:105">
      <c r="CJ43" s="161"/>
      <c r="CK43" s="161"/>
      <c r="CL43" s="161"/>
      <c r="CM43" s="161"/>
      <c r="CN43" s="161"/>
      <c r="CO43" s="161"/>
      <c r="CP43" s="155"/>
      <c r="CQ43" s="155"/>
      <c r="CR43" s="154"/>
      <c r="CS43" s="154"/>
      <c r="CT43" s="154"/>
      <c r="CU43" s="154"/>
      <c r="CV43" s="154"/>
      <c r="CW43" s="154"/>
      <c r="CX43" s="154"/>
      <c r="CY43" s="154"/>
      <c r="CZ43" s="154"/>
      <c r="DA43" s="154"/>
    </row>
    <row r="44" spans="88:105">
      <c r="CJ44" s="161"/>
      <c r="CK44" s="161"/>
      <c r="CL44" s="161"/>
      <c r="CM44" s="161"/>
      <c r="CN44" s="161"/>
      <c r="CO44" s="161"/>
      <c r="CP44" s="155"/>
      <c r="CQ44" s="155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</row>
    <row r="45" spans="88:105">
      <c r="CJ45" s="161"/>
      <c r="CK45" s="161"/>
      <c r="CL45" s="161"/>
      <c r="CM45" s="161"/>
      <c r="CN45" s="161"/>
      <c r="CO45" s="161"/>
      <c r="CP45" s="155"/>
      <c r="CQ45" s="155"/>
      <c r="CR45" s="154"/>
      <c r="CS45" s="154"/>
      <c r="CT45" s="154"/>
      <c r="CU45" s="154"/>
      <c r="CV45" s="154"/>
      <c r="CW45" s="154"/>
      <c r="CX45" s="154"/>
      <c r="CY45" s="154"/>
      <c r="CZ45" s="154"/>
      <c r="DA45" s="154"/>
    </row>
    <row r="46" spans="88:105">
      <c r="CJ46" s="161"/>
      <c r="CK46" s="161"/>
      <c r="CL46" s="161"/>
      <c r="CM46" s="161"/>
      <c r="CN46" s="161"/>
      <c r="CO46" s="161"/>
      <c r="CP46" s="155"/>
      <c r="CQ46" s="155"/>
      <c r="CR46" s="154"/>
      <c r="CS46" s="154"/>
      <c r="CT46" s="154"/>
      <c r="CU46" s="154"/>
      <c r="CV46" s="154"/>
      <c r="CW46" s="154"/>
      <c r="CX46" s="154"/>
      <c r="CY46" s="154"/>
      <c r="CZ46" s="154"/>
      <c r="DA46" s="154"/>
    </row>
    <row r="47" spans="88:105">
      <c r="CJ47" s="161"/>
      <c r="CK47" s="161"/>
      <c r="CL47" s="161"/>
      <c r="CM47" s="161"/>
      <c r="CN47" s="161"/>
      <c r="CO47" s="161"/>
      <c r="CP47" s="155"/>
      <c r="CQ47" s="155"/>
      <c r="CR47" s="154"/>
      <c r="CS47" s="154"/>
      <c r="CT47" s="154"/>
      <c r="CU47" s="154"/>
      <c r="CV47" s="154"/>
      <c r="CW47" s="154"/>
      <c r="CX47" s="154"/>
      <c r="CY47" s="154"/>
      <c r="CZ47" s="154"/>
      <c r="DA47" s="154"/>
    </row>
    <row r="48" spans="88:105">
      <c r="CJ48" s="161"/>
      <c r="CK48" s="161"/>
      <c r="CL48" s="161"/>
      <c r="CM48" s="161"/>
      <c r="CN48" s="161"/>
      <c r="CO48" s="161"/>
      <c r="CP48" s="155"/>
      <c r="CQ48" s="155"/>
      <c r="CR48" s="154"/>
      <c r="CS48" s="154"/>
      <c r="CT48" s="154"/>
      <c r="CU48" s="154"/>
      <c r="CV48" s="154"/>
      <c r="CW48" s="154"/>
      <c r="CX48" s="154"/>
      <c r="CY48" s="154"/>
      <c r="CZ48" s="154"/>
      <c r="DA48" s="154"/>
    </row>
    <row r="49" spans="88:105">
      <c r="CJ49" s="161"/>
      <c r="CK49" s="161"/>
      <c r="CL49" s="161"/>
      <c r="CM49" s="161"/>
      <c r="CN49" s="161"/>
      <c r="CO49" s="161"/>
      <c r="CP49" s="155"/>
      <c r="CQ49" s="155"/>
      <c r="CR49" s="154"/>
      <c r="CS49" s="154"/>
      <c r="CT49" s="154"/>
      <c r="CU49" s="154"/>
      <c r="CV49" s="154"/>
      <c r="CW49" s="154"/>
      <c r="CX49" s="154"/>
      <c r="CY49" s="154"/>
      <c r="CZ49" s="154"/>
      <c r="DA49" s="154"/>
    </row>
    <row r="50" spans="88:105">
      <c r="CJ50" s="161"/>
      <c r="CK50" s="161"/>
      <c r="CL50" s="161"/>
      <c r="CM50" s="161"/>
      <c r="CN50" s="161"/>
      <c r="CO50" s="161"/>
      <c r="CP50" s="155"/>
      <c r="CQ50" s="155"/>
      <c r="CR50" s="154"/>
      <c r="CS50" s="154"/>
      <c r="CT50" s="154"/>
      <c r="CU50" s="154"/>
      <c r="CV50" s="154"/>
      <c r="CW50" s="154"/>
      <c r="CX50" s="154"/>
      <c r="CY50" s="154"/>
      <c r="CZ50" s="154"/>
      <c r="DA50" s="154"/>
    </row>
    <row r="51" spans="88:105">
      <c r="CJ51" s="161"/>
      <c r="CK51" s="161"/>
      <c r="CL51" s="161"/>
      <c r="CM51" s="161"/>
      <c r="CN51" s="161"/>
      <c r="CO51" s="161"/>
      <c r="CP51" s="155"/>
      <c r="CQ51" s="155"/>
      <c r="CR51" s="154"/>
      <c r="CS51" s="154"/>
      <c r="CT51" s="154"/>
      <c r="CU51" s="154"/>
      <c r="CV51" s="154"/>
      <c r="CW51" s="154"/>
      <c r="CX51" s="154"/>
      <c r="CY51" s="154"/>
      <c r="CZ51" s="154"/>
      <c r="DA51" s="154"/>
    </row>
    <row r="52" spans="88:105">
      <c r="CJ52" s="161"/>
      <c r="CK52" s="161"/>
      <c r="CL52" s="161"/>
      <c r="CM52" s="161"/>
      <c r="CN52" s="161"/>
      <c r="CO52" s="161"/>
      <c r="CP52" s="155"/>
      <c r="CQ52" s="155"/>
      <c r="CR52" s="154"/>
      <c r="CS52" s="154"/>
      <c r="CT52" s="154"/>
      <c r="CU52" s="154"/>
      <c r="CV52" s="154"/>
      <c r="CW52" s="154"/>
      <c r="CX52" s="154"/>
      <c r="CY52" s="154"/>
      <c r="CZ52" s="154"/>
      <c r="DA52" s="154"/>
    </row>
    <row r="53" spans="88:105">
      <c r="CJ53" s="161"/>
      <c r="CK53" s="161"/>
      <c r="CL53" s="161"/>
      <c r="CM53" s="161"/>
      <c r="CN53" s="161"/>
      <c r="CO53" s="161"/>
      <c r="CP53" s="155"/>
      <c r="CQ53" s="155"/>
      <c r="CR53" s="154"/>
      <c r="CS53" s="154"/>
      <c r="CT53" s="154"/>
      <c r="CU53" s="154"/>
      <c r="CV53" s="154"/>
      <c r="CW53" s="154"/>
      <c r="CX53" s="154"/>
      <c r="CY53" s="154"/>
      <c r="CZ53" s="154"/>
      <c r="DA53" s="154"/>
    </row>
    <row r="54" spans="88:105">
      <c r="CJ54" s="161"/>
      <c r="CK54" s="161"/>
      <c r="CL54" s="161"/>
      <c r="CM54" s="161"/>
      <c r="CN54" s="161"/>
      <c r="CO54" s="161"/>
      <c r="CP54" s="155"/>
      <c r="CQ54" s="155"/>
      <c r="CR54" s="154"/>
      <c r="CS54" s="154"/>
      <c r="CT54" s="154"/>
      <c r="CU54" s="154"/>
      <c r="CV54" s="154"/>
      <c r="CW54" s="154"/>
      <c r="CX54" s="154"/>
      <c r="CY54" s="154"/>
      <c r="CZ54" s="154"/>
      <c r="DA54" s="154"/>
    </row>
    <row r="55" spans="88:105">
      <c r="CJ55" s="161"/>
      <c r="CK55" s="161"/>
      <c r="CL55" s="161"/>
      <c r="CM55" s="161"/>
      <c r="CN55" s="161"/>
      <c r="CO55" s="161"/>
      <c r="CP55" s="155"/>
      <c r="CQ55" s="155"/>
      <c r="CR55" s="154"/>
      <c r="CS55" s="154"/>
      <c r="CT55" s="154"/>
      <c r="CU55" s="154"/>
      <c r="CV55" s="154"/>
      <c r="CW55" s="154"/>
      <c r="CX55" s="154"/>
      <c r="CY55" s="154"/>
      <c r="CZ55" s="154"/>
      <c r="DA55" s="154"/>
    </row>
    <row r="56" spans="88:105">
      <c r="CJ56" s="161"/>
      <c r="CK56" s="161"/>
      <c r="CL56" s="161"/>
      <c r="CM56" s="161"/>
      <c r="CN56" s="161"/>
      <c r="CO56" s="161"/>
      <c r="CP56" s="155"/>
      <c r="CQ56" s="155"/>
      <c r="CR56" s="154"/>
      <c r="CS56" s="154"/>
      <c r="CT56" s="154"/>
      <c r="CU56" s="154"/>
      <c r="CV56" s="154"/>
      <c r="CW56" s="154"/>
      <c r="CX56" s="154"/>
      <c r="CY56" s="154"/>
      <c r="CZ56" s="154"/>
      <c r="DA56" s="154"/>
    </row>
    <row r="57" spans="88:105">
      <c r="CJ57" s="161"/>
      <c r="CK57" s="161"/>
      <c r="CL57" s="161"/>
      <c r="CM57" s="161"/>
      <c r="CN57" s="161"/>
      <c r="CO57" s="161"/>
      <c r="CP57" s="155"/>
      <c r="CQ57" s="155"/>
      <c r="CR57" s="154"/>
      <c r="CS57" s="154"/>
      <c r="CT57" s="154"/>
      <c r="CU57" s="154"/>
      <c r="CV57" s="154"/>
      <c r="CW57" s="154"/>
      <c r="CX57" s="154"/>
      <c r="CY57" s="154"/>
      <c r="CZ57" s="154"/>
      <c r="DA57" s="154"/>
    </row>
    <row r="58" spans="88:105">
      <c r="CJ58" s="161"/>
      <c r="CK58" s="161"/>
      <c r="CL58" s="161"/>
      <c r="CM58" s="161"/>
      <c r="CN58" s="161"/>
      <c r="CO58" s="161"/>
      <c r="CP58" s="155"/>
      <c r="CQ58" s="155"/>
      <c r="CR58" s="154"/>
      <c r="CS58" s="154"/>
      <c r="CT58" s="154"/>
      <c r="CU58" s="154"/>
      <c r="CV58" s="154"/>
      <c r="CW58" s="154"/>
      <c r="CX58" s="154"/>
      <c r="CY58" s="154"/>
      <c r="CZ58" s="154"/>
      <c r="DA58" s="154"/>
    </row>
    <row r="59" spans="88:105">
      <c r="CJ59" s="161"/>
      <c r="CK59" s="161"/>
      <c r="CL59" s="161"/>
      <c r="CM59" s="161"/>
      <c r="CN59" s="161"/>
      <c r="CO59" s="161"/>
      <c r="CP59" s="155"/>
      <c r="CQ59" s="155"/>
      <c r="CR59" s="154"/>
      <c r="CS59" s="154"/>
      <c r="CT59" s="154"/>
      <c r="CU59" s="154"/>
      <c r="CV59" s="154"/>
      <c r="CW59" s="154"/>
      <c r="CX59" s="154"/>
      <c r="CY59" s="154"/>
      <c r="CZ59" s="154"/>
      <c r="DA59" s="154"/>
    </row>
    <row r="60" spans="88:105">
      <c r="CJ60" s="161"/>
      <c r="CK60" s="161"/>
      <c r="CL60" s="161"/>
      <c r="CM60" s="161"/>
      <c r="CN60" s="161"/>
      <c r="CO60" s="161"/>
      <c r="CP60" s="155"/>
      <c r="CQ60" s="155"/>
      <c r="CR60" s="154"/>
      <c r="CS60" s="154"/>
      <c r="CT60" s="154"/>
      <c r="CU60" s="154"/>
      <c r="CV60" s="154"/>
      <c r="CW60" s="154"/>
      <c r="CX60" s="154"/>
      <c r="CY60" s="154"/>
      <c r="CZ60" s="154"/>
      <c r="DA60" s="154"/>
    </row>
    <row r="61" spans="88:105">
      <c r="CJ61" s="161"/>
      <c r="CK61" s="161"/>
      <c r="CL61" s="161"/>
      <c r="CM61" s="161"/>
      <c r="CN61" s="161"/>
      <c r="CO61" s="161"/>
      <c r="CP61" s="155"/>
      <c r="CQ61" s="155"/>
      <c r="CR61" s="154"/>
      <c r="CS61" s="154"/>
      <c r="CT61" s="154"/>
      <c r="CU61" s="154"/>
      <c r="CV61" s="154"/>
      <c r="CW61" s="154"/>
      <c r="CX61" s="154"/>
      <c r="CY61" s="154"/>
      <c r="CZ61" s="154"/>
      <c r="DA61" s="154"/>
    </row>
    <row r="62" spans="88:105">
      <c r="CJ62" s="161"/>
      <c r="CK62" s="161"/>
      <c r="CL62" s="161"/>
      <c r="CM62" s="161"/>
      <c r="CN62" s="161"/>
      <c r="CO62" s="161"/>
      <c r="CP62" s="155"/>
      <c r="CQ62" s="155"/>
      <c r="CR62" s="154"/>
      <c r="CS62" s="154"/>
      <c r="CT62" s="154"/>
      <c r="CU62" s="154"/>
      <c r="CV62" s="154"/>
      <c r="CW62" s="154"/>
      <c r="CX62" s="154"/>
      <c r="CY62" s="154"/>
      <c r="CZ62" s="154"/>
      <c r="DA62" s="154"/>
    </row>
    <row r="63" spans="88:105">
      <c r="CJ63" s="161"/>
      <c r="CK63" s="161"/>
      <c r="CL63" s="161"/>
      <c r="CM63" s="161"/>
      <c r="CN63" s="161"/>
      <c r="CO63" s="161"/>
      <c r="CP63" s="155"/>
      <c r="CQ63" s="155"/>
      <c r="CR63" s="154"/>
      <c r="CS63" s="154"/>
      <c r="CT63" s="154"/>
      <c r="CU63" s="154"/>
      <c r="CV63" s="154"/>
      <c r="CW63" s="154"/>
      <c r="CX63" s="154"/>
      <c r="CY63" s="154"/>
      <c r="CZ63" s="154"/>
      <c r="DA63" s="154"/>
    </row>
    <row r="64" spans="88:105">
      <c r="CJ64" s="161"/>
      <c r="CK64" s="161"/>
      <c r="CL64" s="161"/>
      <c r="CM64" s="161"/>
      <c r="CN64" s="161"/>
      <c r="CO64" s="161"/>
      <c r="CP64" s="155"/>
      <c r="CQ64" s="155"/>
      <c r="CR64" s="154"/>
      <c r="CS64" s="154"/>
      <c r="CT64" s="154"/>
      <c r="CU64" s="154"/>
      <c r="CV64" s="154"/>
      <c r="CW64" s="154"/>
      <c r="CX64" s="154"/>
      <c r="CY64" s="154"/>
      <c r="CZ64" s="154"/>
      <c r="DA64" s="154"/>
    </row>
    <row r="65" spans="88:105">
      <c r="CJ65" s="161"/>
      <c r="CK65" s="161"/>
      <c r="CL65" s="161"/>
      <c r="CM65" s="161"/>
      <c r="CN65" s="161"/>
      <c r="CO65" s="161"/>
      <c r="CP65" s="155"/>
      <c r="CQ65" s="155"/>
      <c r="CR65" s="154"/>
      <c r="CS65" s="154"/>
      <c r="CT65" s="154"/>
      <c r="CU65" s="154"/>
      <c r="CV65" s="154"/>
      <c r="CW65" s="154"/>
      <c r="CX65" s="154"/>
      <c r="CY65" s="154"/>
      <c r="CZ65" s="154"/>
      <c r="DA65" s="154"/>
    </row>
    <row r="66" spans="88:105">
      <c r="CJ66" s="161"/>
      <c r="CK66" s="161"/>
      <c r="CL66" s="161"/>
      <c r="CM66" s="161"/>
      <c r="CN66" s="161"/>
      <c r="CO66" s="161"/>
      <c r="CP66" s="155"/>
      <c r="CQ66" s="155"/>
      <c r="CR66" s="154"/>
      <c r="CS66" s="154"/>
      <c r="CT66" s="154"/>
      <c r="CU66" s="154"/>
      <c r="CV66" s="154"/>
      <c r="CW66" s="154"/>
      <c r="CX66" s="154"/>
      <c r="CY66" s="154"/>
      <c r="CZ66" s="154"/>
      <c r="DA66" s="154"/>
    </row>
    <row r="67" spans="88:105">
      <c r="CJ67" s="161"/>
      <c r="CK67" s="161"/>
      <c r="CL67" s="161"/>
      <c r="CM67" s="161"/>
      <c r="CN67" s="161"/>
      <c r="CO67" s="161"/>
      <c r="CP67" s="155"/>
      <c r="CQ67" s="155"/>
      <c r="CR67" s="154"/>
      <c r="CS67" s="154"/>
      <c r="CT67" s="154"/>
      <c r="CU67" s="154"/>
      <c r="CV67" s="154"/>
      <c r="CW67" s="154"/>
      <c r="CX67" s="154"/>
      <c r="CY67" s="154"/>
      <c r="CZ67" s="154"/>
      <c r="DA67" s="154"/>
    </row>
    <row r="68" spans="88:105">
      <c r="CJ68" s="161"/>
      <c r="CK68" s="161"/>
      <c r="CL68" s="161"/>
      <c r="CM68" s="161"/>
      <c r="CN68" s="161"/>
      <c r="CO68" s="161"/>
      <c r="CP68" s="155"/>
      <c r="CQ68" s="155"/>
      <c r="CR68" s="154"/>
      <c r="CS68" s="154"/>
      <c r="CT68" s="154"/>
      <c r="CU68" s="154"/>
      <c r="CV68" s="154"/>
      <c r="CW68" s="154"/>
      <c r="CX68" s="154"/>
      <c r="CY68" s="154"/>
      <c r="CZ68" s="154"/>
      <c r="DA68" s="154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85" zoomScaleNormal="85" workbookViewId="0">
      <selection activeCell="D29" sqref="D29"/>
    </sheetView>
  </sheetViews>
  <sheetFormatPr baseColWidth="10" defaultColWidth="11.54296875" defaultRowHeight="17.5"/>
  <cols>
    <col min="1" max="1" width="8.54296875" style="391" bestFit="1" customWidth="1"/>
    <col min="2" max="2" width="15.81640625" style="391" bestFit="1" customWidth="1"/>
    <col min="3" max="3" width="39.81640625" style="391" bestFit="1" customWidth="1"/>
    <col min="4" max="4" width="32.54296875" style="391" bestFit="1" customWidth="1"/>
    <col min="5" max="5" width="41.7265625" style="391" bestFit="1" customWidth="1"/>
    <col min="6" max="6" width="13.7265625" style="391" bestFit="1" customWidth="1"/>
    <col min="7" max="7" width="37.81640625" style="391" bestFit="1" customWidth="1"/>
    <col min="8" max="8" width="43.54296875" style="391" bestFit="1" customWidth="1"/>
    <col min="9" max="9" width="19.453125" style="391" hidden="1" customWidth="1"/>
    <col min="10" max="10" width="27.453125" style="391" hidden="1" customWidth="1"/>
    <col min="11" max="11" width="26.81640625" style="391" hidden="1" customWidth="1"/>
    <col min="12" max="12" width="37.81640625" style="391" hidden="1" customWidth="1"/>
    <col min="13" max="13" width="14.26953125" style="391" hidden="1" customWidth="1"/>
    <col min="14" max="14" width="37.81640625" style="391" hidden="1" customWidth="1"/>
    <col min="15" max="15" width="29" style="391" hidden="1" customWidth="1"/>
    <col min="16" max="16" width="22.54296875" style="391" hidden="1" customWidth="1"/>
    <col min="17" max="17" width="36.81640625" style="391" hidden="1" customWidth="1"/>
    <col min="18" max="18" width="26.26953125" style="391" hidden="1" customWidth="1"/>
    <col min="19" max="19" width="39" style="391" hidden="1" customWidth="1"/>
    <col min="20" max="20" width="43.54296875" style="391" hidden="1" customWidth="1"/>
    <col min="21" max="22" width="36.81640625" style="391" hidden="1" customWidth="1"/>
    <col min="23" max="23" width="39.81640625" style="391" hidden="1" customWidth="1"/>
    <col min="24" max="24" width="34.7265625" style="391" hidden="1" customWidth="1"/>
    <col min="25" max="25" width="40.54296875" style="391" hidden="1" customWidth="1"/>
    <col min="26" max="26" width="28.453125" style="391" hidden="1" customWidth="1"/>
    <col min="27" max="27" width="34.7265625" style="391" hidden="1" customWidth="1"/>
    <col min="28" max="28" width="35.81640625" style="391" hidden="1" customWidth="1"/>
    <col min="29" max="29" width="18.54296875" style="391" bestFit="1" customWidth="1"/>
    <col min="30" max="30" width="25.7265625" style="391" bestFit="1" customWidth="1"/>
    <col min="31" max="31" width="34.7265625" style="391" customWidth="1"/>
    <col min="32" max="32" width="11.54296875" style="391"/>
    <col min="33" max="36" width="34.7265625" style="391" hidden="1" customWidth="1"/>
    <col min="37" max="37" width="33.54296875" style="391" hidden="1" customWidth="1"/>
    <col min="38" max="39" width="0" style="391" hidden="1" customWidth="1"/>
    <col min="40" max="52" width="11.54296875" style="391"/>
    <col min="53" max="64" width="33.54296875" style="391" customWidth="1"/>
    <col min="65" max="69" width="11.54296875" style="391"/>
    <col min="70" max="72" width="42" style="391" customWidth="1"/>
    <col min="73" max="87" width="11.54296875" style="391"/>
    <col min="88" max="93" width="35.453125" style="455" customWidth="1"/>
    <col min="94" max="105" width="35.453125" style="391" customWidth="1"/>
    <col min="106" max="16384" width="11.54296875" style="391"/>
  </cols>
  <sheetData>
    <row r="1" spans="1:105" s="388" customFormat="1" ht="18">
      <c r="A1" s="531"/>
      <c r="B1" s="532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3"/>
      <c r="O1" s="532"/>
      <c r="P1" s="532"/>
      <c r="Q1" s="532"/>
      <c r="R1" s="532"/>
      <c r="S1" s="532"/>
      <c r="T1" s="531"/>
      <c r="U1" s="531"/>
      <c r="V1" s="531"/>
      <c r="W1" s="531"/>
      <c r="X1" s="531"/>
      <c r="Y1" s="531"/>
      <c r="Z1" s="531"/>
      <c r="AA1" s="531"/>
      <c r="AB1" s="531"/>
      <c r="AC1" s="531"/>
      <c r="AD1" s="531"/>
      <c r="AE1" s="531"/>
      <c r="AF1" s="534"/>
      <c r="AG1" s="535"/>
      <c r="AH1" s="535"/>
      <c r="AI1" s="535"/>
      <c r="AJ1" s="535"/>
      <c r="AK1" s="535"/>
      <c r="BA1" s="536"/>
      <c r="BB1" s="536"/>
      <c r="BC1" s="536"/>
      <c r="BD1" s="536"/>
      <c r="BE1" s="536"/>
      <c r="BF1" s="536"/>
      <c r="BG1" s="536"/>
      <c r="BH1" s="536"/>
      <c r="BI1" s="536"/>
      <c r="BJ1" s="536"/>
      <c r="BK1" s="536"/>
      <c r="BL1" s="536"/>
      <c r="CJ1" s="390"/>
      <c r="CK1" s="390"/>
      <c r="CL1" s="390"/>
      <c r="CM1" s="390"/>
      <c r="CN1" s="390"/>
      <c r="CO1" s="390"/>
      <c r="CP1" s="390"/>
      <c r="CQ1" s="390"/>
      <c r="CR1" s="390"/>
      <c r="CS1" s="390"/>
      <c r="CT1" s="390"/>
      <c r="CU1" s="390"/>
      <c r="CV1" s="390"/>
      <c r="CW1" s="390"/>
      <c r="CX1" s="390"/>
      <c r="CY1" s="390"/>
      <c r="CZ1" s="390"/>
      <c r="DA1" s="390"/>
    </row>
    <row r="2" spans="1:105" s="388" customFormat="1" ht="18">
      <c r="A2" s="531"/>
      <c r="B2" s="532"/>
      <c r="C2" s="531"/>
      <c r="D2" s="531"/>
      <c r="E2" s="531"/>
      <c r="F2" s="531"/>
      <c r="G2" s="531"/>
      <c r="H2" s="531"/>
      <c r="I2" s="531"/>
      <c r="J2" s="531"/>
      <c r="K2" s="531"/>
      <c r="L2" s="531"/>
      <c r="M2" s="531"/>
      <c r="N2" s="533"/>
      <c r="O2" s="532"/>
      <c r="P2" s="532"/>
      <c r="Q2" s="532"/>
      <c r="R2" s="532"/>
      <c r="S2" s="532"/>
      <c r="T2" s="531"/>
      <c r="U2" s="531"/>
      <c r="V2" s="531"/>
      <c r="W2" s="531"/>
      <c r="X2" s="531"/>
      <c r="Y2" s="531"/>
      <c r="Z2" s="531"/>
      <c r="AA2" s="531"/>
      <c r="AB2" s="531"/>
      <c r="AC2" s="531"/>
      <c r="AD2" s="531"/>
      <c r="AE2" s="531"/>
      <c r="AF2" s="534"/>
      <c r="AG2" s="535"/>
      <c r="AH2" s="535"/>
      <c r="AI2" s="535"/>
      <c r="AJ2" s="535"/>
      <c r="AK2" s="535"/>
      <c r="BA2" s="536"/>
      <c r="BB2" s="536"/>
      <c r="BC2" s="536"/>
      <c r="BD2" s="536"/>
      <c r="BE2" s="536"/>
      <c r="BF2" s="536"/>
      <c r="BG2" s="536"/>
      <c r="BH2" s="536"/>
      <c r="BI2" s="536"/>
      <c r="BJ2" s="536"/>
      <c r="BK2" s="536"/>
      <c r="BL2" s="536"/>
      <c r="CJ2" s="390"/>
      <c r="CK2" s="390"/>
      <c r="CL2" s="390"/>
      <c r="CM2" s="390"/>
      <c r="CN2" s="390"/>
      <c r="CO2" s="390"/>
      <c r="CP2" s="390"/>
      <c r="CQ2" s="390"/>
      <c r="CR2" s="390"/>
      <c r="CS2" s="390"/>
      <c r="CT2" s="390"/>
      <c r="CU2" s="390"/>
      <c r="CV2" s="390"/>
      <c r="CW2" s="390"/>
      <c r="CX2" s="390"/>
      <c r="CY2" s="390"/>
      <c r="CZ2" s="390"/>
      <c r="DA2" s="390"/>
    </row>
    <row r="3" spans="1:105" s="388" customFormat="1" ht="18">
      <c r="A3" s="531"/>
      <c r="B3" s="532"/>
      <c r="C3" s="531"/>
      <c r="D3" s="531"/>
      <c r="E3" s="531"/>
      <c r="F3" s="531"/>
      <c r="G3" s="531"/>
      <c r="H3" s="531"/>
      <c r="I3" s="531"/>
      <c r="J3" s="531"/>
      <c r="K3" s="531"/>
      <c r="L3" s="531"/>
      <c r="M3" s="531"/>
      <c r="N3" s="533"/>
      <c r="O3" s="532"/>
      <c r="P3" s="532"/>
      <c r="Q3" s="532"/>
      <c r="R3" s="532"/>
      <c r="S3" s="532"/>
      <c r="T3" s="531"/>
      <c r="U3" s="531"/>
      <c r="V3" s="531"/>
      <c r="W3" s="531"/>
      <c r="X3" s="531"/>
      <c r="Y3" s="531"/>
      <c r="Z3" s="531"/>
      <c r="AA3" s="531"/>
      <c r="AB3" s="531"/>
      <c r="AC3" s="531"/>
      <c r="AD3" s="531"/>
      <c r="AE3" s="531"/>
      <c r="AF3" s="534"/>
      <c r="AG3" s="535"/>
      <c r="AH3" s="535"/>
      <c r="AI3" s="535"/>
      <c r="AJ3" s="535"/>
      <c r="AK3" s="535"/>
      <c r="BA3" s="536"/>
      <c r="BB3" s="536"/>
      <c r="BC3" s="536"/>
      <c r="BD3" s="536"/>
      <c r="BE3" s="536"/>
      <c r="BF3" s="536"/>
      <c r="BG3" s="536"/>
      <c r="BH3" s="536"/>
      <c r="BI3" s="536"/>
      <c r="BJ3" s="536"/>
      <c r="BK3" s="536"/>
      <c r="BL3" s="536"/>
      <c r="CJ3" s="390"/>
      <c r="CK3" s="390"/>
      <c r="CL3" s="390"/>
      <c r="CM3" s="390"/>
      <c r="CN3" s="390"/>
      <c r="CO3" s="390"/>
      <c r="CP3" s="390"/>
      <c r="CQ3" s="390"/>
      <c r="CR3" s="390"/>
      <c r="CS3" s="390"/>
      <c r="CT3" s="390"/>
      <c r="CU3" s="390"/>
      <c r="CV3" s="390"/>
      <c r="CW3" s="390"/>
      <c r="CX3" s="390"/>
      <c r="CY3" s="390"/>
      <c r="CZ3" s="390"/>
      <c r="DA3" s="390"/>
    </row>
    <row r="4" spans="1:105" s="388" customFormat="1" ht="18">
      <c r="A4" s="531"/>
      <c r="B4" s="532"/>
      <c r="C4" s="531"/>
      <c r="D4" s="531"/>
      <c r="E4" s="531"/>
      <c r="F4" s="531"/>
      <c r="G4" s="531"/>
      <c r="H4" s="531"/>
      <c r="I4" s="531"/>
      <c r="J4" s="531"/>
      <c r="K4" s="531"/>
      <c r="L4" s="531"/>
      <c r="M4" s="531"/>
      <c r="N4" s="533"/>
      <c r="O4" s="532"/>
      <c r="P4" s="532"/>
      <c r="Q4" s="532"/>
      <c r="R4" s="532"/>
      <c r="S4" s="532"/>
      <c r="T4" s="531"/>
      <c r="U4" s="531"/>
      <c r="V4" s="531"/>
      <c r="W4" s="531"/>
      <c r="X4" s="531"/>
      <c r="Y4" s="531"/>
      <c r="Z4" s="531"/>
      <c r="AA4" s="531"/>
      <c r="AB4" s="531"/>
      <c r="AC4" s="531"/>
      <c r="AD4" s="531"/>
      <c r="AE4" s="531"/>
      <c r="AF4" s="534"/>
      <c r="AG4" s="535"/>
      <c r="AH4" s="535"/>
      <c r="AI4" s="535"/>
      <c r="AJ4" s="535"/>
      <c r="AK4" s="535"/>
      <c r="BA4" s="536"/>
      <c r="BB4" s="536"/>
      <c r="BC4" s="536"/>
      <c r="BD4" s="536"/>
      <c r="BE4" s="536"/>
      <c r="BF4" s="536"/>
      <c r="BG4" s="536"/>
      <c r="BH4" s="536"/>
      <c r="BI4" s="536"/>
      <c r="BJ4" s="536"/>
      <c r="BK4" s="536"/>
      <c r="BL4" s="536"/>
      <c r="CJ4" s="390"/>
      <c r="CK4" s="390"/>
      <c r="CL4" s="390"/>
      <c r="CM4" s="390"/>
      <c r="CN4" s="390"/>
      <c r="CO4" s="390"/>
      <c r="CP4" s="390"/>
      <c r="CQ4" s="390"/>
      <c r="CR4" s="390"/>
      <c r="CS4" s="390"/>
      <c r="CT4" s="390"/>
      <c r="CU4" s="390"/>
      <c r="CV4" s="390"/>
      <c r="CW4" s="390"/>
      <c r="CX4" s="390"/>
      <c r="CY4" s="390"/>
      <c r="CZ4" s="390"/>
      <c r="DA4" s="390"/>
    </row>
    <row r="5" spans="1:105" s="388" customFormat="1" ht="18">
      <c r="A5" s="531"/>
      <c r="B5" s="532"/>
      <c r="C5" s="531"/>
      <c r="D5" s="531"/>
      <c r="E5" s="531"/>
      <c r="F5" s="531"/>
      <c r="G5" s="531"/>
      <c r="H5" s="531"/>
      <c r="I5" s="531"/>
      <c r="J5" s="531"/>
      <c r="K5" s="531"/>
      <c r="L5" s="531"/>
      <c r="M5" s="531"/>
      <c r="N5" s="533"/>
      <c r="O5" s="532"/>
      <c r="P5" s="532"/>
      <c r="Q5" s="532"/>
      <c r="R5" s="532"/>
      <c r="S5" s="532"/>
      <c r="T5" s="531"/>
      <c r="U5" s="531"/>
      <c r="V5" s="531"/>
      <c r="W5" s="531"/>
      <c r="X5" s="531"/>
      <c r="Y5" s="531"/>
      <c r="Z5" s="531"/>
      <c r="AA5" s="531"/>
      <c r="AB5" s="531"/>
      <c r="AC5" s="531"/>
      <c r="AD5" s="531"/>
      <c r="AE5" s="531"/>
      <c r="AF5" s="534"/>
      <c r="AG5" s="535"/>
      <c r="AH5" s="535"/>
      <c r="AI5" s="535"/>
      <c r="AJ5" s="535"/>
      <c r="AK5" s="535"/>
      <c r="BA5" s="536"/>
      <c r="BB5" s="536"/>
      <c r="BC5" s="536"/>
      <c r="BD5" s="536"/>
      <c r="BE5" s="536"/>
      <c r="BF5" s="536"/>
      <c r="BG5" s="536"/>
      <c r="BH5" s="536"/>
      <c r="BI5" s="536"/>
      <c r="BJ5" s="536"/>
      <c r="BK5" s="536"/>
      <c r="BL5" s="536"/>
      <c r="CJ5" s="390"/>
      <c r="CK5" s="390"/>
      <c r="CL5" s="390"/>
      <c r="CM5" s="390"/>
      <c r="CN5" s="390"/>
      <c r="CO5" s="390"/>
      <c r="CP5" s="390"/>
      <c r="CQ5" s="390"/>
      <c r="CR5" s="390"/>
      <c r="CS5" s="390"/>
      <c r="CT5" s="390"/>
      <c r="CU5" s="390"/>
      <c r="CV5" s="390"/>
      <c r="CW5" s="390"/>
      <c r="CX5" s="390"/>
      <c r="CY5" s="390"/>
      <c r="CZ5" s="390"/>
      <c r="DA5" s="390"/>
    </row>
    <row r="6" spans="1:105" s="388" customFormat="1" ht="18">
      <c r="A6" s="531"/>
      <c r="B6" s="532"/>
      <c r="C6" s="531"/>
      <c r="D6" s="531"/>
      <c r="E6" s="531"/>
      <c r="F6" s="531"/>
      <c r="G6" s="531"/>
      <c r="H6" s="531"/>
      <c r="I6" s="531"/>
      <c r="J6" s="531"/>
      <c r="K6" s="531"/>
      <c r="L6" s="531"/>
      <c r="M6" s="531"/>
      <c r="N6" s="533"/>
      <c r="O6" s="532"/>
      <c r="P6" s="532"/>
      <c r="Q6" s="532"/>
      <c r="R6" s="532"/>
      <c r="S6" s="532"/>
      <c r="T6" s="531"/>
      <c r="U6" s="531"/>
      <c r="V6" s="531"/>
      <c r="W6" s="531"/>
      <c r="X6" s="531"/>
      <c r="Y6" s="531"/>
      <c r="Z6" s="531"/>
      <c r="AA6" s="531"/>
      <c r="AB6" s="531"/>
      <c r="AC6" s="531"/>
      <c r="AD6" s="531"/>
      <c r="AE6" s="531"/>
      <c r="AF6" s="534"/>
      <c r="AG6" s="535"/>
      <c r="AH6" s="535"/>
      <c r="AI6" s="535"/>
      <c r="AJ6" s="535"/>
      <c r="AK6" s="535"/>
      <c r="BA6" s="536"/>
      <c r="BB6" s="536"/>
      <c r="BC6" s="536"/>
      <c r="BD6" s="536"/>
      <c r="BE6" s="536"/>
      <c r="BF6" s="536"/>
      <c r="BG6" s="536"/>
      <c r="BH6" s="536"/>
      <c r="BI6" s="536"/>
      <c r="BJ6" s="536"/>
      <c r="BK6" s="536"/>
      <c r="BL6" s="536"/>
      <c r="CJ6" s="390"/>
      <c r="CK6" s="390"/>
      <c r="CL6" s="390"/>
      <c r="CM6" s="390"/>
      <c r="CN6" s="390"/>
      <c r="CO6" s="390"/>
      <c r="CP6" s="390"/>
      <c r="CQ6" s="390"/>
      <c r="CR6" s="390"/>
      <c r="CS6" s="390"/>
      <c r="CT6" s="390"/>
      <c r="CU6" s="390"/>
      <c r="CV6" s="390"/>
      <c r="CW6" s="390"/>
      <c r="CX6" s="390"/>
      <c r="CY6" s="390"/>
      <c r="CZ6" s="390"/>
      <c r="DA6" s="390"/>
    </row>
    <row r="7" spans="1:105" s="388" customFormat="1" ht="18">
      <c r="A7" s="531"/>
      <c r="B7" s="532"/>
      <c r="C7" s="531"/>
      <c r="D7" s="531"/>
      <c r="E7" s="531"/>
      <c r="F7" s="531"/>
      <c r="G7" s="531"/>
      <c r="H7" s="531"/>
      <c r="I7" s="531"/>
      <c r="J7" s="531"/>
      <c r="K7" s="531"/>
      <c r="L7" s="531"/>
      <c r="M7" s="531"/>
      <c r="N7" s="533"/>
      <c r="O7" s="532"/>
      <c r="P7" s="532"/>
      <c r="Q7" s="532"/>
      <c r="R7" s="532"/>
      <c r="S7" s="532"/>
      <c r="T7" s="531"/>
      <c r="U7" s="531"/>
      <c r="V7" s="531"/>
      <c r="W7" s="531"/>
      <c r="X7" s="531"/>
      <c r="Y7" s="531"/>
      <c r="Z7" s="531"/>
      <c r="AA7" s="531"/>
      <c r="AB7" s="531"/>
      <c r="AC7" s="531"/>
      <c r="AD7" s="531"/>
      <c r="AE7" s="531"/>
      <c r="AF7" s="534"/>
      <c r="AG7" s="535"/>
      <c r="AH7" s="535"/>
      <c r="AI7" s="535"/>
      <c r="AJ7" s="535"/>
      <c r="AK7" s="535"/>
      <c r="BA7" s="536"/>
      <c r="BB7" s="536"/>
      <c r="BC7" s="536"/>
      <c r="BD7" s="536"/>
      <c r="BE7" s="536"/>
      <c r="BF7" s="536"/>
      <c r="BG7" s="536"/>
      <c r="BH7" s="536"/>
      <c r="BI7" s="536"/>
      <c r="BJ7" s="536"/>
      <c r="BK7" s="536"/>
      <c r="BL7" s="536"/>
      <c r="CJ7" s="390"/>
      <c r="CK7" s="390"/>
      <c r="CL7" s="390"/>
      <c r="CM7" s="390"/>
      <c r="CN7" s="390"/>
      <c r="CO7" s="390"/>
      <c r="CP7" s="390"/>
      <c r="CQ7" s="390"/>
      <c r="CR7" s="390"/>
      <c r="CS7" s="390"/>
      <c r="CT7" s="390"/>
      <c r="CU7" s="390"/>
      <c r="CV7" s="390"/>
      <c r="CW7" s="390"/>
      <c r="CX7" s="390"/>
      <c r="CY7" s="390"/>
      <c r="CZ7" s="390"/>
      <c r="DA7" s="390"/>
    </row>
    <row r="8" spans="1:105" s="388" customFormat="1" ht="18">
      <c r="A8" s="531"/>
      <c r="B8" s="532"/>
      <c r="C8" s="531"/>
      <c r="D8" s="531"/>
      <c r="E8" s="531"/>
      <c r="F8" s="531"/>
      <c r="G8" s="531"/>
      <c r="H8" s="531"/>
      <c r="I8" s="531"/>
      <c r="J8" s="531"/>
      <c r="K8" s="531"/>
      <c r="L8" s="531"/>
      <c r="M8" s="531"/>
      <c r="N8" s="533"/>
      <c r="O8" s="532"/>
      <c r="P8" s="532"/>
      <c r="Q8" s="532"/>
      <c r="R8" s="532"/>
      <c r="S8" s="532"/>
      <c r="T8" s="531"/>
      <c r="U8" s="531"/>
      <c r="V8" s="531"/>
      <c r="W8" s="531"/>
      <c r="X8" s="531"/>
      <c r="Y8" s="531"/>
      <c r="Z8" s="531"/>
      <c r="AA8" s="531"/>
      <c r="AB8" s="531"/>
      <c r="AC8" s="531"/>
      <c r="AD8" s="531"/>
      <c r="AE8" s="531"/>
      <c r="AF8" s="534"/>
      <c r="AG8" s="535"/>
      <c r="AH8" s="535"/>
      <c r="AI8" s="535"/>
      <c r="AJ8" s="535"/>
      <c r="AK8" s="535"/>
      <c r="BA8" s="536"/>
      <c r="BB8" s="536"/>
      <c r="BC8" s="536"/>
      <c r="BD8" s="536"/>
      <c r="BE8" s="536"/>
      <c r="BF8" s="536"/>
      <c r="BG8" s="536"/>
      <c r="BH8" s="536"/>
      <c r="BI8" s="536"/>
      <c r="BJ8" s="536"/>
      <c r="BK8" s="536"/>
      <c r="BL8" s="536"/>
      <c r="CJ8" s="390"/>
      <c r="CK8" s="390"/>
      <c r="CL8" s="390"/>
      <c r="CM8" s="390"/>
      <c r="CN8" s="390"/>
      <c r="CO8" s="390"/>
      <c r="CP8" s="390"/>
      <c r="CQ8" s="390"/>
      <c r="CR8" s="390"/>
      <c r="CS8" s="390"/>
      <c r="CT8" s="390"/>
      <c r="CU8" s="390"/>
      <c r="CV8" s="390"/>
      <c r="CW8" s="390"/>
      <c r="CX8" s="390"/>
      <c r="CY8" s="390"/>
      <c r="CZ8" s="390"/>
      <c r="DA8" s="390"/>
    </row>
    <row r="9" spans="1:105" s="388" customFormat="1" ht="18">
      <c r="A9" s="531"/>
      <c r="B9" s="532"/>
      <c r="C9" s="531"/>
      <c r="D9" s="531"/>
      <c r="E9" s="531"/>
      <c r="F9" s="531"/>
      <c r="G9" s="531"/>
      <c r="H9" s="531"/>
      <c r="I9" s="531"/>
      <c r="J9" s="531"/>
      <c r="K9" s="531"/>
      <c r="L9" s="531"/>
      <c r="M9" s="531"/>
      <c r="N9" s="533"/>
      <c r="O9" s="532"/>
      <c r="P9" s="532"/>
      <c r="Q9" s="532"/>
      <c r="R9" s="532"/>
      <c r="S9" s="532"/>
      <c r="T9" s="531"/>
      <c r="U9" s="531"/>
      <c r="V9" s="531"/>
      <c r="W9" s="531"/>
      <c r="X9" s="531"/>
      <c r="Y9" s="531"/>
      <c r="Z9" s="531"/>
      <c r="AA9" s="531"/>
      <c r="AB9" s="531"/>
      <c r="AC9" s="531"/>
      <c r="AD9" s="531"/>
      <c r="AE9" s="531"/>
      <c r="AF9" s="534"/>
      <c r="AG9" s="535"/>
      <c r="AH9" s="535"/>
      <c r="AI9" s="535"/>
      <c r="AJ9" s="535"/>
      <c r="AK9" s="535"/>
      <c r="BA9" s="536"/>
      <c r="BB9" s="536"/>
      <c r="BC9" s="536"/>
      <c r="BD9" s="536"/>
      <c r="BE9" s="536"/>
      <c r="BF9" s="536"/>
      <c r="BG9" s="536"/>
      <c r="BH9" s="536"/>
      <c r="BI9" s="536"/>
      <c r="BJ9" s="536"/>
      <c r="BK9" s="536"/>
      <c r="BL9" s="536"/>
      <c r="CJ9" s="390"/>
      <c r="CK9" s="390"/>
      <c r="CL9" s="390"/>
      <c r="CM9" s="390"/>
      <c r="CN9" s="390"/>
      <c r="CO9" s="390"/>
      <c r="CP9" s="390"/>
      <c r="CQ9" s="390"/>
      <c r="CR9" s="390"/>
      <c r="CS9" s="390"/>
      <c r="CT9" s="390"/>
      <c r="CU9" s="390"/>
      <c r="CV9" s="390"/>
      <c r="CW9" s="390"/>
      <c r="CX9" s="390"/>
      <c r="CY9" s="390"/>
      <c r="CZ9" s="390"/>
      <c r="DA9" s="390"/>
    </row>
    <row r="10" spans="1:105" s="388" customFormat="1" ht="18">
      <c r="A10" s="531"/>
      <c r="B10" s="532"/>
      <c r="C10" s="531"/>
      <c r="D10" s="531"/>
      <c r="E10" s="531"/>
      <c r="F10" s="531"/>
      <c r="G10" s="531"/>
      <c r="H10" s="531"/>
      <c r="I10" s="531"/>
      <c r="J10" s="531"/>
      <c r="K10" s="531"/>
      <c r="L10" s="531"/>
      <c r="M10" s="531"/>
      <c r="N10" s="533"/>
      <c r="O10" s="532"/>
      <c r="P10" s="532"/>
      <c r="Q10" s="532"/>
      <c r="R10" s="532"/>
      <c r="S10" s="532"/>
      <c r="T10" s="531"/>
      <c r="U10" s="531"/>
      <c r="V10" s="531"/>
      <c r="W10" s="531"/>
      <c r="X10" s="531"/>
      <c r="Y10" s="531"/>
      <c r="Z10" s="531"/>
      <c r="AA10" s="531"/>
      <c r="AB10" s="531"/>
      <c r="AC10" s="531"/>
      <c r="AD10" s="531"/>
      <c r="AE10" s="531"/>
      <c r="AF10" s="534"/>
      <c r="AG10" s="535"/>
      <c r="AH10" s="535"/>
      <c r="AI10" s="535"/>
      <c r="AJ10" s="535"/>
      <c r="AK10" s="535"/>
      <c r="BA10" s="536"/>
      <c r="BB10" s="536"/>
      <c r="BC10" s="536"/>
      <c r="BD10" s="536"/>
      <c r="BE10" s="536"/>
      <c r="BF10" s="536"/>
      <c r="BG10" s="536"/>
      <c r="BH10" s="536"/>
      <c r="BI10" s="536"/>
      <c r="BJ10" s="536"/>
      <c r="BK10" s="536"/>
      <c r="BL10" s="536"/>
      <c r="CJ10" s="390"/>
      <c r="CK10" s="390"/>
      <c r="CL10" s="390"/>
      <c r="CM10" s="390"/>
      <c r="CN10" s="390"/>
      <c r="CO10" s="390"/>
      <c r="CP10" s="390"/>
      <c r="CQ10" s="390"/>
      <c r="CR10" s="390"/>
      <c r="CS10" s="390"/>
      <c r="CT10" s="390"/>
      <c r="CU10" s="390"/>
      <c r="CV10" s="390"/>
      <c r="CW10" s="390"/>
      <c r="CX10" s="390"/>
      <c r="CY10" s="390"/>
      <c r="CZ10" s="390"/>
      <c r="DA10" s="390"/>
    </row>
    <row r="11" spans="1:105" s="388" customFormat="1" ht="18">
      <c r="A11" s="531"/>
      <c r="B11" s="532"/>
      <c r="C11" s="531"/>
      <c r="D11" s="531"/>
      <c r="E11" s="531"/>
      <c r="F11" s="531"/>
      <c r="G11" s="531"/>
      <c r="H11" s="531"/>
      <c r="I11" s="531"/>
      <c r="J11" s="531"/>
      <c r="K11" s="531"/>
      <c r="L11" s="531"/>
      <c r="M11" s="531"/>
      <c r="N11" s="533"/>
      <c r="O11" s="532"/>
      <c r="P11" s="532"/>
      <c r="Q11" s="532"/>
      <c r="R11" s="532"/>
      <c r="S11" s="532"/>
      <c r="T11" s="531"/>
      <c r="U11" s="531"/>
      <c r="V11" s="531"/>
      <c r="W11" s="531"/>
      <c r="X11" s="531"/>
      <c r="Y11" s="531"/>
      <c r="Z11" s="531"/>
      <c r="AA11" s="531"/>
      <c r="AB11" s="531"/>
      <c r="AC11" s="531"/>
      <c r="AD11" s="531"/>
      <c r="AE11" s="531"/>
      <c r="AF11" s="534"/>
      <c r="AG11" s="535"/>
      <c r="AH11" s="535"/>
      <c r="AI11" s="535"/>
      <c r="AJ11" s="535"/>
      <c r="AK11" s="535"/>
      <c r="BA11" s="536"/>
      <c r="BB11" s="536"/>
      <c r="BC11" s="536"/>
      <c r="BD11" s="536"/>
      <c r="BE11" s="536"/>
      <c r="BF11" s="536"/>
      <c r="BG11" s="536"/>
      <c r="BH11" s="536"/>
      <c r="BI11" s="536"/>
      <c r="BJ11" s="536"/>
      <c r="BK11" s="536"/>
      <c r="BL11" s="536"/>
      <c r="CJ11" s="390"/>
      <c r="CK11" s="390"/>
      <c r="CL11" s="390"/>
      <c r="CM11" s="390"/>
      <c r="CN11" s="390"/>
      <c r="CO11" s="390"/>
      <c r="CP11" s="390"/>
      <c r="CQ11" s="390"/>
      <c r="CR11" s="390"/>
      <c r="CS11" s="390"/>
      <c r="CT11" s="390"/>
      <c r="CU11" s="390"/>
      <c r="CV11" s="390"/>
      <c r="CW11" s="390"/>
      <c r="CX11" s="390"/>
      <c r="CY11" s="390"/>
      <c r="CZ11" s="390"/>
      <c r="DA11" s="390"/>
    </row>
    <row r="12" spans="1:105" s="388" customFormat="1" ht="18">
      <c r="A12" s="531"/>
      <c r="B12" s="532"/>
      <c r="C12" s="531"/>
      <c r="D12" s="531"/>
      <c r="E12" s="531"/>
      <c r="F12" s="531"/>
      <c r="G12" s="531"/>
      <c r="H12" s="531"/>
      <c r="I12" s="531"/>
      <c r="J12" s="531"/>
      <c r="K12" s="531"/>
      <c r="L12" s="531"/>
      <c r="M12" s="531"/>
      <c r="N12" s="533"/>
      <c r="O12" s="532"/>
      <c r="P12" s="532"/>
      <c r="Q12" s="532"/>
      <c r="R12" s="532"/>
      <c r="S12" s="532"/>
      <c r="T12" s="531"/>
      <c r="U12" s="531"/>
      <c r="V12" s="531"/>
      <c r="W12" s="531"/>
      <c r="X12" s="531"/>
      <c r="Y12" s="531"/>
      <c r="Z12" s="531"/>
      <c r="AA12" s="531"/>
      <c r="AB12" s="531"/>
      <c r="AC12" s="531"/>
      <c r="AD12" s="531"/>
      <c r="AE12" s="531"/>
      <c r="AF12" s="534"/>
      <c r="AG12" s="535"/>
      <c r="AH12" s="535"/>
      <c r="AI12" s="535"/>
      <c r="AJ12" s="535"/>
      <c r="AK12" s="535"/>
      <c r="BA12" s="536"/>
      <c r="BB12" s="536"/>
      <c r="BC12" s="536"/>
      <c r="BD12" s="536"/>
      <c r="BE12" s="536"/>
      <c r="BF12" s="536"/>
      <c r="BG12" s="536"/>
      <c r="BH12" s="536"/>
      <c r="BI12" s="536"/>
      <c r="BJ12" s="536"/>
      <c r="BK12" s="536"/>
      <c r="BL12" s="536"/>
      <c r="CJ12" s="390"/>
      <c r="CK12" s="390"/>
      <c r="CL12" s="390"/>
      <c r="CM12" s="390"/>
      <c r="CN12" s="390"/>
      <c r="CO12" s="390"/>
      <c r="CP12" s="390"/>
      <c r="CQ12" s="390"/>
      <c r="CR12" s="390"/>
      <c r="CS12" s="390"/>
      <c r="CT12" s="390"/>
      <c r="CU12" s="390"/>
      <c r="CV12" s="390"/>
      <c r="CW12" s="390"/>
      <c r="CX12" s="390"/>
      <c r="CY12" s="390"/>
      <c r="CZ12" s="390"/>
      <c r="DA12" s="390"/>
    </row>
    <row r="13" spans="1:105" s="388" customFormat="1">
      <c r="A13" s="531"/>
      <c r="B13" s="532"/>
      <c r="C13" s="531"/>
      <c r="D13" s="531"/>
      <c r="E13" s="531"/>
      <c r="F13" s="531"/>
      <c r="G13" s="531"/>
      <c r="H13" s="531"/>
      <c r="I13" s="531"/>
      <c r="J13" s="531"/>
      <c r="K13" s="531"/>
      <c r="L13" s="531"/>
      <c r="M13" s="531"/>
      <c r="N13" s="533"/>
      <c r="O13" s="532"/>
      <c r="P13" s="532"/>
      <c r="Q13" s="532"/>
      <c r="R13" s="532"/>
      <c r="S13" s="532"/>
      <c r="T13" s="531"/>
      <c r="U13" s="531"/>
      <c r="V13" s="531"/>
      <c r="W13" s="531"/>
      <c r="X13" s="531"/>
      <c r="Y13" s="531"/>
      <c r="Z13" s="531"/>
      <c r="AA13" s="531"/>
      <c r="AB13" s="531"/>
      <c r="AC13" s="531"/>
      <c r="AD13" s="531"/>
      <c r="AE13" s="531"/>
      <c r="AF13" s="534"/>
      <c r="AG13" s="535"/>
      <c r="AH13" s="535"/>
      <c r="AI13" s="535"/>
      <c r="AJ13" s="535"/>
      <c r="AK13" s="535"/>
      <c r="BA13" s="536"/>
      <c r="BB13" s="536"/>
      <c r="BC13" s="536"/>
      <c r="BD13" s="536"/>
      <c r="BE13" s="536"/>
      <c r="BF13" s="536"/>
      <c r="BG13" s="536"/>
      <c r="BH13" s="536"/>
      <c r="BI13" s="536"/>
      <c r="BJ13" s="536"/>
      <c r="BK13" s="536"/>
      <c r="BL13" s="536"/>
    </row>
    <row r="14" spans="1:105" s="388" customFormat="1" ht="35.15" customHeight="1">
      <c r="A14" s="531"/>
      <c r="B14" s="532"/>
      <c r="C14" s="531"/>
      <c r="D14" s="531"/>
      <c r="E14" s="531"/>
      <c r="F14" s="531"/>
      <c r="G14" s="531"/>
      <c r="H14" s="531"/>
      <c r="I14" s="531"/>
      <c r="J14" s="531"/>
      <c r="K14" s="531"/>
      <c r="L14" s="531"/>
      <c r="M14" s="531"/>
      <c r="N14" s="533"/>
      <c r="O14" s="532"/>
      <c r="P14" s="532"/>
      <c r="Q14" s="532"/>
      <c r="R14" s="532"/>
      <c r="S14" s="532"/>
      <c r="T14" s="531"/>
      <c r="U14" s="531"/>
      <c r="V14" s="531"/>
      <c r="W14" s="531"/>
      <c r="X14" s="531"/>
      <c r="Y14" s="531"/>
      <c r="Z14" s="531"/>
      <c r="AA14" s="531"/>
      <c r="AB14" s="531"/>
      <c r="AC14" s="531"/>
      <c r="AD14" s="531"/>
      <c r="AE14" s="531"/>
      <c r="AF14" s="534"/>
      <c r="AG14" s="535"/>
      <c r="AH14" s="535"/>
      <c r="AI14" s="535"/>
      <c r="AJ14" s="535"/>
      <c r="AK14" s="535"/>
      <c r="BA14" s="536"/>
      <c r="BB14" s="536"/>
      <c r="BC14" s="536"/>
      <c r="BD14" s="536"/>
      <c r="BE14" s="536"/>
      <c r="BF14" s="536"/>
      <c r="BG14" s="536"/>
      <c r="BH14" s="536"/>
      <c r="BI14" s="536"/>
      <c r="BJ14" s="536"/>
      <c r="BK14" s="536"/>
      <c r="BL14" s="536"/>
      <c r="CJ14" s="528" t="s">
        <v>0</v>
      </c>
      <c r="CK14" s="529"/>
      <c r="CL14" s="529"/>
      <c r="CM14" s="529"/>
      <c r="CN14" s="529"/>
      <c r="CO14" s="529"/>
      <c r="CP14" s="529"/>
      <c r="CQ14" s="529"/>
      <c r="CR14" s="529"/>
      <c r="CS14" s="529"/>
      <c r="CT14" s="529"/>
      <c r="CU14" s="529"/>
      <c r="CV14" s="529"/>
      <c r="CW14" s="529"/>
      <c r="CX14" s="529"/>
      <c r="CY14" s="529"/>
      <c r="CZ14" s="529"/>
      <c r="DA14" s="529"/>
    </row>
    <row r="15" spans="1:105" s="388" customFormat="1" ht="36">
      <c r="A15" s="531"/>
      <c r="B15" s="532"/>
      <c r="C15" s="531"/>
      <c r="D15" s="531"/>
      <c r="E15" s="531"/>
      <c r="F15" s="531"/>
      <c r="G15" s="531"/>
      <c r="H15" s="531"/>
      <c r="I15" s="531"/>
      <c r="J15" s="531"/>
      <c r="K15" s="531"/>
      <c r="L15" s="531"/>
      <c r="M15" s="531"/>
      <c r="N15" s="533"/>
      <c r="O15" s="532"/>
      <c r="P15" s="532"/>
      <c r="Q15" s="532"/>
      <c r="R15" s="532"/>
      <c r="S15" s="532"/>
      <c r="T15" s="531"/>
      <c r="U15" s="531"/>
      <c r="V15" s="531"/>
      <c r="W15" s="531"/>
      <c r="X15" s="531"/>
      <c r="Y15" s="531"/>
      <c r="Z15" s="531"/>
      <c r="AA15" s="531"/>
      <c r="AB15" s="531"/>
      <c r="AC15" s="531"/>
      <c r="AD15" s="531"/>
      <c r="AE15" s="531"/>
      <c r="AF15" s="534"/>
      <c r="AG15" s="535"/>
      <c r="AH15" s="535"/>
      <c r="AI15" s="535"/>
      <c r="AJ15" s="535"/>
      <c r="AK15" s="535"/>
      <c r="BA15" s="536"/>
      <c r="BB15" s="536"/>
      <c r="BC15" s="536"/>
      <c r="BD15" s="536"/>
      <c r="BE15" s="536"/>
      <c r="BF15" s="536"/>
      <c r="BG15" s="536"/>
      <c r="BH15" s="536"/>
      <c r="BI15" s="536"/>
      <c r="BJ15" s="536"/>
      <c r="BK15" s="536"/>
      <c r="BL15" s="536"/>
      <c r="CJ15" s="396" t="s">
        <v>1</v>
      </c>
      <c r="CK15" s="396"/>
      <c r="CL15" s="396" t="s">
        <v>2</v>
      </c>
      <c r="CM15" s="396"/>
      <c r="CN15" s="396" t="s">
        <v>3</v>
      </c>
      <c r="CO15" s="396"/>
      <c r="CP15" s="396" t="s">
        <v>4</v>
      </c>
      <c r="CQ15" s="396"/>
      <c r="CR15" s="396" t="s">
        <v>5</v>
      </c>
      <c r="CS15" s="396"/>
      <c r="CT15" s="396" t="s">
        <v>6</v>
      </c>
      <c r="CU15" s="396"/>
      <c r="CV15" s="396" t="s">
        <v>7</v>
      </c>
      <c r="CW15" s="396"/>
      <c r="CX15" s="396" t="s">
        <v>8</v>
      </c>
      <c r="CY15" s="396"/>
      <c r="CZ15" s="396" t="s">
        <v>9</v>
      </c>
      <c r="DA15" s="396"/>
    </row>
    <row r="16" spans="1:105" ht="35">
      <c r="A16" s="537" t="s">
        <v>10</v>
      </c>
      <c r="B16" s="538" t="s">
        <v>1051</v>
      </c>
      <c r="C16" s="537" t="s">
        <v>11</v>
      </c>
      <c r="D16" s="537" t="s">
        <v>12</v>
      </c>
      <c r="E16" s="537" t="s">
        <v>13</v>
      </c>
      <c r="F16" s="537" t="s">
        <v>14</v>
      </c>
      <c r="G16" s="537" t="s">
        <v>15</v>
      </c>
      <c r="H16" s="537" t="s">
        <v>16</v>
      </c>
      <c r="I16" s="537" t="s">
        <v>17</v>
      </c>
      <c r="J16" s="537" t="s">
        <v>18</v>
      </c>
      <c r="K16" s="537" t="s">
        <v>19</v>
      </c>
      <c r="L16" s="537" t="s">
        <v>20</v>
      </c>
      <c r="M16" s="537" t="s">
        <v>21</v>
      </c>
      <c r="N16" s="539" t="s">
        <v>1202</v>
      </c>
      <c r="O16" s="538" t="s">
        <v>1203</v>
      </c>
      <c r="P16" s="538" t="s">
        <v>1204</v>
      </c>
      <c r="Q16" s="538" t="s">
        <v>679</v>
      </c>
      <c r="R16" s="538" t="s">
        <v>1206</v>
      </c>
      <c r="S16" s="538" t="s">
        <v>27</v>
      </c>
      <c r="T16" s="537" t="s">
        <v>28</v>
      </c>
      <c r="U16" s="537" t="s">
        <v>30</v>
      </c>
      <c r="V16" s="537" t="s">
        <v>1058</v>
      </c>
      <c r="W16" s="537" t="s">
        <v>31</v>
      </c>
      <c r="X16" s="537" t="s">
        <v>32</v>
      </c>
      <c r="Y16" s="537" t="s">
        <v>33</v>
      </c>
      <c r="Z16" s="537" t="s">
        <v>34</v>
      </c>
      <c r="AA16" s="537" t="s">
        <v>35</v>
      </c>
      <c r="AB16" s="537" t="s">
        <v>36</v>
      </c>
      <c r="AC16" s="537" t="s">
        <v>1059</v>
      </c>
      <c r="AD16" s="537" t="s">
        <v>1060</v>
      </c>
      <c r="AE16" s="537" t="s">
        <v>38</v>
      </c>
      <c r="AF16" s="534"/>
      <c r="AG16" s="540" t="s">
        <v>30</v>
      </c>
      <c r="AH16" s="540" t="s">
        <v>31</v>
      </c>
      <c r="AI16" s="540" t="s">
        <v>32</v>
      </c>
      <c r="AJ16" s="540" t="s">
        <v>33</v>
      </c>
      <c r="AK16" s="540" t="s">
        <v>300</v>
      </c>
      <c r="BA16" s="541" t="s">
        <v>40</v>
      </c>
      <c r="BB16" s="541" t="s">
        <v>41</v>
      </c>
      <c r="BC16" s="541" t="s">
        <v>42</v>
      </c>
      <c r="BD16" s="541" t="s">
        <v>43</v>
      </c>
      <c r="BE16" s="541" t="s">
        <v>44</v>
      </c>
      <c r="BF16" s="541" t="s">
        <v>45</v>
      </c>
      <c r="BG16" s="541" t="s">
        <v>46</v>
      </c>
      <c r="BH16" s="401" t="s">
        <v>47</v>
      </c>
      <c r="BI16" s="541" t="s">
        <v>48</v>
      </c>
      <c r="BJ16" s="541" t="s">
        <v>49</v>
      </c>
      <c r="BK16" s="541" t="s">
        <v>13</v>
      </c>
      <c r="BL16" s="541" t="s">
        <v>50</v>
      </c>
      <c r="BR16" s="542" t="s">
        <v>38</v>
      </c>
      <c r="BS16" s="397" t="s">
        <v>39</v>
      </c>
      <c r="BT16" s="397" t="s">
        <v>53</v>
      </c>
      <c r="CJ16" s="403" t="s">
        <v>54</v>
      </c>
      <c r="CK16" s="403" t="s">
        <v>55</v>
      </c>
      <c r="CL16" s="403" t="s">
        <v>54</v>
      </c>
      <c r="CM16" s="403" t="s">
        <v>55</v>
      </c>
      <c r="CN16" s="403" t="s">
        <v>54</v>
      </c>
      <c r="CO16" s="403" t="s">
        <v>55</v>
      </c>
      <c r="CP16" s="403" t="s">
        <v>54</v>
      </c>
      <c r="CQ16" s="403" t="s">
        <v>55</v>
      </c>
      <c r="CR16" s="403" t="s">
        <v>54</v>
      </c>
      <c r="CS16" s="403" t="s">
        <v>55</v>
      </c>
      <c r="CT16" s="403" t="s">
        <v>54</v>
      </c>
      <c r="CU16" s="403" t="s">
        <v>55</v>
      </c>
      <c r="CV16" s="403" t="s">
        <v>54</v>
      </c>
      <c r="CW16" s="403" t="s">
        <v>55</v>
      </c>
      <c r="CX16" s="403" t="s">
        <v>54</v>
      </c>
      <c r="CY16" s="403" t="s">
        <v>55</v>
      </c>
      <c r="CZ16" s="403" t="s">
        <v>54</v>
      </c>
      <c r="DA16" s="403" t="s">
        <v>55</v>
      </c>
    </row>
    <row r="17" spans="1:105" ht="18.5">
      <c r="A17" s="429">
        <v>30</v>
      </c>
      <c r="B17" s="429">
        <v>2</v>
      </c>
      <c r="C17" s="428">
        <v>46241</v>
      </c>
      <c r="D17" s="429" t="s">
        <v>305</v>
      </c>
      <c r="E17" s="543" t="s">
        <v>1352</v>
      </c>
      <c r="F17" s="426" t="s">
        <v>57</v>
      </c>
      <c r="G17" s="429" t="s">
        <v>1353</v>
      </c>
      <c r="H17" s="429" t="s">
        <v>1354</v>
      </c>
      <c r="I17" s="544"/>
      <c r="J17" s="429" t="s">
        <v>646</v>
      </c>
      <c r="K17" s="429" t="s">
        <v>1198</v>
      </c>
      <c r="L17" s="429" t="s">
        <v>309</v>
      </c>
      <c r="M17" s="429">
        <v>2</v>
      </c>
      <c r="N17" s="545">
        <v>0.95</v>
      </c>
      <c r="O17" s="545" t="e">
        <f ca="1">N17*$O$17</f>
        <v>#VALUE!</v>
      </c>
      <c r="P17" s="545">
        <f>N17*1.1</f>
        <v>1.0449999999999999</v>
      </c>
      <c r="Q17" s="545" t="e">
        <f ca="1">N17*$Q$18</f>
        <v>#VALUE!</v>
      </c>
      <c r="R17" s="545" t="e">
        <f ca="1">Q17*0.35</f>
        <v>#VALUE!</v>
      </c>
      <c r="S17" s="545" t="e">
        <f ca="1">(Q17+R17)*25.92%</f>
        <v>#VALUE!</v>
      </c>
      <c r="T17" s="546" t="e">
        <f ca="1">Q17+R17+S17</f>
        <v>#VALUE!</v>
      </c>
      <c r="U17" s="547">
        <v>79</v>
      </c>
      <c r="V17" s="545">
        <f>+U17/1.16</f>
        <v>68.103448275862078</v>
      </c>
      <c r="W17" s="439">
        <f>+V17*0.6</f>
        <v>40.862068965517246</v>
      </c>
      <c r="X17" s="423" t="e">
        <f ca="1">T17/W17</f>
        <v>#VALUE!</v>
      </c>
      <c r="Y17" s="548" t="e">
        <f ca="1">1-T17/W17</f>
        <v>#VALUE!</v>
      </c>
      <c r="Z17" s="548">
        <f>1-(W17/(U17/1.16))</f>
        <v>0.4</v>
      </c>
      <c r="AA17" s="429" t="s">
        <v>635</v>
      </c>
      <c r="AB17" s="429" t="s">
        <v>67</v>
      </c>
      <c r="AC17" s="429"/>
      <c r="AD17" s="429"/>
      <c r="AE17" s="429"/>
      <c r="AF17" s="549"/>
      <c r="AG17" s="550">
        <v>49</v>
      </c>
      <c r="AH17" s="545">
        <f>AG17/1.16</f>
        <v>42.241379310344833</v>
      </c>
      <c r="AI17" s="427" t="e">
        <f ca="1">T17/AH17</f>
        <v>#VALUE!</v>
      </c>
      <c r="AJ17" s="427" t="e">
        <f ca="1">1-(T17/AH17)</f>
        <v>#VALUE!</v>
      </c>
      <c r="AK17" s="425">
        <f>1-(AH17/(AG17/1.16))</f>
        <v>0</v>
      </c>
      <c r="BA17" s="426">
        <v>1</v>
      </c>
      <c r="BB17" s="426">
        <v>1</v>
      </c>
      <c r="BC17" s="426"/>
      <c r="BD17" s="426">
        <v>1</v>
      </c>
      <c r="BE17" s="426">
        <v>1</v>
      </c>
      <c r="BF17" s="426"/>
      <c r="BG17" s="426"/>
      <c r="BH17" s="426"/>
      <c r="BI17" s="426"/>
      <c r="BJ17" s="426">
        <v>9</v>
      </c>
      <c r="BK17" s="426">
        <f>SUM(BA17:BI17)</f>
        <v>4</v>
      </c>
      <c r="BL17" s="427">
        <f>+BK17/BJ17</f>
        <v>0.44444444444444442</v>
      </c>
      <c r="BR17" s="551"/>
      <c r="BS17" s="429"/>
      <c r="BT17" s="429"/>
      <c r="CJ17" s="430">
        <v>45809</v>
      </c>
      <c r="CK17" s="430">
        <v>45809</v>
      </c>
      <c r="CL17" s="431"/>
      <c r="CM17" s="431"/>
      <c r="CN17" s="431"/>
      <c r="CO17" s="431"/>
      <c r="CP17" s="432"/>
      <c r="CQ17" s="432"/>
      <c r="CR17" s="434"/>
      <c r="CS17" s="434"/>
      <c r="CT17" s="434"/>
      <c r="CU17" s="434"/>
      <c r="CV17" s="434"/>
      <c r="CW17" s="434"/>
      <c r="CX17" s="434"/>
      <c r="CY17" s="434"/>
      <c r="CZ17" s="434"/>
      <c r="DA17" s="434"/>
    </row>
    <row r="18" spans="1:105" ht="35">
      <c r="A18" s="429">
        <v>31</v>
      </c>
      <c r="B18" s="429">
        <v>2</v>
      </c>
      <c r="C18" s="428">
        <v>46241</v>
      </c>
      <c r="D18" s="429" t="s">
        <v>305</v>
      </c>
      <c r="E18" s="543" t="s">
        <v>1352</v>
      </c>
      <c r="F18" s="426" t="s">
        <v>57</v>
      </c>
      <c r="G18" s="429" t="s">
        <v>1355</v>
      </c>
      <c r="H18" s="429" t="s">
        <v>1356</v>
      </c>
      <c r="I18" s="544"/>
      <c r="J18" s="429" t="s">
        <v>646</v>
      </c>
      <c r="K18" s="429" t="s">
        <v>1198</v>
      </c>
      <c r="L18" s="429" t="s">
        <v>309</v>
      </c>
      <c r="M18" s="429">
        <v>2</v>
      </c>
      <c r="N18" s="545">
        <v>0.91</v>
      </c>
      <c r="O18" s="545" t="e">
        <f ca="1">N18*$O$17</f>
        <v>#VALUE!</v>
      </c>
      <c r="P18" s="545">
        <f>N18*1.1</f>
        <v>1.0010000000000001</v>
      </c>
      <c r="Q18" s="545" t="e">
        <f ca="1">N18*$Q$18</f>
        <v>#VALUE!</v>
      </c>
      <c r="R18" s="545" t="e">
        <f ca="1">Q18*0.25</f>
        <v>#VALUE!</v>
      </c>
      <c r="S18" s="545" t="e">
        <f ca="1">(Q18+R18)*27.06%</f>
        <v>#VALUE!</v>
      </c>
      <c r="T18" s="546" t="e">
        <f ca="1">Q18+R18+S18</f>
        <v>#VALUE!</v>
      </c>
      <c r="U18" s="547">
        <v>79</v>
      </c>
      <c r="V18" s="545">
        <f>+U18/1.16</f>
        <v>68.103448275862078</v>
      </c>
      <c r="W18" s="439">
        <f>+V18*0.6</f>
        <v>40.862068965517246</v>
      </c>
      <c r="X18" s="423" t="e">
        <f ca="1">T18/W18</f>
        <v>#VALUE!</v>
      </c>
      <c r="Y18" s="548" t="e">
        <f ca="1">1-T18/W18</f>
        <v>#VALUE!</v>
      </c>
      <c r="Z18" s="548">
        <f>1-(W18/(U18/1.16))</f>
        <v>0.4</v>
      </c>
      <c r="AA18" s="429" t="s">
        <v>635</v>
      </c>
      <c r="AB18" s="429" t="s">
        <v>67</v>
      </c>
      <c r="AC18" s="429"/>
      <c r="AD18" s="429"/>
      <c r="AE18" s="429"/>
      <c r="AF18" s="549"/>
      <c r="AG18" s="550">
        <v>49</v>
      </c>
      <c r="AH18" s="545">
        <f>AG18/1.16</f>
        <v>42.241379310344833</v>
      </c>
      <c r="AI18" s="427" t="e">
        <f ca="1">T18/AH18</f>
        <v>#VALUE!</v>
      </c>
      <c r="AJ18" s="427" t="e">
        <f ca="1">1-(T18/AH18)</f>
        <v>#VALUE!</v>
      </c>
      <c r="AK18" s="425">
        <f>1-(AH18/(AG18/1.16))</f>
        <v>0</v>
      </c>
      <c r="BA18" s="426">
        <v>1</v>
      </c>
      <c r="BB18" s="426">
        <v>1</v>
      </c>
      <c r="BC18" s="426"/>
      <c r="BD18" s="426">
        <v>1</v>
      </c>
      <c r="BE18" s="426">
        <v>1</v>
      </c>
      <c r="BF18" s="426"/>
      <c r="BG18" s="426"/>
      <c r="BH18" s="426"/>
      <c r="BI18" s="426"/>
      <c r="BJ18" s="426">
        <v>9</v>
      </c>
      <c r="BK18" s="426">
        <f>SUM(BA18:BI18)</f>
        <v>4</v>
      </c>
      <c r="BL18" s="427">
        <f>+BK18/BJ18</f>
        <v>0.44444444444444442</v>
      </c>
      <c r="BR18" s="551"/>
      <c r="BS18" s="429"/>
      <c r="BT18" s="429"/>
      <c r="CJ18" s="430"/>
      <c r="CK18" s="430"/>
      <c r="CL18" s="431"/>
      <c r="CM18" s="431"/>
      <c r="CN18" s="431"/>
      <c r="CO18" s="431"/>
      <c r="CP18" s="432"/>
      <c r="CQ18" s="432"/>
      <c r="CR18" s="434"/>
      <c r="CS18" s="434"/>
      <c r="CT18" s="434"/>
      <c r="CU18" s="434"/>
      <c r="CV18" s="434"/>
      <c r="CW18" s="434"/>
      <c r="CX18" s="434"/>
      <c r="CY18" s="434"/>
      <c r="CZ18" s="434"/>
      <c r="DA18" s="434"/>
    </row>
    <row r="19" spans="1:105" ht="18.5">
      <c r="A19" s="429">
        <v>1</v>
      </c>
      <c r="B19" s="429">
        <v>2</v>
      </c>
      <c r="C19" s="428">
        <v>46241</v>
      </c>
      <c r="D19" s="429" t="s">
        <v>305</v>
      </c>
      <c r="E19" s="543" t="s">
        <v>82</v>
      </c>
      <c r="F19" s="426"/>
      <c r="G19" s="429" t="s">
        <v>1357</v>
      </c>
      <c r="H19" s="429" t="s">
        <v>1358</v>
      </c>
      <c r="I19" s="544" t="s">
        <v>60</v>
      </c>
      <c r="J19" s="429" t="s">
        <v>1359</v>
      </c>
      <c r="K19" s="429" t="s">
        <v>1198</v>
      </c>
      <c r="L19" s="429" t="s">
        <v>309</v>
      </c>
      <c r="M19" s="429">
        <v>1</v>
      </c>
      <c r="N19" s="545">
        <v>0.59</v>
      </c>
      <c r="O19" s="545">
        <f>+N19*'Perry Ellis 2026 Fase 1'!O15</f>
        <v>10.914999999999999</v>
      </c>
      <c r="P19" s="545">
        <f>N19*1.1</f>
        <v>0.64900000000000002</v>
      </c>
      <c r="Q19" s="545"/>
      <c r="R19" s="545">
        <f>+N19*'Perry Ellis 2026 Fase 1'!$R$15</f>
        <v>10.914999999999999</v>
      </c>
      <c r="S19" s="545">
        <f>N19*0.25</f>
        <v>0.14749999999999999</v>
      </c>
      <c r="T19" s="546">
        <f>(R19+S19)*5.86%</f>
        <v>0.64826250000000007</v>
      </c>
      <c r="U19" s="547">
        <f>R19+S19+T19</f>
        <v>11.7107625</v>
      </c>
      <c r="V19" s="545">
        <v>69</v>
      </c>
      <c r="W19" s="439">
        <f>+V19/1.16</f>
        <v>59.482758620689658</v>
      </c>
      <c r="X19" s="423">
        <f>+W19*0.6</f>
        <v>35.689655172413794</v>
      </c>
      <c r="Y19" s="548">
        <f>U19/X19</f>
        <v>0.32812764492753621</v>
      </c>
      <c r="Z19" s="548">
        <f>1-U19/X19</f>
        <v>0.67187235507246379</v>
      </c>
      <c r="AA19" s="429">
        <f>1-(X19/(V19/1.16))</f>
        <v>0.4</v>
      </c>
      <c r="AB19" s="429" t="s">
        <v>635</v>
      </c>
      <c r="AC19" s="429" t="s">
        <v>67</v>
      </c>
      <c r="AD19" s="429">
        <v>6</v>
      </c>
      <c r="AE19" s="429">
        <v>36</v>
      </c>
      <c r="AF19" s="549"/>
      <c r="AG19" s="550"/>
      <c r="AH19" s="545"/>
      <c r="AI19" s="427">
        <v>69</v>
      </c>
      <c r="AJ19" s="427">
        <f>AI19/1.16</f>
        <v>59.482758620689658</v>
      </c>
      <c r="AK19" s="425">
        <f>U19/AJ19</f>
        <v>0.19687658695652172</v>
      </c>
      <c r="AL19" s="391">
        <f>1-(U19/AJ19)</f>
        <v>0.80312341304347834</v>
      </c>
      <c r="AM19" s="391">
        <f>1-(AJ19/(AI19/1.16))</f>
        <v>0</v>
      </c>
      <c r="BA19" s="426"/>
      <c r="BB19" s="426">
        <v>1</v>
      </c>
      <c r="BC19" s="426">
        <v>1</v>
      </c>
      <c r="BD19" s="426"/>
      <c r="BE19" s="426">
        <v>1</v>
      </c>
      <c r="BF19" s="426">
        <v>1</v>
      </c>
      <c r="BG19" s="426"/>
      <c r="BH19" s="426"/>
      <c r="BI19" s="426"/>
      <c r="BJ19" s="426"/>
      <c r="BK19" s="426">
        <v>9</v>
      </c>
      <c r="BL19" s="427">
        <f>SUM(BB19:BJ19)</f>
        <v>4</v>
      </c>
      <c r="BM19" s="391">
        <f>+BL19/BK19</f>
        <v>0.44444444444444442</v>
      </c>
      <c r="BR19" s="551"/>
      <c r="BS19" s="429">
        <f>+AF19</f>
        <v>0</v>
      </c>
      <c r="BT19" s="429"/>
      <c r="CJ19" s="430">
        <v>45809</v>
      </c>
      <c r="CK19" s="430">
        <v>45809</v>
      </c>
      <c r="CL19" s="431"/>
      <c r="CM19" s="431"/>
      <c r="CN19" s="431"/>
      <c r="CO19" s="431"/>
      <c r="CP19" s="432"/>
      <c r="CQ19" s="432"/>
      <c r="CR19" s="434"/>
      <c r="CS19" s="434"/>
      <c r="CT19" s="434"/>
      <c r="CU19" s="434"/>
      <c r="CV19" s="434"/>
      <c r="CW19" s="434"/>
      <c r="CX19" s="434"/>
      <c r="CY19" s="434"/>
      <c r="CZ19" s="434"/>
      <c r="DA19" s="434"/>
    </row>
    <row r="20" spans="1:105" ht="18.5">
      <c r="A20" s="429">
        <v>34</v>
      </c>
      <c r="B20" s="429">
        <v>2</v>
      </c>
      <c r="C20" s="428">
        <v>46241</v>
      </c>
      <c r="D20" s="429" t="s">
        <v>305</v>
      </c>
      <c r="E20" s="543" t="s">
        <v>1360</v>
      </c>
      <c r="F20" s="426" t="s">
        <v>57</v>
      </c>
      <c r="G20" s="429" t="s">
        <v>1361</v>
      </c>
      <c r="H20" s="429" t="s">
        <v>1362</v>
      </c>
      <c r="I20" s="544"/>
      <c r="J20" s="429" t="s">
        <v>1363</v>
      </c>
      <c r="K20" s="429" t="s">
        <v>1198</v>
      </c>
      <c r="L20" s="429" t="s">
        <v>309</v>
      </c>
      <c r="M20" s="429">
        <v>1</v>
      </c>
      <c r="N20" s="545">
        <v>1</v>
      </c>
      <c r="O20" s="545">
        <f>N20*'Perry Ellis 2026 Fase 2'!$O$19</f>
        <v>10.914999999999999</v>
      </c>
      <c r="P20" s="545">
        <f>N20*1.1</f>
        <v>1.1000000000000001</v>
      </c>
      <c r="Q20" s="545"/>
      <c r="R20" s="545" t="e">
        <f>N20*'Perry Ellis 2026 Fase 1'!#REF!</f>
        <v>#REF!</v>
      </c>
      <c r="S20" s="545" t="e">
        <f>R20*0.25</f>
        <v>#REF!</v>
      </c>
      <c r="T20" s="546" t="e">
        <f>(R20+S20)*29.45%</f>
        <v>#REF!</v>
      </c>
      <c r="U20" s="547" t="e">
        <f>R20+S20+T20</f>
        <v>#REF!</v>
      </c>
      <c r="V20" s="545">
        <v>139</v>
      </c>
      <c r="W20" s="439">
        <f>+V20/1.16</f>
        <v>119.82758620689656</v>
      </c>
      <c r="X20" s="423">
        <f>+W20*0.6</f>
        <v>71.896551724137936</v>
      </c>
      <c r="Y20" s="548" t="e">
        <f>U20/X20</f>
        <v>#REF!</v>
      </c>
      <c r="Z20" s="548" t="e">
        <f>1-U20/X20</f>
        <v>#REF!</v>
      </c>
      <c r="AA20" s="429">
        <f>1-(X20/(V20/1.16))</f>
        <v>0.4</v>
      </c>
      <c r="AB20" s="429" t="s">
        <v>506</v>
      </c>
      <c r="AC20" s="429" t="s">
        <v>134</v>
      </c>
      <c r="AD20" s="429"/>
      <c r="AE20" s="429"/>
      <c r="AF20" s="549"/>
      <c r="AG20" s="550"/>
      <c r="AH20" s="545"/>
      <c r="AI20" s="427">
        <v>55</v>
      </c>
      <c r="AJ20" s="427">
        <f>AI20/1.16</f>
        <v>47.413793103448278</v>
      </c>
      <c r="AK20" s="425" t="e">
        <f>U20/AJ20</f>
        <v>#REF!</v>
      </c>
      <c r="AL20" s="391" t="e">
        <f>1-(U20/AJ20)</f>
        <v>#REF!</v>
      </c>
      <c r="AM20" s="391">
        <f>1-(AJ20/(AI20/1.16))</f>
        <v>0</v>
      </c>
      <c r="BA20" s="426"/>
      <c r="BB20" s="426">
        <v>1</v>
      </c>
      <c r="BC20" s="426">
        <v>1</v>
      </c>
      <c r="BD20" s="426"/>
      <c r="BE20" s="426">
        <v>1</v>
      </c>
      <c r="BF20" s="426">
        <v>1</v>
      </c>
      <c r="BG20" s="426"/>
      <c r="BH20" s="426"/>
      <c r="BI20" s="426"/>
      <c r="BJ20" s="426"/>
      <c r="BK20" s="426">
        <v>9</v>
      </c>
      <c r="BL20" s="427">
        <f>SUM(BB20:BJ20)</f>
        <v>4</v>
      </c>
      <c r="BM20" s="391">
        <f>+BL20/BK20</f>
        <v>0.44444444444444442</v>
      </c>
      <c r="BR20" s="551">
        <f>+AF20</f>
        <v>0</v>
      </c>
      <c r="BS20" s="429">
        <f>+AG20</f>
        <v>0</v>
      </c>
      <c r="BT20" s="429"/>
      <c r="CJ20" s="430"/>
      <c r="CK20" s="430"/>
      <c r="CL20" s="431"/>
      <c r="CM20" s="431"/>
      <c r="CN20" s="431"/>
      <c r="CO20" s="431"/>
      <c r="CP20" s="432"/>
      <c r="CQ20" s="432"/>
      <c r="CR20" s="434"/>
      <c r="CS20" s="434"/>
      <c r="CT20" s="434"/>
      <c r="CU20" s="434"/>
      <c r="CV20" s="434"/>
      <c r="CW20" s="434"/>
      <c r="CX20" s="434"/>
      <c r="CY20" s="434"/>
      <c r="CZ20" s="434"/>
      <c r="DA20" s="434"/>
    </row>
    <row r="21" spans="1:105" ht="18.5">
      <c r="A21" s="429">
        <v>35</v>
      </c>
      <c r="B21" s="429">
        <v>2</v>
      </c>
      <c r="C21" s="428">
        <v>46241</v>
      </c>
      <c r="D21" s="429" t="s">
        <v>305</v>
      </c>
      <c r="E21" s="543" t="s">
        <v>1360</v>
      </c>
      <c r="F21" s="426" t="s">
        <v>57</v>
      </c>
      <c r="G21" s="429" t="s">
        <v>1364</v>
      </c>
      <c r="H21" s="429" t="s">
        <v>1365</v>
      </c>
      <c r="I21" s="544"/>
      <c r="J21" s="429" t="s">
        <v>1366</v>
      </c>
      <c r="K21" s="429" t="s">
        <v>1198</v>
      </c>
      <c r="L21" s="429" t="s">
        <v>309</v>
      </c>
      <c r="M21" s="429">
        <v>1</v>
      </c>
      <c r="N21" s="545">
        <v>0.71</v>
      </c>
      <c r="O21" s="545">
        <f>N21*'Perry Ellis 2026 Fase 2'!$O$19</f>
        <v>7.749649999999999</v>
      </c>
      <c r="P21" s="545">
        <f>N21*1.1</f>
        <v>0.78100000000000003</v>
      </c>
      <c r="Q21" s="545"/>
      <c r="R21" s="545" t="e">
        <f>N21*'Perry Ellis 2026 Fase 1'!#REF!</f>
        <v>#REF!</v>
      </c>
      <c r="S21" s="545" t="e">
        <f>R21*0.25</f>
        <v>#REF!</v>
      </c>
      <c r="T21" s="546" t="e">
        <f>(R21+S21)*15.87%</f>
        <v>#REF!</v>
      </c>
      <c r="U21" s="547" t="e">
        <f>R21+S21+T21</f>
        <v>#REF!</v>
      </c>
      <c r="V21" s="545">
        <v>149</v>
      </c>
      <c r="W21" s="439">
        <f>+V21/1.16</f>
        <v>128.44827586206898</v>
      </c>
      <c r="X21" s="423">
        <f>+W21*0.6</f>
        <v>77.068965517241381</v>
      </c>
      <c r="Y21" s="548" t="e">
        <f>U21/X21</f>
        <v>#REF!</v>
      </c>
      <c r="Z21" s="548" t="e">
        <f>1-U21/X21</f>
        <v>#REF!</v>
      </c>
      <c r="AA21" s="429">
        <f>1-(X21/(V21/1.16))</f>
        <v>0.4</v>
      </c>
      <c r="AB21" s="429" t="s">
        <v>506</v>
      </c>
      <c r="AC21" s="429" t="s">
        <v>134</v>
      </c>
      <c r="AD21" s="429"/>
      <c r="AE21" s="429"/>
      <c r="AF21" s="549"/>
      <c r="AG21" s="550"/>
      <c r="AH21" s="545"/>
      <c r="AI21" s="427">
        <f>V21*0.6</f>
        <v>89.399999999999991</v>
      </c>
      <c r="AJ21" s="427">
        <f>AI21/1.16</f>
        <v>77.068965517241381</v>
      </c>
      <c r="AK21" s="425" t="e">
        <f>U21/AJ21</f>
        <v>#REF!</v>
      </c>
      <c r="AL21" s="391" t="e">
        <f>1-(U21/AJ21)</f>
        <v>#REF!</v>
      </c>
      <c r="AM21" s="391">
        <f>1-(AJ21/(AI21/1.16))</f>
        <v>0</v>
      </c>
      <c r="BA21" s="426"/>
      <c r="BB21" s="426">
        <v>1</v>
      </c>
      <c r="BC21" s="426">
        <v>1</v>
      </c>
      <c r="BD21" s="426"/>
      <c r="BE21" s="426">
        <v>1</v>
      </c>
      <c r="BF21" s="426">
        <v>1</v>
      </c>
      <c r="BG21" s="426"/>
      <c r="BH21" s="426"/>
      <c r="BI21" s="426"/>
      <c r="BJ21" s="426"/>
      <c r="BK21" s="426">
        <v>9</v>
      </c>
      <c r="BL21" s="427">
        <f>SUM(BB21:BJ21)</f>
        <v>4</v>
      </c>
      <c r="BM21" s="391">
        <f>+BL21/BK21</f>
        <v>0.44444444444444442</v>
      </c>
      <c r="BR21" s="551">
        <f>+AF21</f>
        <v>0</v>
      </c>
      <c r="BS21" s="429">
        <f>+AG21</f>
        <v>0</v>
      </c>
      <c r="BT21" s="429"/>
      <c r="CJ21" s="430"/>
      <c r="CK21" s="430"/>
      <c r="CL21" s="431"/>
      <c r="CM21" s="431"/>
      <c r="CN21" s="431"/>
      <c r="CO21" s="431"/>
      <c r="CP21" s="432"/>
      <c r="CQ21" s="432"/>
      <c r="CR21" s="434"/>
      <c r="CS21" s="434"/>
      <c r="CT21" s="434"/>
      <c r="CU21" s="434"/>
      <c r="CV21" s="434"/>
      <c r="CW21" s="434"/>
      <c r="CX21" s="434"/>
      <c r="CY21" s="434"/>
      <c r="CZ21" s="434"/>
      <c r="DA21" s="434"/>
    </row>
    <row r="22" spans="1:105">
      <c r="CJ22" s="431"/>
      <c r="CK22" s="431"/>
      <c r="CL22" s="431"/>
      <c r="CM22" s="431"/>
      <c r="CN22" s="431"/>
      <c r="CO22" s="431"/>
      <c r="CP22" s="432"/>
      <c r="CQ22" s="432"/>
      <c r="CR22" s="434"/>
      <c r="CS22" s="434"/>
      <c r="CT22" s="434"/>
      <c r="CU22" s="434"/>
      <c r="CV22" s="434"/>
      <c r="CW22" s="434"/>
      <c r="CX22" s="434"/>
      <c r="CY22" s="434"/>
      <c r="CZ22" s="434"/>
      <c r="DA22" s="434"/>
    </row>
    <row r="23" spans="1:105">
      <c r="CJ23" s="431"/>
      <c r="CK23" s="431"/>
      <c r="CL23" s="431"/>
      <c r="CM23" s="431"/>
      <c r="CN23" s="431"/>
      <c r="CO23" s="431"/>
      <c r="CP23" s="432"/>
      <c r="CQ23" s="432"/>
      <c r="CR23" s="434"/>
      <c r="CS23" s="434"/>
      <c r="CT23" s="434"/>
      <c r="CU23" s="434"/>
      <c r="CV23" s="434"/>
      <c r="CW23" s="434"/>
      <c r="CX23" s="434"/>
      <c r="CY23" s="434"/>
      <c r="CZ23" s="434"/>
      <c r="DA23" s="434"/>
    </row>
    <row r="24" spans="1:105">
      <c r="CJ24" s="431"/>
      <c r="CK24" s="431"/>
      <c r="CL24" s="431"/>
      <c r="CM24" s="431"/>
      <c r="CN24" s="431"/>
      <c r="CO24" s="431"/>
      <c r="CP24" s="432"/>
      <c r="CQ24" s="432"/>
      <c r="CR24" s="434"/>
      <c r="CS24" s="434"/>
      <c r="CT24" s="434"/>
      <c r="CU24" s="434"/>
      <c r="CV24" s="434"/>
      <c r="CW24" s="434"/>
      <c r="CX24" s="434"/>
      <c r="CY24" s="434"/>
      <c r="CZ24" s="434"/>
      <c r="DA24" s="434"/>
    </row>
    <row r="25" spans="1:105">
      <c r="CJ25" s="431"/>
      <c r="CK25" s="431"/>
      <c r="CL25" s="431"/>
      <c r="CM25" s="431"/>
      <c r="CN25" s="431"/>
      <c r="CO25" s="431"/>
      <c r="CP25" s="432"/>
      <c r="CQ25" s="432"/>
      <c r="CR25" s="434"/>
      <c r="CS25" s="434"/>
      <c r="CT25" s="434"/>
      <c r="CU25" s="434"/>
      <c r="CV25" s="434"/>
      <c r="CW25" s="434"/>
      <c r="CX25" s="434"/>
      <c r="CY25" s="434"/>
      <c r="CZ25" s="434"/>
      <c r="DA25" s="434"/>
    </row>
    <row r="26" spans="1:105">
      <c r="CJ26" s="431"/>
      <c r="CK26" s="431"/>
      <c r="CL26" s="431"/>
      <c r="CM26" s="431"/>
      <c r="CN26" s="431"/>
      <c r="CO26" s="431"/>
      <c r="CP26" s="432"/>
      <c r="CQ26" s="432"/>
      <c r="CR26" s="434"/>
      <c r="CS26" s="434"/>
      <c r="CT26" s="434"/>
      <c r="CU26" s="434"/>
      <c r="CV26" s="434"/>
      <c r="CW26" s="434"/>
      <c r="CX26" s="434"/>
      <c r="CY26" s="434"/>
      <c r="CZ26" s="434"/>
      <c r="DA26" s="434"/>
    </row>
    <row r="27" spans="1:105">
      <c r="CJ27" s="431"/>
      <c r="CK27" s="431"/>
      <c r="CL27" s="431"/>
      <c r="CM27" s="431"/>
      <c r="CN27" s="431"/>
      <c r="CO27" s="431"/>
      <c r="CP27" s="432"/>
      <c r="CQ27" s="432"/>
      <c r="CR27" s="434"/>
      <c r="CS27" s="434"/>
      <c r="CT27" s="434"/>
      <c r="CU27" s="434"/>
      <c r="CV27" s="434"/>
      <c r="CW27" s="434"/>
      <c r="CX27" s="434"/>
      <c r="CY27" s="434"/>
      <c r="CZ27" s="434"/>
      <c r="DA27" s="434"/>
    </row>
    <row r="28" spans="1:105">
      <c r="CJ28" s="431"/>
      <c r="CK28" s="431"/>
      <c r="CL28" s="431"/>
      <c r="CM28" s="431"/>
      <c r="CN28" s="431"/>
      <c r="CO28" s="431"/>
      <c r="CP28" s="432"/>
      <c r="CQ28" s="432"/>
      <c r="CR28" s="434"/>
      <c r="CS28" s="434"/>
      <c r="CT28" s="434"/>
      <c r="CU28" s="434"/>
      <c r="CV28" s="434"/>
      <c r="CW28" s="434"/>
      <c r="CX28" s="434"/>
      <c r="CY28" s="434"/>
      <c r="CZ28" s="434"/>
      <c r="DA28" s="434"/>
    </row>
    <row r="29" spans="1:105">
      <c r="CJ29" s="431"/>
      <c r="CK29" s="431"/>
      <c r="CL29" s="431"/>
      <c r="CM29" s="431"/>
      <c r="CN29" s="431"/>
      <c r="CO29" s="431"/>
      <c r="CP29" s="432"/>
      <c r="CQ29" s="432"/>
      <c r="CR29" s="434"/>
      <c r="CS29" s="434"/>
      <c r="CT29" s="434"/>
      <c r="CU29" s="434"/>
      <c r="CV29" s="434"/>
      <c r="CW29" s="434"/>
      <c r="CX29" s="434"/>
      <c r="CY29" s="434"/>
      <c r="CZ29" s="434"/>
      <c r="DA29" s="434"/>
    </row>
    <row r="30" spans="1:105">
      <c r="CJ30" s="431"/>
      <c r="CK30" s="431"/>
      <c r="CL30" s="431"/>
      <c r="CM30" s="431"/>
      <c r="CN30" s="431"/>
      <c r="CO30" s="431"/>
      <c r="CP30" s="432"/>
      <c r="CQ30" s="432"/>
      <c r="CR30" s="434"/>
      <c r="CS30" s="434"/>
      <c r="CT30" s="434"/>
      <c r="CU30" s="434"/>
      <c r="CV30" s="434"/>
      <c r="CW30" s="434"/>
      <c r="CX30" s="434"/>
      <c r="CY30" s="434"/>
      <c r="CZ30" s="434"/>
      <c r="DA30" s="434"/>
    </row>
    <row r="31" spans="1:105">
      <c r="CJ31" s="431"/>
      <c r="CK31" s="431"/>
      <c r="CL31" s="431"/>
      <c r="CM31" s="431"/>
      <c r="CN31" s="431"/>
      <c r="CO31" s="431"/>
      <c r="CP31" s="432"/>
      <c r="CQ31" s="432"/>
      <c r="CR31" s="434"/>
      <c r="CS31" s="434"/>
      <c r="CT31" s="434"/>
      <c r="CU31" s="434"/>
      <c r="CV31" s="434"/>
      <c r="CW31" s="434"/>
      <c r="CX31" s="434"/>
      <c r="CY31" s="434"/>
      <c r="CZ31" s="434"/>
      <c r="DA31" s="434"/>
    </row>
    <row r="32" spans="1:105">
      <c r="CJ32" s="431"/>
      <c r="CK32" s="431"/>
      <c r="CL32" s="431"/>
      <c r="CM32" s="431"/>
      <c r="CN32" s="431"/>
      <c r="CO32" s="431"/>
      <c r="CP32" s="432"/>
      <c r="CQ32" s="432"/>
      <c r="CR32" s="434"/>
      <c r="CS32" s="434"/>
      <c r="CT32" s="434"/>
      <c r="CU32" s="434"/>
      <c r="CV32" s="434"/>
      <c r="CW32" s="434"/>
      <c r="CX32" s="434"/>
      <c r="CY32" s="434"/>
      <c r="CZ32" s="434"/>
      <c r="DA32" s="434"/>
    </row>
    <row r="33" spans="88:105">
      <c r="CJ33" s="431"/>
      <c r="CK33" s="431"/>
      <c r="CL33" s="431"/>
      <c r="CM33" s="431"/>
      <c r="CN33" s="431"/>
      <c r="CO33" s="431"/>
      <c r="CP33" s="432"/>
      <c r="CQ33" s="432"/>
      <c r="CR33" s="434"/>
      <c r="CS33" s="434"/>
      <c r="CT33" s="434"/>
      <c r="CU33" s="434"/>
      <c r="CV33" s="434"/>
      <c r="CW33" s="434"/>
      <c r="CX33" s="434"/>
      <c r="CY33" s="434"/>
      <c r="CZ33" s="434"/>
      <c r="DA33" s="434"/>
    </row>
    <row r="34" spans="88:105">
      <c r="CJ34" s="431"/>
      <c r="CK34" s="431"/>
      <c r="CL34" s="431"/>
      <c r="CM34" s="431"/>
      <c r="CN34" s="431"/>
      <c r="CO34" s="431"/>
      <c r="CP34" s="432"/>
      <c r="CQ34" s="432"/>
      <c r="CR34" s="434"/>
      <c r="CS34" s="434"/>
      <c r="CT34" s="434"/>
      <c r="CU34" s="434"/>
      <c r="CV34" s="434"/>
      <c r="CW34" s="434"/>
      <c r="CX34" s="434"/>
      <c r="CY34" s="434"/>
      <c r="CZ34" s="434"/>
      <c r="DA34" s="434"/>
    </row>
    <row r="35" spans="88:105">
      <c r="CJ35" s="431"/>
      <c r="CK35" s="431"/>
      <c r="CL35" s="431"/>
      <c r="CM35" s="431"/>
      <c r="CN35" s="431"/>
      <c r="CO35" s="431"/>
      <c r="CP35" s="432"/>
      <c r="CQ35" s="432"/>
      <c r="CR35" s="434"/>
      <c r="CS35" s="434"/>
      <c r="CT35" s="434"/>
      <c r="CU35" s="434"/>
      <c r="CV35" s="434"/>
      <c r="CW35" s="434"/>
      <c r="CX35" s="434"/>
      <c r="CY35" s="434"/>
      <c r="CZ35" s="434"/>
      <c r="DA35" s="434"/>
    </row>
    <row r="36" spans="88:105">
      <c r="CJ36" s="431"/>
      <c r="CK36" s="431"/>
      <c r="CL36" s="431"/>
      <c r="CM36" s="431"/>
      <c r="CN36" s="431"/>
      <c r="CO36" s="431"/>
      <c r="CP36" s="432"/>
      <c r="CQ36" s="432"/>
      <c r="CR36" s="434"/>
      <c r="CS36" s="434"/>
      <c r="CT36" s="434"/>
      <c r="CU36" s="434"/>
      <c r="CV36" s="434"/>
      <c r="CW36" s="434"/>
      <c r="CX36" s="434"/>
      <c r="CY36" s="434"/>
      <c r="CZ36" s="434"/>
      <c r="DA36" s="434"/>
    </row>
    <row r="37" spans="88:105">
      <c r="CJ37" s="431"/>
      <c r="CK37" s="431"/>
      <c r="CL37" s="431"/>
      <c r="CM37" s="431"/>
      <c r="CN37" s="431"/>
      <c r="CO37" s="431"/>
      <c r="CP37" s="432"/>
      <c r="CQ37" s="432"/>
      <c r="CR37" s="434"/>
      <c r="CS37" s="434"/>
      <c r="CT37" s="434"/>
      <c r="CU37" s="434"/>
      <c r="CV37" s="434"/>
      <c r="CW37" s="434"/>
      <c r="CX37" s="434"/>
      <c r="CY37" s="434"/>
      <c r="CZ37" s="434"/>
      <c r="DA37" s="434"/>
    </row>
    <row r="38" spans="88:105">
      <c r="CJ38" s="431"/>
      <c r="CK38" s="431"/>
      <c r="CL38" s="431"/>
      <c r="CM38" s="431"/>
      <c r="CN38" s="431"/>
      <c r="CO38" s="431"/>
      <c r="CP38" s="432"/>
      <c r="CQ38" s="432"/>
      <c r="CR38" s="434"/>
      <c r="CS38" s="434"/>
      <c r="CT38" s="434"/>
      <c r="CU38" s="434"/>
      <c r="CV38" s="434"/>
      <c r="CW38" s="434"/>
      <c r="CX38" s="434"/>
      <c r="CY38" s="434"/>
      <c r="CZ38" s="434"/>
      <c r="DA38" s="434"/>
    </row>
    <row r="39" spans="88:105">
      <c r="CJ39" s="431"/>
      <c r="CK39" s="431"/>
      <c r="CL39" s="431"/>
      <c r="CM39" s="431"/>
      <c r="CN39" s="431"/>
      <c r="CO39" s="431"/>
      <c r="CP39" s="432"/>
      <c r="CQ39" s="432"/>
      <c r="CR39" s="434"/>
      <c r="CS39" s="434"/>
      <c r="CT39" s="434"/>
      <c r="CU39" s="434"/>
      <c r="CV39" s="434"/>
      <c r="CW39" s="434"/>
      <c r="CX39" s="434"/>
      <c r="CY39" s="434"/>
      <c r="CZ39" s="434"/>
      <c r="DA39" s="434"/>
    </row>
    <row r="40" spans="88:105">
      <c r="CJ40" s="431"/>
      <c r="CK40" s="431"/>
      <c r="CL40" s="431"/>
      <c r="CM40" s="431"/>
      <c r="CN40" s="431"/>
      <c r="CO40" s="431"/>
      <c r="CP40" s="432"/>
      <c r="CQ40" s="432"/>
      <c r="CR40" s="434"/>
      <c r="CS40" s="434"/>
      <c r="CT40" s="434"/>
      <c r="CU40" s="434"/>
      <c r="CV40" s="434"/>
      <c r="CW40" s="434"/>
      <c r="CX40" s="434"/>
      <c r="CY40" s="434"/>
      <c r="CZ40" s="434"/>
      <c r="DA40" s="434"/>
    </row>
    <row r="41" spans="88:105">
      <c r="CJ41" s="431"/>
      <c r="CK41" s="431"/>
      <c r="CL41" s="431"/>
      <c r="CM41" s="431"/>
      <c r="CN41" s="431"/>
      <c r="CO41" s="431"/>
      <c r="CP41" s="432"/>
      <c r="CQ41" s="432"/>
      <c r="CR41" s="434"/>
      <c r="CS41" s="434"/>
      <c r="CT41" s="434"/>
      <c r="CU41" s="434"/>
      <c r="CV41" s="434"/>
      <c r="CW41" s="434"/>
      <c r="CX41" s="434"/>
      <c r="CY41" s="434"/>
      <c r="CZ41" s="434"/>
      <c r="DA41" s="434"/>
    </row>
    <row r="42" spans="88:105">
      <c r="CJ42" s="431"/>
      <c r="CK42" s="431"/>
      <c r="CL42" s="431"/>
      <c r="CM42" s="431"/>
      <c r="CN42" s="431"/>
      <c r="CO42" s="431"/>
      <c r="CP42" s="432"/>
      <c r="CQ42" s="432"/>
      <c r="CR42" s="434"/>
      <c r="CS42" s="434"/>
      <c r="CT42" s="434"/>
      <c r="CU42" s="434"/>
      <c r="CV42" s="434"/>
      <c r="CW42" s="434"/>
      <c r="CX42" s="434"/>
      <c r="CY42" s="434"/>
      <c r="CZ42" s="434"/>
      <c r="DA42" s="434"/>
    </row>
    <row r="43" spans="88:105">
      <c r="CJ43" s="431"/>
      <c r="CK43" s="431"/>
      <c r="CL43" s="431"/>
      <c r="CM43" s="431"/>
      <c r="CN43" s="431"/>
      <c r="CO43" s="431"/>
      <c r="CP43" s="432"/>
      <c r="CQ43" s="432"/>
      <c r="CR43" s="434"/>
      <c r="CS43" s="434"/>
      <c r="CT43" s="434"/>
      <c r="CU43" s="434"/>
      <c r="CV43" s="434"/>
      <c r="CW43" s="434"/>
      <c r="CX43" s="434"/>
      <c r="CY43" s="434"/>
      <c r="CZ43" s="434"/>
      <c r="DA43" s="434"/>
    </row>
    <row r="44" spans="88:105">
      <c r="CJ44" s="431"/>
      <c r="CK44" s="431"/>
      <c r="CL44" s="431"/>
      <c r="CM44" s="431"/>
      <c r="CN44" s="431"/>
      <c r="CO44" s="431"/>
      <c r="CP44" s="432"/>
      <c r="CQ44" s="432"/>
      <c r="CR44" s="437"/>
      <c r="CS44" s="437"/>
      <c r="CT44" s="437"/>
      <c r="CU44" s="437"/>
      <c r="CV44" s="437"/>
      <c r="CW44" s="437"/>
      <c r="CX44" s="437"/>
      <c r="CY44" s="437"/>
      <c r="CZ44" s="437"/>
      <c r="DA44" s="437"/>
    </row>
    <row r="45" spans="88:105">
      <c r="CJ45" s="431"/>
      <c r="CK45" s="431"/>
      <c r="CL45" s="431"/>
      <c r="CM45" s="431"/>
      <c r="CN45" s="431"/>
      <c r="CO45" s="431"/>
      <c r="CP45" s="432"/>
      <c r="CQ45" s="432"/>
      <c r="CR45" s="434"/>
      <c r="CS45" s="434"/>
      <c r="CT45" s="434"/>
      <c r="CU45" s="434"/>
      <c r="CV45" s="434"/>
      <c r="CW45" s="434"/>
      <c r="CX45" s="434"/>
      <c r="CY45" s="434"/>
      <c r="CZ45" s="434"/>
      <c r="DA45" s="434"/>
    </row>
    <row r="46" spans="88:105">
      <c r="CJ46" s="431"/>
      <c r="CK46" s="431"/>
      <c r="CL46" s="431"/>
      <c r="CM46" s="431"/>
      <c r="CN46" s="431"/>
      <c r="CO46" s="431"/>
      <c r="CP46" s="432"/>
      <c r="CQ46" s="432"/>
      <c r="CR46" s="434"/>
      <c r="CS46" s="434"/>
      <c r="CT46" s="434"/>
      <c r="CU46" s="434"/>
      <c r="CV46" s="434"/>
      <c r="CW46" s="434"/>
      <c r="CX46" s="434"/>
      <c r="CY46" s="434"/>
      <c r="CZ46" s="434"/>
      <c r="DA46" s="434"/>
    </row>
    <row r="47" spans="88:105">
      <c r="CJ47" s="431"/>
      <c r="CK47" s="431"/>
      <c r="CL47" s="431"/>
      <c r="CM47" s="431"/>
      <c r="CN47" s="431"/>
      <c r="CO47" s="431"/>
      <c r="CP47" s="432"/>
      <c r="CQ47" s="432"/>
      <c r="CR47" s="434"/>
      <c r="CS47" s="434"/>
      <c r="CT47" s="434"/>
      <c r="CU47" s="434"/>
      <c r="CV47" s="434"/>
      <c r="CW47" s="434"/>
      <c r="CX47" s="434"/>
      <c r="CY47" s="434"/>
      <c r="CZ47" s="434"/>
      <c r="DA47" s="434"/>
    </row>
    <row r="48" spans="88:105">
      <c r="CJ48" s="431"/>
      <c r="CK48" s="431"/>
      <c r="CL48" s="431"/>
      <c r="CM48" s="431"/>
      <c r="CN48" s="431"/>
      <c r="CO48" s="431"/>
      <c r="CP48" s="432"/>
      <c r="CQ48" s="432"/>
      <c r="CR48" s="434"/>
      <c r="CS48" s="434"/>
      <c r="CT48" s="434"/>
      <c r="CU48" s="434"/>
      <c r="CV48" s="434"/>
      <c r="CW48" s="434"/>
      <c r="CX48" s="434"/>
      <c r="CY48" s="434"/>
      <c r="CZ48" s="434"/>
      <c r="DA48" s="434"/>
    </row>
    <row r="49" spans="88:105">
      <c r="CJ49" s="431"/>
      <c r="CK49" s="431"/>
      <c r="CL49" s="431"/>
      <c r="CM49" s="431"/>
      <c r="CN49" s="431"/>
      <c r="CO49" s="431"/>
      <c r="CP49" s="432"/>
      <c r="CQ49" s="432"/>
      <c r="CR49" s="434"/>
      <c r="CS49" s="434"/>
      <c r="CT49" s="434"/>
      <c r="CU49" s="434"/>
      <c r="CV49" s="434"/>
      <c r="CW49" s="434"/>
      <c r="CX49" s="434"/>
      <c r="CY49" s="434"/>
      <c r="CZ49" s="434"/>
      <c r="DA49" s="434"/>
    </row>
    <row r="50" spans="88:105">
      <c r="CJ50" s="431"/>
      <c r="CK50" s="431"/>
      <c r="CL50" s="431"/>
      <c r="CM50" s="431"/>
      <c r="CN50" s="431"/>
      <c r="CO50" s="431"/>
      <c r="CP50" s="432"/>
      <c r="CQ50" s="432"/>
      <c r="CR50" s="434"/>
      <c r="CS50" s="434"/>
      <c r="CT50" s="434"/>
      <c r="CU50" s="434"/>
      <c r="CV50" s="434"/>
      <c r="CW50" s="434"/>
      <c r="CX50" s="434"/>
      <c r="CY50" s="434"/>
      <c r="CZ50" s="434"/>
      <c r="DA50" s="434"/>
    </row>
    <row r="51" spans="88:105">
      <c r="CJ51" s="431"/>
      <c r="CK51" s="431"/>
      <c r="CL51" s="431"/>
      <c r="CM51" s="431"/>
      <c r="CN51" s="431"/>
      <c r="CO51" s="431"/>
      <c r="CP51" s="432"/>
      <c r="CQ51" s="432"/>
      <c r="CR51" s="434"/>
      <c r="CS51" s="434"/>
      <c r="CT51" s="434"/>
      <c r="CU51" s="434"/>
      <c r="CV51" s="434"/>
      <c r="CW51" s="434"/>
      <c r="CX51" s="434"/>
      <c r="CY51" s="434"/>
      <c r="CZ51" s="434"/>
      <c r="DA51" s="434"/>
    </row>
    <row r="52" spans="88:105">
      <c r="CJ52" s="431"/>
      <c r="CK52" s="431"/>
      <c r="CL52" s="431"/>
      <c r="CM52" s="431"/>
      <c r="CN52" s="431"/>
      <c r="CO52" s="431"/>
      <c r="CP52" s="432"/>
      <c r="CQ52" s="432"/>
      <c r="CR52" s="434"/>
      <c r="CS52" s="434"/>
      <c r="CT52" s="434"/>
      <c r="CU52" s="434"/>
      <c r="CV52" s="434"/>
      <c r="CW52" s="434"/>
      <c r="CX52" s="434"/>
      <c r="CY52" s="434"/>
      <c r="CZ52" s="434"/>
      <c r="DA52" s="434"/>
    </row>
    <row r="53" spans="88:105">
      <c r="CJ53" s="431"/>
      <c r="CK53" s="431"/>
      <c r="CL53" s="431"/>
      <c r="CM53" s="431"/>
      <c r="CN53" s="431"/>
      <c r="CO53" s="431"/>
      <c r="CP53" s="432"/>
      <c r="CQ53" s="432"/>
      <c r="CR53" s="434"/>
      <c r="CS53" s="434"/>
      <c r="CT53" s="434"/>
      <c r="CU53" s="434"/>
      <c r="CV53" s="434"/>
      <c r="CW53" s="434"/>
      <c r="CX53" s="434"/>
      <c r="CY53" s="434"/>
      <c r="CZ53" s="434"/>
      <c r="DA53" s="434"/>
    </row>
    <row r="54" spans="88:105">
      <c r="CJ54" s="431"/>
      <c r="CK54" s="431"/>
      <c r="CL54" s="431"/>
      <c r="CM54" s="431"/>
      <c r="CN54" s="431"/>
      <c r="CO54" s="431"/>
      <c r="CP54" s="432"/>
      <c r="CQ54" s="432"/>
      <c r="CR54" s="434"/>
      <c r="CS54" s="434"/>
      <c r="CT54" s="434"/>
      <c r="CU54" s="434"/>
      <c r="CV54" s="434"/>
      <c r="CW54" s="434"/>
      <c r="CX54" s="434"/>
      <c r="CY54" s="434"/>
      <c r="CZ54" s="434"/>
      <c r="DA54" s="434"/>
    </row>
    <row r="55" spans="88:105">
      <c r="CJ55" s="431"/>
      <c r="CK55" s="431"/>
      <c r="CL55" s="431"/>
      <c r="CM55" s="431"/>
      <c r="CN55" s="431"/>
      <c r="CO55" s="431"/>
      <c r="CP55" s="432"/>
      <c r="CQ55" s="432"/>
      <c r="CR55" s="434"/>
      <c r="CS55" s="434"/>
      <c r="CT55" s="434"/>
      <c r="CU55" s="434"/>
      <c r="CV55" s="434"/>
      <c r="CW55" s="434"/>
      <c r="CX55" s="434"/>
      <c r="CY55" s="434"/>
      <c r="CZ55" s="434"/>
      <c r="DA55" s="434"/>
    </row>
    <row r="56" spans="88:105">
      <c r="CJ56" s="431"/>
      <c r="CK56" s="431"/>
      <c r="CL56" s="431"/>
      <c r="CM56" s="431"/>
      <c r="CN56" s="431"/>
      <c r="CO56" s="431"/>
      <c r="CP56" s="432"/>
      <c r="CQ56" s="432"/>
      <c r="CR56" s="434"/>
      <c r="CS56" s="434"/>
      <c r="CT56" s="434"/>
      <c r="CU56" s="434"/>
      <c r="CV56" s="434"/>
      <c r="CW56" s="434"/>
      <c r="CX56" s="434"/>
      <c r="CY56" s="434"/>
      <c r="CZ56" s="434"/>
      <c r="DA56" s="434"/>
    </row>
    <row r="57" spans="88:105">
      <c r="CJ57" s="431"/>
      <c r="CK57" s="431"/>
      <c r="CL57" s="431"/>
      <c r="CM57" s="431"/>
      <c r="CN57" s="431"/>
      <c r="CO57" s="431"/>
      <c r="CP57" s="432"/>
      <c r="CQ57" s="432"/>
      <c r="CR57" s="434"/>
      <c r="CS57" s="434"/>
      <c r="CT57" s="434"/>
      <c r="CU57" s="434"/>
      <c r="CV57" s="434"/>
      <c r="CW57" s="434"/>
      <c r="CX57" s="434"/>
      <c r="CY57" s="434"/>
      <c r="CZ57" s="434"/>
      <c r="DA57" s="434"/>
    </row>
    <row r="58" spans="88:105">
      <c r="CJ58" s="431"/>
      <c r="CK58" s="431"/>
      <c r="CL58" s="431"/>
      <c r="CM58" s="431"/>
      <c r="CN58" s="431"/>
      <c r="CO58" s="431"/>
      <c r="CP58" s="432"/>
      <c r="CQ58" s="432"/>
      <c r="CR58" s="434"/>
      <c r="CS58" s="434"/>
      <c r="CT58" s="434"/>
      <c r="CU58" s="434"/>
      <c r="CV58" s="434"/>
      <c r="CW58" s="434"/>
      <c r="CX58" s="434"/>
      <c r="CY58" s="434"/>
      <c r="CZ58" s="434"/>
      <c r="DA58" s="434"/>
    </row>
    <row r="59" spans="88:105">
      <c r="CJ59" s="431"/>
      <c r="CK59" s="431"/>
      <c r="CL59" s="431"/>
      <c r="CM59" s="431"/>
      <c r="CN59" s="431"/>
      <c r="CO59" s="431"/>
      <c r="CP59" s="432"/>
      <c r="CQ59" s="432"/>
      <c r="CR59" s="434"/>
      <c r="CS59" s="434"/>
      <c r="CT59" s="434"/>
      <c r="CU59" s="434"/>
      <c r="CV59" s="434"/>
      <c r="CW59" s="434"/>
      <c r="CX59" s="434"/>
      <c r="CY59" s="434"/>
      <c r="CZ59" s="434"/>
      <c r="DA59" s="434"/>
    </row>
    <row r="60" spans="88:105">
      <c r="CJ60" s="431"/>
      <c r="CK60" s="431"/>
      <c r="CL60" s="431"/>
      <c r="CM60" s="431"/>
      <c r="CN60" s="431"/>
      <c r="CO60" s="431"/>
      <c r="CP60" s="432"/>
      <c r="CQ60" s="432"/>
      <c r="CR60" s="434"/>
      <c r="CS60" s="434"/>
      <c r="CT60" s="434"/>
      <c r="CU60" s="434"/>
      <c r="CV60" s="434"/>
      <c r="CW60" s="434"/>
      <c r="CX60" s="434"/>
      <c r="CY60" s="434"/>
      <c r="CZ60" s="434"/>
      <c r="DA60" s="434"/>
    </row>
    <row r="61" spans="88:105">
      <c r="CJ61" s="431"/>
      <c r="CK61" s="431"/>
      <c r="CL61" s="431"/>
      <c r="CM61" s="431"/>
      <c r="CN61" s="431"/>
      <c r="CO61" s="431"/>
      <c r="CP61" s="432"/>
      <c r="CQ61" s="432"/>
      <c r="CR61" s="434"/>
      <c r="CS61" s="434"/>
      <c r="CT61" s="434"/>
      <c r="CU61" s="434"/>
      <c r="CV61" s="434"/>
      <c r="CW61" s="434"/>
      <c r="CX61" s="434"/>
      <c r="CY61" s="434"/>
      <c r="CZ61" s="434"/>
      <c r="DA61" s="434"/>
    </row>
    <row r="62" spans="88:105">
      <c r="CJ62" s="431"/>
      <c r="CK62" s="431"/>
      <c r="CL62" s="431"/>
      <c r="CM62" s="431"/>
      <c r="CN62" s="431"/>
      <c r="CO62" s="431"/>
      <c r="CP62" s="432"/>
      <c r="CQ62" s="432"/>
      <c r="CR62" s="434"/>
      <c r="CS62" s="434"/>
      <c r="CT62" s="434"/>
      <c r="CU62" s="434"/>
      <c r="CV62" s="434"/>
      <c r="CW62" s="434"/>
      <c r="CX62" s="434"/>
      <c r="CY62" s="434"/>
      <c r="CZ62" s="434"/>
      <c r="DA62" s="434"/>
    </row>
    <row r="63" spans="88:105">
      <c r="CJ63" s="431"/>
      <c r="CK63" s="431"/>
      <c r="CL63" s="431"/>
      <c r="CM63" s="431"/>
      <c r="CN63" s="431"/>
      <c r="CO63" s="431"/>
      <c r="CP63" s="432"/>
      <c r="CQ63" s="432"/>
      <c r="CR63" s="434"/>
      <c r="CS63" s="434"/>
      <c r="CT63" s="434"/>
      <c r="CU63" s="434"/>
      <c r="CV63" s="434"/>
      <c r="CW63" s="434"/>
      <c r="CX63" s="434"/>
      <c r="CY63" s="434"/>
      <c r="CZ63" s="434"/>
      <c r="DA63" s="434"/>
    </row>
    <row r="64" spans="88:105">
      <c r="CJ64" s="431"/>
      <c r="CK64" s="431"/>
      <c r="CL64" s="431"/>
      <c r="CM64" s="431"/>
      <c r="CN64" s="431"/>
      <c r="CO64" s="431"/>
      <c r="CP64" s="432"/>
      <c r="CQ64" s="432"/>
      <c r="CR64" s="434"/>
      <c r="CS64" s="434"/>
      <c r="CT64" s="434"/>
      <c r="CU64" s="434"/>
      <c r="CV64" s="434"/>
      <c r="CW64" s="434"/>
      <c r="CX64" s="434"/>
      <c r="CY64" s="434"/>
      <c r="CZ64" s="434"/>
      <c r="DA64" s="434"/>
    </row>
    <row r="65" spans="88:105">
      <c r="CJ65" s="431"/>
      <c r="CK65" s="431"/>
      <c r="CL65" s="431"/>
      <c r="CM65" s="431"/>
      <c r="CN65" s="431"/>
      <c r="CO65" s="431"/>
      <c r="CP65" s="432"/>
      <c r="CQ65" s="432"/>
      <c r="CR65" s="434"/>
      <c r="CS65" s="434"/>
      <c r="CT65" s="434"/>
      <c r="CU65" s="434"/>
      <c r="CV65" s="434"/>
      <c r="CW65" s="434"/>
      <c r="CX65" s="434"/>
      <c r="CY65" s="434"/>
      <c r="CZ65" s="434"/>
      <c r="DA65" s="434"/>
    </row>
    <row r="66" spans="88:105">
      <c r="CJ66" s="431"/>
      <c r="CK66" s="431"/>
      <c r="CL66" s="431"/>
      <c r="CM66" s="431"/>
      <c r="CN66" s="431"/>
      <c r="CO66" s="431"/>
      <c r="CP66" s="432"/>
      <c r="CQ66" s="432"/>
      <c r="CR66" s="434"/>
      <c r="CS66" s="434"/>
      <c r="CT66" s="434"/>
      <c r="CU66" s="434"/>
      <c r="CV66" s="434"/>
      <c r="CW66" s="434"/>
      <c r="CX66" s="434"/>
      <c r="CY66" s="434"/>
      <c r="CZ66" s="434"/>
      <c r="DA66" s="434"/>
    </row>
    <row r="67" spans="88:105">
      <c r="CJ67" s="431"/>
      <c r="CK67" s="431"/>
      <c r="CL67" s="431"/>
      <c r="CM67" s="431"/>
      <c r="CN67" s="431"/>
      <c r="CO67" s="431"/>
      <c r="CP67" s="432"/>
      <c r="CQ67" s="432"/>
      <c r="CR67" s="434"/>
      <c r="CS67" s="434"/>
      <c r="CT67" s="434"/>
      <c r="CU67" s="434"/>
      <c r="CV67" s="434"/>
      <c r="CW67" s="434"/>
      <c r="CX67" s="434"/>
      <c r="CY67" s="434"/>
      <c r="CZ67" s="434"/>
      <c r="DA67" s="434"/>
    </row>
    <row r="68" spans="88:105">
      <c r="CJ68" s="431"/>
      <c r="CK68" s="431"/>
      <c r="CL68" s="431"/>
      <c r="CM68" s="431"/>
      <c r="CN68" s="431"/>
      <c r="CO68" s="431"/>
      <c r="CP68" s="432"/>
      <c r="CQ68" s="432"/>
      <c r="CR68" s="434"/>
      <c r="CS68" s="434"/>
      <c r="CT68" s="434"/>
      <c r="CU68" s="434"/>
      <c r="CV68" s="434"/>
      <c r="CW68" s="434"/>
      <c r="CX68" s="434"/>
      <c r="CY68" s="434"/>
      <c r="CZ68" s="434"/>
      <c r="DA68" s="434"/>
    </row>
  </sheetData>
  <mergeCells count="1">
    <mergeCell ref="CJ14:DA14"/>
  </mergeCells>
  <conditionalFormatting sqref="X17:X21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AK17:AK21">
    <cfRule type="cellIs" dxfId="3" priority="10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zoomScale="55" zoomScaleNormal="55" workbookViewId="0">
      <pane xSplit="7" topLeftCell="H1" activePane="topRight" state="frozen"/>
      <selection pane="topRight" activeCell="AE18" sqref="AE18"/>
    </sheetView>
  </sheetViews>
  <sheetFormatPr baseColWidth="10" defaultColWidth="11.54296875" defaultRowHeight="17.5"/>
  <cols>
    <col min="1" max="1" width="13.81640625" style="391" customWidth="1"/>
    <col min="2" max="3" width="19.54296875" style="455" customWidth="1"/>
    <col min="4" max="4" width="13.54296875" style="455" bestFit="1" customWidth="1"/>
    <col min="5" max="5" width="19.54296875" style="455" customWidth="1"/>
    <col min="6" max="6" width="13.453125" style="455" customWidth="1"/>
    <col min="7" max="7" width="59" style="391" customWidth="1"/>
    <col min="8" max="8" width="13.453125" style="391" customWidth="1"/>
    <col min="9" max="11" width="16.453125" style="391" customWidth="1"/>
    <col min="12" max="12" width="10.7265625" style="391" customWidth="1"/>
    <col min="13" max="13" width="20.26953125" style="391" hidden="1" customWidth="1"/>
    <col min="14" max="25" width="16" style="391" hidden="1" customWidth="1"/>
    <col min="26" max="26" width="18.7265625" style="391" customWidth="1"/>
    <col min="27" max="27" width="20" style="391" bestFit="1" customWidth="1"/>
    <col min="28" max="29" width="15.453125" style="391" customWidth="1"/>
    <col min="30" max="30" width="22.1796875" style="391" customWidth="1"/>
    <col min="31" max="32" width="25" style="391" customWidth="1"/>
    <col min="33" max="37" width="32.81640625" style="391" hidden="1" customWidth="1"/>
    <col min="38" max="52" width="5.7265625" style="391" customWidth="1"/>
    <col min="53" max="64" width="20.81640625" style="391" customWidth="1"/>
    <col min="65" max="69" width="6.1796875" style="391" customWidth="1"/>
    <col min="70" max="72" width="36.81640625" style="470" customWidth="1"/>
    <col min="73" max="87" width="2.453125" style="391" customWidth="1"/>
    <col min="88" max="93" width="20.453125" style="455" customWidth="1"/>
    <col min="94" max="105" width="20.453125" style="391" customWidth="1"/>
    <col min="106" max="16384" width="11.54296875" style="391"/>
  </cols>
  <sheetData>
    <row r="1" spans="1:105" ht="18">
      <c r="A1" s="386"/>
      <c r="B1" s="456" t="s">
        <v>13</v>
      </c>
      <c r="C1" s="457" t="s">
        <v>276</v>
      </c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  <c r="R1" s="388"/>
      <c r="S1" s="388"/>
      <c r="T1" s="388"/>
      <c r="U1" s="387"/>
      <c r="V1" s="387"/>
      <c r="W1" s="387"/>
      <c r="X1" s="387"/>
      <c r="Y1" s="387"/>
      <c r="Z1" s="387"/>
      <c r="AA1" s="387"/>
      <c r="AB1" s="387"/>
      <c r="AC1" s="387"/>
      <c r="AD1" s="387"/>
      <c r="AE1" s="387"/>
      <c r="AF1" s="388"/>
      <c r="AG1" s="389"/>
      <c r="AH1" s="389"/>
      <c r="AI1" s="389"/>
      <c r="AJ1" s="389"/>
      <c r="AK1" s="389"/>
      <c r="AL1" s="388"/>
      <c r="AM1" s="388"/>
      <c r="AN1" s="388"/>
      <c r="AO1" s="388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88"/>
      <c r="BA1" s="390"/>
      <c r="BB1" s="390"/>
      <c r="BC1" s="390"/>
      <c r="BD1" s="390"/>
      <c r="BE1" s="390"/>
      <c r="BF1" s="390"/>
      <c r="BG1" s="390"/>
      <c r="BH1" s="390"/>
      <c r="BI1" s="390"/>
      <c r="BJ1" s="390"/>
      <c r="BK1" s="390"/>
      <c r="BL1" s="390"/>
      <c r="CJ1" s="390"/>
      <c r="CK1" s="390"/>
      <c r="CL1" s="390"/>
      <c r="CM1" s="390"/>
      <c r="CN1" s="390"/>
      <c r="CO1" s="390"/>
      <c r="CP1" s="390"/>
      <c r="CQ1" s="390"/>
      <c r="CR1" s="390"/>
      <c r="CS1" s="390"/>
      <c r="CT1" s="390"/>
      <c r="CU1" s="390"/>
      <c r="CV1" s="390"/>
      <c r="CW1" s="390"/>
      <c r="CX1" s="390"/>
      <c r="CY1" s="390"/>
      <c r="CZ1" s="390"/>
      <c r="DA1" s="390"/>
    </row>
    <row r="2" spans="1:105" ht="18.5">
      <c r="A2" s="522" t="s">
        <v>1367</v>
      </c>
      <c r="B2" s="522"/>
      <c r="C2" s="458"/>
      <c r="D2" s="392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8"/>
      <c r="S2" s="388"/>
      <c r="T2" s="388"/>
      <c r="U2" s="387"/>
      <c r="V2" s="387"/>
      <c r="W2" s="387"/>
      <c r="X2" s="387"/>
      <c r="Y2" s="387"/>
      <c r="Z2" s="387"/>
      <c r="AA2" s="387"/>
      <c r="AB2" s="387"/>
      <c r="AC2" s="387"/>
      <c r="AD2" s="387"/>
      <c r="AE2" s="387"/>
      <c r="AF2" s="388"/>
      <c r="AG2" s="389"/>
      <c r="AH2" s="389"/>
      <c r="AI2" s="389"/>
      <c r="AJ2" s="389"/>
      <c r="AK2" s="389"/>
      <c r="AL2" s="388"/>
      <c r="AM2" s="388"/>
      <c r="AN2" s="388"/>
      <c r="AO2" s="388"/>
      <c r="AP2" s="388"/>
      <c r="AQ2" s="388"/>
      <c r="AR2" s="388"/>
      <c r="AS2" s="388"/>
      <c r="AT2" s="388"/>
      <c r="AU2" s="388"/>
      <c r="AV2" s="388"/>
      <c r="AW2" s="388"/>
      <c r="AX2" s="388"/>
      <c r="AY2" s="388"/>
      <c r="AZ2" s="388"/>
      <c r="BA2" s="390"/>
      <c r="BB2" s="390"/>
      <c r="BC2" s="390"/>
      <c r="BD2" s="390"/>
      <c r="BE2" s="390"/>
      <c r="BF2" s="390"/>
      <c r="BG2" s="390"/>
      <c r="BH2" s="390"/>
      <c r="BI2" s="390"/>
      <c r="BJ2" s="390"/>
      <c r="BK2" s="390"/>
      <c r="BL2" s="390"/>
      <c r="CJ2" s="390"/>
      <c r="CK2" s="390"/>
      <c r="CL2" s="390"/>
      <c r="CM2" s="390"/>
      <c r="CN2" s="390"/>
      <c r="CO2" s="390"/>
      <c r="CP2" s="390"/>
      <c r="CQ2" s="390"/>
      <c r="CR2" s="390"/>
      <c r="CS2" s="390"/>
      <c r="CT2" s="390"/>
      <c r="CU2" s="390"/>
      <c r="CV2" s="390"/>
      <c r="CW2" s="390"/>
      <c r="CX2" s="390"/>
      <c r="CY2" s="390"/>
      <c r="CZ2" s="390"/>
      <c r="DA2" s="390"/>
    </row>
    <row r="3" spans="1:105" ht="18.5">
      <c r="A3" s="393" t="s">
        <v>282</v>
      </c>
      <c r="B3" s="459">
        <v>46117</v>
      </c>
      <c r="C3" s="460">
        <v>46154</v>
      </c>
      <c r="D3" s="461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388"/>
      <c r="S3" s="388"/>
      <c r="T3" s="388"/>
      <c r="U3" s="387"/>
      <c r="V3" s="387"/>
      <c r="W3" s="387"/>
      <c r="X3" s="387"/>
      <c r="Y3" s="387"/>
      <c r="Z3" s="387"/>
      <c r="AA3" s="387"/>
      <c r="AB3" s="387"/>
      <c r="AC3" s="387"/>
      <c r="AD3" s="387"/>
      <c r="AE3" s="387"/>
      <c r="AF3" s="388"/>
      <c r="AG3" s="389"/>
      <c r="AH3" s="389"/>
      <c r="AI3" s="389"/>
      <c r="AJ3" s="389"/>
      <c r="AK3" s="389"/>
      <c r="AL3" s="388"/>
      <c r="AM3" s="388"/>
      <c r="AN3" s="388"/>
      <c r="AO3" s="388"/>
      <c r="AP3" s="388"/>
      <c r="AQ3" s="388"/>
      <c r="AR3" s="388"/>
      <c r="AS3" s="388"/>
      <c r="AT3" s="388"/>
      <c r="AU3" s="388"/>
      <c r="AV3" s="388"/>
      <c r="AW3" s="388"/>
      <c r="AX3" s="388"/>
      <c r="AY3" s="388"/>
      <c r="AZ3" s="388"/>
      <c r="BA3" s="390"/>
      <c r="BB3" s="390"/>
      <c r="BC3" s="390"/>
      <c r="BD3" s="390"/>
      <c r="BE3" s="390"/>
      <c r="BF3" s="390"/>
      <c r="BG3" s="390"/>
      <c r="BH3" s="390"/>
      <c r="BI3" s="390"/>
      <c r="BJ3" s="390"/>
      <c r="BK3" s="390"/>
      <c r="BL3" s="390"/>
      <c r="CJ3" s="390"/>
      <c r="CK3" s="390"/>
      <c r="CL3" s="390"/>
      <c r="CM3" s="390"/>
      <c r="CN3" s="390"/>
      <c r="CO3" s="390"/>
      <c r="CP3" s="390"/>
      <c r="CQ3" s="390"/>
      <c r="CR3" s="390"/>
      <c r="CS3" s="390"/>
      <c r="CT3" s="390"/>
      <c r="CU3" s="390"/>
      <c r="CV3" s="390"/>
      <c r="CW3" s="390"/>
      <c r="CX3" s="390"/>
      <c r="CY3" s="390"/>
      <c r="CZ3" s="390"/>
      <c r="DA3" s="390"/>
    </row>
    <row r="4" spans="1:105" ht="18.5">
      <c r="A4" s="394" t="s">
        <v>1368</v>
      </c>
      <c r="B4" s="462"/>
      <c r="C4" s="463">
        <v>46155</v>
      </c>
      <c r="D4" s="461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388"/>
      <c r="S4" s="388"/>
      <c r="T4" s="388"/>
      <c r="U4" s="387"/>
      <c r="V4" s="387"/>
      <c r="W4" s="387"/>
      <c r="X4" s="387"/>
      <c r="Y4" s="387"/>
      <c r="Z4" s="387"/>
      <c r="AA4" s="387"/>
      <c r="AB4" s="387"/>
      <c r="AC4" s="387"/>
      <c r="AD4" s="387"/>
      <c r="AE4" s="387"/>
      <c r="AF4" s="388"/>
      <c r="AG4" s="389"/>
      <c r="AH4" s="389"/>
      <c r="AI4" s="389"/>
      <c r="AJ4" s="389"/>
      <c r="AK4" s="389"/>
      <c r="AL4" s="388"/>
      <c r="AM4" s="388"/>
      <c r="AN4" s="388"/>
      <c r="AO4" s="388"/>
      <c r="AP4" s="388"/>
      <c r="AQ4" s="388"/>
      <c r="AR4" s="388"/>
      <c r="AS4" s="388"/>
      <c r="AT4" s="388"/>
      <c r="AU4" s="388"/>
      <c r="AV4" s="388"/>
      <c r="AW4" s="388"/>
      <c r="AX4" s="388"/>
      <c r="AY4" s="388"/>
      <c r="AZ4" s="388"/>
      <c r="BA4" s="390"/>
      <c r="BB4" s="390"/>
      <c r="BC4" s="390"/>
      <c r="BD4" s="390"/>
      <c r="BE4" s="390"/>
      <c r="BF4" s="390"/>
      <c r="BG4" s="390"/>
      <c r="BH4" s="390"/>
      <c r="BI4" s="390"/>
      <c r="BJ4" s="390"/>
      <c r="BK4" s="390"/>
      <c r="BL4" s="390"/>
      <c r="CJ4" s="390"/>
      <c r="CK4" s="390"/>
      <c r="CL4" s="390"/>
      <c r="CM4" s="390"/>
      <c r="CN4" s="390"/>
      <c r="CO4" s="390"/>
      <c r="CP4" s="390"/>
      <c r="CQ4" s="390"/>
      <c r="CR4" s="390"/>
      <c r="CS4" s="390"/>
      <c r="CT4" s="390"/>
      <c r="CU4" s="390"/>
      <c r="CV4" s="390"/>
      <c r="CW4" s="390"/>
      <c r="CX4" s="390"/>
      <c r="CY4" s="390"/>
      <c r="CZ4" s="390"/>
      <c r="DA4" s="390"/>
    </row>
    <row r="5" spans="1:105" ht="18.5">
      <c r="A5" s="393" t="s">
        <v>284</v>
      </c>
      <c r="B5" s="464">
        <f>+B3+55</f>
        <v>46172</v>
      </c>
      <c r="C5" s="465">
        <f>+C4+55</f>
        <v>46210</v>
      </c>
      <c r="D5" s="461"/>
      <c r="E5" s="387"/>
      <c r="F5" s="387"/>
      <c r="G5" s="387"/>
      <c r="H5" s="387"/>
      <c r="I5" s="387"/>
      <c r="J5" s="387"/>
      <c r="K5" s="387"/>
      <c r="L5" s="387"/>
      <c r="M5" s="387"/>
      <c r="N5" s="387"/>
      <c r="O5" s="387"/>
      <c r="P5" s="387"/>
      <c r="Q5" s="387"/>
      <c r="R5" s="388"/>
      <c r="S5" s="388"/>
      <c r="T5" s="388"/>
      <c r="U5" s="387"/>
      <c r="V5" s="387"/>
      <c r="W5" s="387"/>
      <c r="X5" s="387"/>
      <c r="Y5" s="387"/>
      <c r="Z5" s="387"/>
      <c r="AA5" s="387"/>
      <c r="AB5" s="387"/>
      <c r="AC5" s="387"/>
      <c r="AD5" s="387"/>
      <c r="AE5" s="387"/>
      <c r="AF5" s="388"/>
      <c r="AG5" s="389"/>
      <c r="AH5" s="389"/>
      <c r="AI5" s="389"/>
      <c r="AJ5" s="389"/>
      <c r="AK5" s="389"/>
      <c r="AL5" s="388"/>
      <c r="AM5" s="388"/>
      <c r="AN5" s="388"/>
      <c r="AO5" s="388"/>
      <c r="AP5" s="388"/>
      <c r="AQ5" s="388"/>
      <c r="AR5" s="388"/>
      <c r="AS5" s="388"/>
      <c r="AT5" s="388"/>
      <c r="AU5" s="388"/>
      <c r="AV5" s="388"/>
      <c r="AW5" s="388"/>
      <c r="AX5" s="388"/>
      <c r="AY5" s="388"/>
      <c r="AZ5" s="388"/>
      <c r="BA5" s="390"/>
      <c r="BB5" s="390"/>
      <c r="BC5" s="390"/>
      <c r="BD5" s="390"/>
      <c r="BE5" s="390"/>
      <c r="BF5" s="390"/>
      <c r="BG5" s="390"/>
      <c r="BH5" s="390"/>
      <c r="BI5" s="390"/>
      <c r="BJ5" s="390"/>
      <c r="BK5" s="390"/>
      <c r="BL5" s="390"/>
      <c r="CJ5" s="390"/>
      <c r="CK5" s="390"/>
      <c r="CL5" s="390"/>
      <c r="CM5" s="390"/>
      <c r="CN5" s="390"/>
      <c r="CO5" s="390"/>
      <c r="CP5" s="390"/>
      <c r="CQ5" s="390"/>
      <c r="CR5" s="390"/>
      <c r="CS5" s="390"/>
      <c r="CT5" s="390"/>
      <c r="CU5" s="390"/>
      <c r="CV5" s="390"/>
      <c r="CW5" s="390"/>
      <c r="CX5" s="390"/>
      <c r="CY5" s="390"/>
      <c r="CZ5" s="390"/>
      <c r="DA5" s="390"/>
    </row>
    <row r="6" spans="1:105" ht="18.5">
      <c r="A6" s="393" t="s">
        <v>283</v>
      </c>
      <c r="B6" s="464">
        <f>+B5+45</f>
        <v>46217</v>
      </c>
      <c r="C6" s="465">
        <f>+C5+65</f>
        <v>46275</v>
      </c>
      <c r="D6" s="461"/>
      <c r="E6" s="387"/>
      <c r="F6" s="387"/>
      <c r="G6" s="387"/>
      <c r="H6" s="387"/>
      <c r="I6" s="387"/>
      <c r="J6" s="387"/>
      <c r="K6" s="387"/>
      <c r="L6" s="387"/>
      <c r="M6" s="387"/>
      <c r="N6" s="387"/>
      <c r="O6" s="387"/>
      <c r="P6" s="387"/>
      <c r="Q6" s="387"/>
      <c r="R6" s="388"/>
      <c r="S6" s="388"/>
      <c r="T6" s="388"/>
      <c r="U6" s="387"/>
      <c r="V6" s="387"/>
      <c r="W6" s="387"/>
      <c r="X6" s="387"/>
      <c r="Y6" s="387"/>
      <c r="Z6" s="387"/>
      <c r="AA6" s="387"/>
      <c r="AB6" s="387"/>
      <c r="AC6" s="387"/>
      <c r="AD6" s="387"/>
      <c r="AE6" s="387"/>
      <c r="AF6" s="388"/>
      <c r="AG6" s="389"/>
      <c r="AH6" s="389"/>
      <c r="AI6" s="389"/>
      <c r="AJ6" s="389"/>
      <c r="AK6" s="389"/>
      <c r="AL6" s="388"/>
      <c r="AM6" s="388"/>
      <c r="AN6" s="388"/>
      <c r="AO6" s="388"/>
      <c r="AP6" s="388"/>
      <c r="AQ6" s="388"/>
      <c r="AR6" s="388"/>
      <c r="AS6" s="388"/>
      <c r="AT6" s="388"/>
      <c r="AU6" s="388"/>
      <c r="AV6" s="388"/>
      <c r="AW6" s="388"/>
      <c r="AX6" s="388"/>
      <c r="AY6" s="388"/>
      <c r="AZ6" s="388"/>
      <c r="BA6" s="390"/>
      <c r="BB6" s="390"/>
      <c r="BC6" s="390"/>
      <c r="BD6" s="390"/>
      <c r="BE6" s="390"/>
      <c r="BF6" s="390"/>
      <c r="BG6" s="390"/>
      <c r="BH6" s="390"/>
      <c r="BI6" s="390"/>
      <c r="BJ6" s="390"/>
      <c r="BK6" s="390"/>
      <c r="BL6" s="390"/>
      <c r="CJ6" s="390"/>
      <c r="CK6" s="390"/>
      <c r="CL6" s="390"/>
      <c r="CM6" s="390"/>
      <c r="CN6" s="390"/>
      <c r="CO6" s="390"/>
      <c r="CP6" s="390"/>
      <c r="CQ6" s="390"/>
      <c r="CR6" s="390"/>
      <c r="CS6" s="390"/>
      <c r="CT6" s="390"/>
      <c r="CU6" s="390"/>
      <c r="CV6" s="390"/>
      <c r="CW6" s="390"/>
      <c r="CX6" s="390"/>
      <c r="CY6" s="390"/>
      <c r="CZ6" s="390"/>
      <c r="DA6" s="390"/>
    </row>
    <row r="7" spans="1:105" ht="18.5">
      <c r="A7" s="393" t="s">
        <v>285</v>
      </c>
      <c r="B7" s="464">
        <f>+B5+65</f>
        <v>46237</v>
      </c>
      <c r="C7" s="465">
        <f>+C5+65</f>
        <v>46275</v>
      </c>
      <c r="D7" s="461"/>
      <c r="E7" s="387"/>
      <c r="F7" s="387"/>
      <c r="G7" s="387"/>
      <c r="H7" s="387"/>
      <c r="I7" s="387"/>
      <c r="J7" s="387"/>
      <c r="K7" s="387"/>
      <c r="L7" s="387"/>
      <c r="M7" s="387"/>
      <c r="N7" s="387"/>
      <c r="O7" s="387"/>
      <c r="P7" s="387"/>
      <c r="Q7" s="387"/>
      <c r="R7" s="388"/>
      <c r="S7" s="388"/>
      <c r="T7" s="388"/>
      <c r="U7" s="387"/>
      <c r="V7" s="387"/>
      <c r="W7" s="387"/>
      <c r="X7" s="387"/>
      <c r="Y7" s="387"/>
      <c r="Z7" s="387"/>
      <c r="AA7" s="387"/>
      <c r="AB7" s="387"/>
      <c r="AC7" s="387"/>
      <c r="AD7" s="387"/>
      <c r="AE7" s="387"/>
      <c r="AF7" s="388"/>
      <c r="AG7" s="389"/>
      <c r="AH7" s="389"/>
      <c r="AI7" s="389"/>
      <c r="AJ7" s="389"/>
      <c r="AK7" s="389"/>
      <c r="AL7" s="388"/>
      <c r="AM7" s="388"/>
      <c r="AN7" s="388"/>
      <c r="AO7" s="388"/>
      <c r="AP7" s="388"/>
      <c r="AQ7" s="388"/>
      <c r="AR7" s="388"/>
      <c r="AS7" s="388"/>
      <c r="AT7" s="388"/>
      <c r="AU7" s="388"/>
      <c r="AV7" s="388"/>
      <c r="AW7" s="388"/>
      <c r="AX7" s="388"/>
      <c r="AY7" s="388"/>
      <c r="AZ7" s="388"/>
      <c r="BA7" s="390"/>
      <c r="BB7" s="390"/>
      <c r="BC7" s="390"/>
      <c r="BD7" s="390"/>
      <c r="BE7" s="390"/>
      <c r="BF7" s="390"/>
      <c r="BG7" s="390"/>
      <c r="BH7" s="390"/>
      <c r="BI7" s="390"/>
      <c r="BJ7" s="390"/>
      <c r="BK7" s="390"/>
      <c r="BL7" s="390"/>
      <c r="CJ7" s="390"/>
      <c r="CK7" s="390"/>
      <c r="CL7" s="390"/>
      <c r="CM7" s="390"/>
      <c r="CN7" s="390"/>
      <c r="CO7" s="390"/>
      <c r="CP7" s="390"/>
      <c r="CQ7" s="390"/>
      <c r="CR7" s="390"/>
      <c r="CS7" s="390"/>
      <c r="CT7" s="390"/>
      <c r="CU7" s="390"/>
      <c r="CV7" s="390"/>
      <c r="CW7" s="390"/>
      <c r="CX7" s="390"/>
      <c r="CY7" s="390"/>
      <c r="CZ7" s="390"/>
      <c r="DA7" s="390"/>
    </row>
    <row r="8" spans="1:105" ht="18.5">
      <c r="A8" s="395" t="s">
        <v>286</v>
      </c>
      <c r="B8" s="466">
        <f>+B7+7</f>
        <v>46244</v>
      </c>
      <c r="C8" s="467">
        <f>+C7+7</f>
        <v>46282</v>
      </c>
      <c r="D8" s="461"/>
      <c r="E8" s="387"/>
      <c r="F8" s="387"/>
      <c r="G8" s="387"/>
      <c r="H8" s="387"/>
      <c r="I8" s="387"/>
      <c r="J8" s="387"/>
      <c r="K8" s="387"/>
      <c r="L8" s="387"/>
      <c r="M8" s="387"/>
      <c r="N8" s="387"/>
      <c r="O8" s="387"/>
      <c r="P8" s="387"/>
      <c r="Q8" s="387"/>
      <c r="R8" s="388"/>
      <c r="S8" s="388"/>
      <c r="T8" s="388"/>
      <c r="U8" s="387"/>
      <c r="V8" s="387"/>
      <c r="W8" s="387"/>
      <c r="X8" s="387"/>
      <c r="Y8" s="387"/>
      <c r="Z8" s="387"/>
      <c r="AA8" s="387"/>
      <c r="AB8" s="387"/>
      <c r="AC8" s="387"/>
      <c r="AD8" s="387"/>
      <c r="AE8" s="387"/>
      <c r="AF8" s="388"/>
      <c r="AG8" s="389"/>
      <c r="AH8" s="389"/>
      <c r="AI8" s="389"/>
      <c r="AJ8" s="389"/>
      <c r="AK8" s="389"/>
      <c r="AL8" s="388"/>
      <c r="AM8" s="388"/>
      <c r="AN8" s="388"/>
      <c r="AO8" s="388"/>
      <c r="AP8" s="388"/>
      <c r="AQ8" s="388"/>
      <c r="AR8" s="388"/>
      <c r="AS8" s="388"/>
      <c r="AT8" s="388"/>
      <c r="AU8" s="388"/>
      <c r="AV8" s="388"/>
      <c r="AW8" s="388"/>
      <c r="AX8" s="388"/>
      <c r="AY8" s="388"/>
      <c r="AZ8" s="388"/>
      <c r="BA8" s="390"/>
      <c r="BB8" s="390"/>
      <c r="BC8" s="390"/>
      <c r="BD8" s="390"/>
      <c r="BE8" s="390"/>
      <c r="BF8" s="390"/>
      <c r="BG8" s="390"/>
      <c r="BH8" s="390"/>
      <c r="BI8" s="390"/>
      <c r="BJ8" s="390"/>
      <c r="BK8" s="390"/>
      <c r="BL8" s="390"/>
      <c r="CJ8" s="390"/>
      <c r="CK8" s="390"/>
      <c r="CL8" s="390"/>
      <c r="CM8" s="390"/>
      <c r="CN8" s="390"/>
      <c r="CO8" s="390"/>
      <c r="CP8" s="390"/>
      <c r="CQ8" s="390"/>
      <c r="CR8" s="390"/>
      <c r="CS8" s="390"/>
      <c r="CT8" s="390"/>
      <c r="CU8" s="390"/>
      <c r="CV8" s="390"/>
      <c r="CW8" s="390"/>
      <c r="CX8" s="390"/>
      <c r="CY8" s="390"/>
      <c r="CZ8" s="390"/>
      <c r="DA8" s="390"/>
    </row>
    <row r="9" spans="1:105" s="388" customFormat="1" ht="18">
      <c r="A9" s="387"/>
      <c r="B9" s="387"/>
      <c r="C9" s="387"/>
      <c r="D9" s="387"/>
      <c r="E9" s="387"/>
      <c r="F9" s="387"/>
      <c r="G9" s="387"/>
      <c r="H9" s="387"/>
      <c r="I9" s="387"/>
      <c r="J9" s="387"/>
      <c r="K9" s="387"/>
      <c r="L9" s="387"/>
      <c r="M9" s="387"/>
      <c r="N9" s="387"/>
      <c r="O9" s="387"/>
      <c r="P9" s="387"/>
      <c r="Q9" s="387"/>
      <c r="R9" s="387"/>
      <c r="S9" s="387"/>
      <c r="T9" s="387"/>
      <c r="U9" s="387"/>
      <c r="V9" s="387"/>
      <c r="W9" s="387"/>
      <c r="X9" s="387"/>
      <c r="Y9" s="387"/>
      <c r="Z9" s="387"/>
      <c r="AA9" s="387"/>
      <c r="AB9" s="387"/>
      <c r="AC9" s="387"/>
      <c r="AD9" s="387"/>
      <c r="AE9" s="387"/>
      <c r="AG9" s="389"/>
      <c r="AH9" s="389"/>
      <c r="AI9" s="389"/>
      <c r="AJ9" s="389"/>
      <c r="AK9" s="389"/>
      <c r="BA9" s="390"/>
      <c r="BB9" s="390"/>
      <c r="BC9" s="390"/>
      <c r="BD9" s="390"/>
      <c r="BE9" s="390"/>
      <c r="BF9" s="390"/>
      <c r="BG9" s="390"/>
      <c r="BH9" s="390"/>
      <c r="BI9" s="390"/>
      <c r="BJ9" s="390"/>
      <c r="BK9" s="390"/>
      <c r="BL9" s="390"/>
      <c r="BR9" s="471"/>
      <c r="BS9" s="471"/>
      <c r="BT9" s="471"/>
      <c r="CJ9" s="390"/>
      <c r="CK9" s="390"/>
      <c r="CL9" s="390"/>
      <c r="CM9" s="390"/>
      <c r="CN9" s="390"/>
      <c r="CO9" s="390"/>
      <c r="CP9" s="390"/>
      <c r="CQ9" s="390"/>
      <c r="CR9" s="390"/>
      <c r="CS9" s="390"/>
      <c r="CT9" s="390"/>
      <c r="CU9" s="390"/>
      <c r="CV9" s="390"/>
      <c r="CW9" s="390"/>
      <c r="CX9" s="390"/>
      <c r="CY9" s="390"/>
      <c r="CZ9" s="390"/>
      <c r="DA9" s="390"/>
    </row>
    <row r="10" spans="1:105" s="388" customFormat="1" ht="18">
      <c r="A10" s="387"/>
      <c r="B10" s="387"/>
      <c r="C10" s="387"/>
      <c r="D10" s="387"/>
      <c r="E10" s="387"/>
      <c r="F10" s="387"/>
      <c r="G10" s="387"/>
      <c r="H10" s="387"/>
      <c r="I10" s="387"/>
      <c r="J10" s="387"/>
      <c r="K10" s="387"/>
      <c r="L10" s="387"/>
      <c r="M10" s="387"/>
      <c r="N10" s="387"/>
      <c r="O10" s="387"/>
      <c r="P10" s="387"/>
      <c r="Q10" s="387"/>
      <c r="R10" s="387"/>
      <c r="S10" s="387"/>
      <c r="T10" s="387"/>
      <c r="U10" s="387"/>
      <c r="V10" s="387"/>
      <c r="W10" s="387"/>
      <c r="X10" s="387"/>
      <c r="Y10" s="387"/>
      <c r="Z10" s="387"/>
      <c r="AA10" s="387"/>
      <c r="AB10" s="387"/>
      <c r="AC10" s="387"/>
      <c r="AD10" s="387"/>
      <c r="AE10" s="387"/>
      <c r="AG10" s="389"/>
      <c r="AH10" s="389"/>
      <c r="AI10" s="389"/>
      <c r="AJ10" s="389"/>
      <c r="AK10" s="389"/>
      <c r="BA10" s="390"/>
      <c r="BB10" s="390"/>
      <c r="BC10" s="390"/>
      <c r="BD10" s="390"/>
      <c r="BE10" s="390"/>
      <c r="BF10" s="390"/>
      <c r="BG10" s="390"/>
      <c r="BH10" s="390"/>
      <c r="BI10" s="390"/>
      <c r="BJ10" s="390"/>
      <c r="BK10" s="390"/>
      <c r="BL10" s="390"/>
      <c r="BR10" s="471"/>
      <c r="BS10" s="471"/>
      <c r="BT10" s="471"/>
      <c r="CJ10" s="390"/>
      <c r="CK10" s="390"/>
      <c r="CL10" s="390"/>
      <c r="CM10" s="390"/>
      <c r="CN10" s="390"/>
      <c r="CO10" s="390"/>
      <c r="CP10" s="390"/>
      <c r="CQ10" s="390"/>
      <c r="CR10" s="390"/>
      <c r="CS10" s="390"/>
      <c r="CT10" s="390"/>
      <c r="CU10" s="390"/>
      <c r="CV10" s="390"/>
      <c r="CW10" s="390"/>
      <c r="CX10" s="390"/>
      <c r="CY10" s="390"/>
      <c r="CZ10" s="390"/>
      <c r="DA10" s="390"/>
    </row>
    <row r="11" spans="1:105" s="388" customFormat="1" ht="18">
      <c r="A11" s="387"/>
      <c r="B11" s="387"/>
      <c r="C11" s="387"/>
      <c r="D11" s="387"/>
      <c r="E11" s="387"/>
      <c r="F11" s="387"/>
      <c r="G11" s="387"/>
      <c r="H11" s="387"/>
      <c r="I11" s="387"/>
      <c r="J11" s="387"/>
      <c r="K11" s="387"/>
      <c r="L11" s="387"/>
      <c r="M11" s="387"/>
      <c r="N11" s="387"/>
      <c r="O11" s="387"/>
      <c r="P11" s="387"/>
      <c r="Q11" s="387"/>
      <c r="R11" s="387"/>
      <c r="S11" s="387"/>
      <c r="T11" s="387"/>
      <c r="U11" s="387"/>
      <c r="V11" s="387"/>
      <c r="W11" s="387"/>
      <c r="X11" s="387"/>
      <c r="Y11" s="387"/>
      <c r="Z11" s="387"/>
      <c r="AA11" s="387"/>
      <c r="AB11" s="387"/>
      <c r="AC11" s="387"/>
      <c r="AD11" s="387"/>
      <c r="AE11" s="387"/>
      <c r="AG11" s="389"/>
      <c r="AH11" s="389"/>
      <c r="AI11" s="389"/>
      <c r="AJ11" s="389"/>
      <c r="AK11" s="389"/>
      <c r="BA11" s="390"/>
      <c r="BB11" s="390"/>
      <c r="BC11" s="390"/>
      <c r="BD11" s="390"/>
      <c r="BE11" s="390"/>
      <c r="BF11" s="390"/>
      <c r="BG11" s="390"/>
      <c r="BH11" s="390"/>
      <c r="BI11" s="390"/>
      <c r="BJ11" s="390"/>
      <c r="BK11" s="390"/>
      <c r="BL11" s="390"/>
      <c r="BR11" s="471"/>
      <c r="BS11" s="471"/>
      <c r="BT11" s="471"/>
      <c r="CJ11" s="390"/>
      <c r="CK11" s="390"/>
      <c r="CL11" s="390"/>
      <c r="CM11" s="390"/>
      <c r="CN11" s="390"/>
      <c r="CO11" s="390"/>
      <c r="CP11" s="390"/>
      <c r="CQ11" s="390"/>
      <c r="CR11" s="390"/>
      <c r="CS11" s="390"/>
      <c r="CT11" s="390"/>
      <c r="CU11" s="390"/>
      <c r="CV11" s="390"/>
      <c r="CW11" s="390"/>
      <c r="CX11" s="390"/>
      <c r="CY11" s="390"/>
      <c r="CZ11" s="390"/>
      <c r="DA11" s="390"/>
    </row>
    <row r="12" spans="1:105" s="388" customFormat="1" ht="18">
      <c r="A12" s="387"/>
      <c r="B12" s="387"/>
      <c r="C12" s="387"/>
      <c r="D12" s="387"/>
      <c r="E12" s="387"/>
      <c r="F12" s="387"/>
      <c r="G12" s="387"/>
      <c r="H12" s="387"/>
      <c r="I12" s="387"/>
      <c r="J12" s="387"/>
      <c r="K12" s="387"/>
      <c r="L12" s="387"/>
      <c r="M12" s="387"/>
      <c r="N12" s="387"/>
      <c r="O12" s="387"/>
      <c r="P12" s="387"/>
      <c r="Q12" s="387"/>
      <c r="R12" s="387"/>
      <c r="S12" s="387"/>
      <c r="T12" s="387"/>
      <c r="U12" s="387"/>
      <c r="V12" s="387"/>
      <c r="W12" s="387"/>
      <c r="X12" s="387"/>
      <c r="Y12" s="387"/>
      <c r="Z12" s="387"/>
      <c r="AA12" s="387"/>
      <c r="AB12" s="387"/>
      <c r="AC12" s="387"/>
      <c r="AD12" s="387"/>
      <c r="AE12" s="387"/>
      <c r="AG12" s="389"/>
      <c r="AH12" s="389"/>
      <c r="AI12" s="389"/>
      <c r="AJ12" s="389"/>
      <c r="AK12" s="389"/>
      <c r="BA12" s="390"/>
      <c r="BB12" s="390"/>
      <c r="BC12" s="390"/>
      <c r="BD12" s="390"/>
      <c r="BE12" s="390"/>
      <c r="BF12" s="390"/>
      <c r="BG12" s="390"/>
      <c r="BH12" s="390"/>
      <c r="BI12" s="390"/>
      <c r="BJ12" s="390"/>
      <c r="BK12" s="390"/>
      <c r="BL12" s="390"/>
      <c r="BR12" s="471"/>
      <c r="BS12" s="471"/>
      <c r="BT12" s="471"/>
      <c r="CJ12" s="390"/>
      <c r="CK12" s="390"/>
      <c r="CL12" s="390"/>
      <c r="CM12" s="390"/>
      <c r="CN12" s="390"/>
      <c r="CO12" s="390"/>
      <c r="CP12" s="390"/>
      <c r="CQ12" s="390"/>
      <c r="CR12" s="390"/>
      <c r="CS12" s="390"/>
      <c r="CT12" s="390"/>
      <c r="CU12" s="390"/>
      <c r="CV12" s="390"/>
      <c r="CW12" s="390"/>
      <c r="CX12" s="390"/>
      <c r="CY12" s="390"/>
      <c r="CZ12" s="390"/>
      <c r="DA12" s="390"/>
    </row>
    <row r="13" spans="1:105" s="388" customFormat="1" ht="18">
      <c r="A13" s="387"/>
      <c r="B13" s="387"/>
      <c r="C13" s="387"/>
      <c r="D13" s="387"/>
      <c r="E13" s="387"/>
      <c r="F13" s="387"/>
      <c r="G13" s="387"/>
      <c r="H13" s="387"/>
      <c r="I13" s="387"/>
      <c r="J13" s="387"/>
      <c r="K13" s="387"/>
      <c r="L13" s="387"/>
      <c r="M13" s="387"/>
      <c r="N13" s="387"/>
      <c r="O13" s="387"/>
      <c r="P13" s="387"/>
      <c r="Q13" s="387"/>
      <c r="R13" s="387"/>
      <c r="S13" s="387"/>
      <c r="T13" s="387"/>
      <c r="U13" s="387"/>
      <c r="V13" s="387"/>
      <c r="W13" s="387"/>
      <c r="X13" s="387"/>
      <c r="Y13" s="387"/>
      <c r="Z13" s="387"/>
      <c r="AA13" s="387"/>
      <c r="AB13" s="387"/>
      <c r="AC13" s="387"/>
      <c r="AD13" s="387"/>
      <c r="AE13" s="387"/>
      <c r="AG13" s="389"/>
      <c r="AH13" s="389"/>
      <c r="AI13" s="389"/>
      <c r="AJ13" s="389"/>
      <c r="AK13" s="389"/>
      <c r="BA13" s="390"/>
      <c r="BB13" s="390"/>
      <c r="BC13" s="390"/>
      <c r="BD13" s="390"/>
      <c r="BE13" s="390"/>
      <c r="BF13" s="390"/>
      <c r="BG13" s="390"/>
      <c r="BH13" s="390"/>
      <c r="BI13" s="390"/>
      <c r="BJ13" s="390"/>
      <c r="BK13" s="390"/>
      <c r="BL13" s="390"/>
      <c r="BR13" s="471"/>
      <c r="BS13" s="471"/>
      <c r="BT13" s="471"/>
    </row>
    <row r="14" spans="1:105" s="388" customFormat="1" ht="35.15" customHeight="1">
      <c r="A14" s="387"/>
      <c r="B14" s="387"/>
      <c r="C14" s="387"/>
      <c r="D14" s="387"/>
      <c r="E14" s="387"/>
      <c r="F14" s="387"/>
      <c r="G14" s="387"/>
      <c r="H14" s="387"/>
      <c r="I14" s="387"/>
      <c r="J14" s="387"/>
      <c r="K14" s="387"/>
      <c r="L14" s="387"/>
      <c r="M14" s="387"/>
      <c r="N14" s="387"/>
      <c r="O14" s="387"/>
      <c r="P14" s="387"/>
      <c r="Q14" s="387"/>
      <c r="R14" s="387"/>
      <c r="S14" s="387"/>
      <c r="T14" s="387"/>
      <c r="U14" s="387"/>
      <c r="V14" s="387"/>
      <c r="W14" s="387"/>
      <c r="X14" s="387"/>
      <c r="Y14" s="387"/>
      <c r="Z14" s="387"/>
      <c r="AA14" s="387"/>
      <c r="AB14" s="387"/>
      <c r="AC14" s="387"/>
      <c r="AD14" s="387"/>
      <c r="AE14" s="387"/>
      <c r="AG14" s="389"/>
      <c r="AH14" s="389"/>
      <c r="AI14" s="389"/>
      <c r="AJ14" s="389"/>
      <c r="AK14" s="389"/>
      <c r="BA14" s="390"/>
      <c r="BB14" s="390"/>
      <c r="BC14" s="390"/>
      <c r="BD14" s="390"/>
      <c r="BE14" s="390"/>
      <c r="BF14" s="390"/>
      <c r="BG14" s="390"/>
      <c r="BH14" s="390"/>
      <c r="BI14" s="390"/>
      <c r="BJ14" s="390"/>
      <c r="BK14" s="390"/>
      <c r="BL14" s="390"/>
      <c r="BR14" s="471"/>
      <c r="BS14" s="471"/>
      <c r="BT14" s="471"/>
      <c r="CJ14" s="528" t="s">
        <v>0</v>
      </c>
      <c r="CK14" s="529"/>
      <c r="CL14" s="529"/>
      <c r="CM14" s="529"/>
      <c r="CN14" s="529"/>
      <c r="CO14" s="529"/>
      <c r="CP14" s="529"/>
      <c r="CQ14" s="529"/>
      <c r="CR14" s="529"/>
      <c r="CS14" s="529"/>
      <c r="CT14" s="529"/>
      <c r="CU14" s="529"/>
      <c r="CV14" s="529"/>
      <c r="CW14" s="529"/>
      <c r="CX14" s="529"/>
      <c r="CY14" s="529"/>
      <c r="CZ14" s="529"/>
      <c r="DA14" s="529"/>
    </row>
    <row r="15" spans="1:105" s="388" customFormat="1" ht="54">
      <c r="A15" s="387"/>
      <c r="B15" s="387"/>
      <c r="C15" s="387"/>
      <c r="D15" s="387"/>
      <c r="E15" s="387"/>
      <c r="F15" s="387"/>
      <c r="G15" s="387"/>
      <c r="H15" s="387"/>
      <c r="I15" s="387"/>
      <c r="J15" s="387"/>
      <c r="K15" s="387"/>
      <c r="L15" s="387"/>
      <c r="M15" s="387"/>
      <c r="N15" s="387"/>
      <c r="O15" s="387"/>
      <c r="P15" s="387">
        <v>18.5</v>
      </c>
      <c r="Q15" s="387"/>
      <c r="R15" s="387"/>
      <c r="S15" s="387"/>
      <c r="T15" s="387"/>
      <c r="U15" s="387"/>
      <c r="V15" s="387"/>
      <c r="W15" s="387"/>
      <c r="X15" s="387"/>
      <c r="Y15" s="387"/>
      <c r="Z15" s="387"/>
      <c r="AA15" s="387"/>
      <c r="AB15" s="387"/>
      <c r="AC15" s="387"/>
      <c r="AD15" s="387"/>
      <c r="AE15" s="387"/>
      <c r="AG15" s="389"/>
      <c r="AH15" s="389"/>
      <c r="AI15" s="389"/>
      <c r="AJ15" s="389"/>
      <c r="AK15" s="389"/>
      <c r="BA15" s="390"/>
      <c r="BB15" s="390"/>
      <c r="BC15" s="390"/>
      <c r="BD15" s="390"/>
      <c r="BE15" s="390"/>
      <c r="BF15" s="390"/>
      <c r="BG15" s="390"/>
      <c r="BH15" s="390"/>
      <c r="BI15" s="390"/>
      <c r="BJ15" s="390"/>
      <c r="BK15" s="390"/>
      <c r="BL15" s="390"/>
      <c r="BR15" s="471"/>
      <c r="BS15" s="471"/>
      <c r="BT15" s="471"/>
      <c r="CJ15" s="396" t="s">
        <v>1</v>
      </c>
      <c r="CK15" s="396"/>
      <c r="CL15" s="396" t="s">
        <v>1369</v>
      </c>
      <c r="CM15" s="396"/>
      <c r="CN15" s="396" t="s">
        <v>3</v>
      </c>
      <c r="CO15" s="396"/>
      <c r="CP15" s="396" t="s">
        <v>4</v>
      </c>
      <c r="CQ15" s="396"/>
      <c r="CR15" s="396" t="s">
        <v>5</v>
      </c>
      <c r="CS15" s="396"/>
      <c r="CT15" s="396" t="s">
        <v>6</v>
      </c>
      <c r="CU15" s="396"/>
      <c r="CV15" s="396" t="s">
        <v>7</v>
      </c>
      <c r="CW15" s="396"/>
      <c r="CX15" s="396" t="s">
        <v>8</v>
      </c>
      <c r="CY15" s="396"/>
      <c r="CZ15" s="396" t="s">
        <v>9</v>
      </c>
      <c r="DA15" s="396"/>
    </row>
    <row r="16" spans="1:105" ht="90">
      <c r="A16" s="397" t="s">
        <v>10</v>
      </c>
      <c r="B16" s="397" t="s">
        <v>11</v>
      </c>
      <c r="C16" s="397" t="s">
        <v>12</v>
      </c>
      <c r="D16" s="397" t="s">
        <v>13</v>
      </c>
      <c r="E16" s="397" t="s">
        <v>14</v>
      </c>
      <c r="F16" s="397" t="s">
        <v>15</v>
      </c>
      <c r="G16" s="397" t="s">
        <v>16</v>
      </c>
      <c r="H16" s="397" t="s">
        <v>17</v>
      </c>
      <c r="I16" s="397" t="s">
        <v>18</v>
      </c>
      <c r="J16" s="397" t="s">
        <v>19</v>
      </c>
      <c r="K16" s="397" t="s">
        <v>20</v>
      </c>
      <c r="L16" s="397" t="s">
        <v>1051</v>
      </c>
      <c r="M16" s="397" t="s">
        <v>41</v>
      </c>
      <c r="N16" s="397" t="s">
        <v>23</v>
      </c>
      <c r="O16" s="397" t="s">
        <v>24</v>
      </c>
      <c r="P16" s="397" t="s">
        <v>679</v>
      </c>
      <c r="Q16" s="397" t="s">
        <v>1057</v>
      </c>
      <c r="R16" s="397" t="s">
        <v>27</v>
      </c>
      <c r="S16" s="397" t="s">
        <v>28</v>
      </c>
      <c r="T16" s="397" t="s">
        <v>30</v>
      </c>
      <c r="U16" s="397" t="s">
        <v>1058</v>
      </c>
      <c r="V16" s="397" t="s">
        <v>31</v>
      </c>
      <c r="W16" s="398" t="s">
        <v>32</v>
      </c>
      <c r="X16" s="398" t="s">
        <v>33</v>
      </c>
      <c r="Y16" s="398" t="s">
        <v>34</v>
      </c>
      <c r="Z16" s="397" t="s">
        <v>35</v>
      </c>
      <c r="AA16" s="397" t="s">
        <v>36</v>
      </c>
      <c r="AB16" s="397" t="s">
        <v>1059</v>
      </c>
      <c r="AC16" s="397" t="s">
        <v>1060</v>
      </c>
      <c r="AD16" s="397" t="s">
        <v>39</v>
      </c>
      <c r="AG16" s="399" t="s">
        <v>30</v>
      </c>
      <c r="AH16" s="399" t="s">
        <v>31</v>
      </c>
      <c r="AI16" s="399" t="s">
        <v>32</v>
      </c>
      <c r="AJ16" s="399" t="s">
        <v>33</v>
      </c>
      <c r="AK16" s="399" t="s">
        <v>300</v>
      </c>
      <c r="BA16" s="400" t="s">
        <v>40</v>
      </c>
      <c r="BB16" s="400" t="s">
        <v>41</v>
      </c>
      <c r="BC16" s="400" t="s">
        <v>42</v>
      </c>
      <c r="BD16" s="400" t="s">
        <v>43</v>
      </c>
      <c r="BE16" s="400" t="s">
        <v>44</v>
      </c>
      <c r="BF16" s="400" t="s">
        <v>45</v>
      </c>
      <c r="BG16" s="400" t="s">
        <v>46</v>
      </c>
      <c r="BH16" s="401" t="s">
        <v>47</v>
      </c>
      <c r="BI16" s="400" t="s">
        <v>48</v>
      </c>
      <c r="BJ16" s="400" t="s">
        <v>49</v>
      </c>
      <c r="BK16" s="400" t="s">
        <v>13</v>
      </c>
      <c r="BL16" s="400" t="s">
        <v>50</v>
      </c>
      <c r="BR16" s="402" t="s">
        <v>38</v>
      </c>
      <c r="BS16" s="402" t="s">
        <v>39</v>
      </c>
      <c r="BT16" s="402" t="s">
        <v>53</v>
      </c>
      <c r="CJ16" s="403" t="s">
        <v>54</v>
      </c>
      <c r="CK16" s="403" t="s">
        <v>55</v>
      </c>
      <c r="CL16" s="403" t="s">
        <v>54</v>
      </c>
      <c r="CM16" s="403" t="s">
        <v>55</v>
      </c>
      <c r="CN16" s="403" t="s">
        <v>54</v>
      </c>
      <c r="CO16" s="403" t="s">
        <v>55</v>
      </c>
      <c r="CP16" s="403" t="s">
        <v>54</v>
      </c>
      <c r="CQ16" s="403" t="s">
        <v>55</v>
      </c>
      <c r="CR16" s="403" t="s">
        <v>54</v>
      </c>
      <c r="CS16" s="403" t="s">
        <v>55</v>
      </c>
      <c r="CT16" s="403" t="s">
        <v>54</v>
      </c>
      <c r="CU16" s="403" t="s">
        <v>55</v>
      </c>
      <c r="CV16" s="403" t="s">
        <v>54</v>
      </c>
      <c r="CW16" s="403" t="s">
        <v>55</v>
      </c>
      <c r="CX16" s="403" t="s">
        <v>54</v>
      </c>
      <c r="CY16" s="403" t="s">
        <v>55</v>
      </c>
      <c r="CZ16" s="403" t="s">
        <v>54</v>
      </c>
      <c r="DA16" s="403" t="s">
        <v>55</v>
      </c>
    </row>
    <row r="17" spans="1:105" ht="69" customHeight="1">
      <c r="A17" s="404">
        <v>1</v>
      </c>
      <c r="B17" s="468">
        <v>46266</v>
      </c>
      <c r="C17" s="468">
        <v>46266</v>
      </c>
      <c r="D17" s="406" t="s">
        <v>163</v>
      </c>
      <c r="E17" s="469">
        <v>7502327991816</v>
      </c>
      <c r="F17" s="406" t="s">
        <v>1370</v>
      </c>
      <c r="G17" s="405" t="s">
        <v>1371</v>
      </c>
      <c r="H17" s="406"/>
      <c r="I17" s="406" t="s">
        <v>1372</v>
      </c>
      <c r="J17" s="406" t="s">
        <v>1367</v>
      </c>
      <c r="K17" s="407" t="s">
        <v>1064</v>
      </c>
      <c r="L17" s="408">
        <v>1</v>
      </c>
      <c r="M17" s="409">
        <v>0.62</v>
      </c>
      <c r="N17" s="410" t="s">
        <v>74</v>
      </c>
      <c r="O17" s="411">
        <v>10000</v>
      </c>
      <c r="P17" s="410">
        <f>+M17*$P$15</f>
        <v>11.47</v>
      </c>
      <c r="Q17" s="410">
        <f t="shared" ref="Q17:Q23" si="0">P17*0.25</f>
        <v>2.8675000000000002</v>
      </c>
      <c r="R17" s="410">
        <f>(P17+Q17)*2.7%</f>
        <v>0.38711250000000008</v>
      </c>
      <c r="S17" s="410">
        <f t="shared" ref="S17:S52" si="1">+R17+Q17+P17</f>
        <v>14.724612500000001</v>
      </c>
      <c r="T17" s="412">
        <v>109</v>
      </c>
      <c r="U17" s="410">
        <f t="shared" ref="U17:U49" si="2">+T17/1.16</f>
        <v>93.965517241379317</v>
      </c>
      <c r="V17" s="413">
        <f t="shared" ref="V17:V49" si="3">+U17*0.6</f>
        <v>56.379310344827587</v>
      </c>
      <c r="W17" s="414">
        <f t="shared" ref="W17:W49" si="4">+S17/V17</f>
        <v>0.26117049694189604</v>
      </c>
      <c r="X17" s="415">
        <f t="shared" ref="X17:X49" si="5">1-(S17/V17)</f>
        <v>0.73882950305810402</v>
      </c>
      <c r="Y17" s="416">
        <f t="shared" ref="Y17:Y49" si="6">1-(V17/(T17/1.16))</f>
        <v>0.4</v>
      </c>
      <c r="Z17" s="417" t="s">
        <v>1373</v>
      </c>
      <c r="AA17" s="418" t="s">
        <v>1374</v>
      </c>
      <c r="AB17" s="406">
        <v>6</v>
      </c>
      <c r="AC17" s="406">
        <f>24*AB17</f>
        <v>144</v>
      </c>
      <c r="AD17" s="419">
        <v>46308</v>
      </c>
      <c r="AE17" s="420"/>
      <c r="AG17" s="421">
        <v>79</v>
      </c>
      <c r="AH17" s="422">
        <f t="shared" ref="AH17:AH49" si="7">AG17/1.16</f>
        <v>68.103448275862078</v>
      </c>
      <c r="AI17" s="423">
        <f t="shared" ref="AI17:AI49" si="8">+S17/AH17</f>
        <v>0.21620949999999997</v>
      </c>
      <c r="AJ17" s="424">
        <f t="shared" ref="AJ17:AJ49" si="9">1-(S17/AH17)</f>
        <v>0.78379050000000006</v>
      </c>
      <c r="AK17" s="425">
        <f t="shared" ref="AK17:AK49" si="10">1-(AH17/(AG17/1.16))</f>
        <v>0</v>
      </c>
      <c r="BA17" s="426">
        <v>1</v>
      </c>
      <c r="BB17" s="426">
        <v>1</v>
      </c>
      <c r="BC17" s="426">
        <v>1</v>
      </c>
      <c r="BD17" s="426">
        <v>1</v>
      </c>
      <c r="BE17" s="426">
        <v>1</v>
      </c>
      <c r="BF17" s="426">
        <v>1</v>
      </c>
      <c r="BG17" s="426">
        <v>1</v>
      </c>
      <c r="BH17" s="426"/>
      <c r="BI17" s="426"/>
      <c r="BJ17" s="426">
        <v>9</v>
      </c>
      <c r="BK17" s="426">
        <f t="shared" ref="BK17:BK49" si="11">SUM(BA17:BI17)</f>
        <v>7</v>
      </c>
      <c r="BL17" s="427">
        <f t="shared" ref="BL17:BL49" si="12">+BK17/BJ17</f>
        <v>0.77777777777777779</v>
      </c>
      <c r="BR17" s="431" t="s">
        <v>1375</v>
      </c>
      <c r="BS17" s="428">
        <f>AD17</f>
        <v>46308</v>
      </c>
      <c r="BT17" s="429" t="s">
        <v>637</v>
      </c>
      <c r="CJ17" s="430">
        <v>46156</v>
      </c>
      <c r="CK17" s="430">
        <v>46156</v>
      </c>
      <c r="CL17" s="430">
        <f>CK17+15</f>
        <v>46171</v>
      </c>
      <c r="CM17" s="430"/>
      <c r="CN17" s="430">
        <f>CL17+14</f>
        <v>46185</v>
      </c>
      <c r="CO17" s="431"/>
      <c r="CP17" s="430">
        <f>CN17+45</f>
        <v>46230</v>
      </c>
      <c r="CQ17" s="432"/>
      <c r="CR17" s="433">
        <f>CP17-12</f>
        <v>46218</v>
      </c>
      <c r="CS17" s="434"/>
      <c r="CT17" s="433">
        <f>CP17+7</f>
        <v>46237</v>
      </c>
      <c r="CU17" s="434"/>
      <c r="CV17" s="433">
        <f>CT17+7</f>
        <v>46244</v>
      </c>
      <c r="CW17" s="434"/>
      <c r="CX17" s="433">
        <f>CV17+44</f>
        <v>46288</v>
      </c>
      <c r="CY17" s="434"/>
      <c r="CZ17" s="433">
        <f>CX17+10</f>
        <v>46298</v>
      </c>
      <c r="DA17" s="434"/>
    </row>
    <row r="18" spans="1:105" ht="69" customHeight="1">
      <c r="A18" s="404">
        <v>2</v>
      </c>
      <c r="B18" s="468">
        <v>46266</v>
      </c>
      <c r="C18" s="468">
        <v>46266</v>
      </c>
      <c r="D18" s="406" t="s">
        <v>163</v>
      </c>
      <c r="E18" s="469">
        <v>7502327991823</v>
      </c>
      <c r="F18" s="406" t="s">
        <v>1376</v>
      </c>
      <c r="G18" s="405" t="s">
        <v>1377</v>
      </c>
      <c r="H18" s="393"/>
      <c r="I18" s="406" t="s">
        <v>1372</v>
      </c>
      <c r="J18" s="407" t="s">
        <v>1367</v>
      </c>
      <c r="K18" s="407" t="s">
        <v>1064</v>
      </c>
      <c r="L18" s="408">
        <v>1</v>
      </c>
      <c r="M18" s="409">
        <v>0.62</v>
      </c>
      <c r="N18" s="410" t="s">
        <v>74</v>
      </c>
      <c r="O18" s="411">
        <v>10000</v>
      </c>
      <c r="P18" s="410">
        <f t="shared" ref="P18:P52" si="13">+M18*$P$15</f>
        <v>11.47</v>
      </c>
      <c r="Q18" s="410">
        <f t="shared" si="0"/>
        <v>2.8675000000000002</v>
      </c>
      <c r="R18" s="410">
        <f>(P18+Q18)*2.7%</f>
        <v>0.38711250000000008</v>
      </c>
      <c r="S18" s="410">
        <f t="shared" si="1"/>
        <v>14.724612500000001</v>
      </c>
      <c r="T18" s="412">
        <v>109</v>
      </c>
      <c r="U18" s="410">
        <f t="shared" si="2"/>
        <v>93.965517241379317</v>
      </c>
      <c r="V18" s="413">
        <f t="shared" si="3"/>
        <v>56.379310344827587</v>
      </c>
      <c r="W18" s="414">
        <f t="shared" si="4"/>
        <v>0.26117049694189604</v>
      </c>
      <c r="X18" s="415">
        <f t="shared" si="5"/>
        <v>0.73882950305810402</v>
      </c>
      <c r="Y18" s="416">
        <f t="shared" si="6"/>
        <v>0.4</v>
      </c>
      <c r="Z18" s="417" t="s">
        <v>1373</v>
      </c>
      <c r="AA18" s="418" t="s">
        <v>1374</v>
      </c>
      <c r="AB18" s="406">
        <v>6</v>
      </c>
      <c r="AC18" s="406">
        <f>24*AB18</f>
        <v>144</v>
      </c>
      <c r="AD18" s="419">
        <v>46308</v>
      </c>
      <c r="AE18" s="420"/>
      <c r="AG18" s="421">
        <v>79</v>
      </c>
      <c r="AH18" s="422">
        <f t="shared" si="7"/>
        <v>68.103448275862078</v>
      </c>
      <c r="AI18" s="423">
        <f t="shared" si="8"/>
        <v>0.21620949999999997</v>
      </c>
      <c r="AJ18" s="424">
        <f t="shared" si="9"/>
        <v>0.78379050000000006</v>
      </c>
      <c r="AK18" s="425">
        <f t="shared" si="10"/>
        <v>0</v>
      </c>
      <c r="BA18" s="426">
        <v>1</v>
      </c>
      <c r="BB18" s="426">
        <v>1</v>
      </c>
      <c r="BC18" s="426">
        <v>1</v>
      </c>
      <c r="BD18" s="426">
        <v>1</v>
      </c>
      <c r="BE18" s="426">
        <v>1</v>
      </c>
      <c r="BF18" s="435">
        <v>1</v>
      </c>
      <c r="BG18" s="435">
        <v>1</v>
      </c>
      <c r="BH18" s="435"/>
      <c r="BI18" s="435"/>
      <c r="BJ18" s="426">
        <v>9</v>
      </c>
      <c r="BK18" s="426">
        <f t="shared" si="11"/>
        <v>7</v>
      </c>
      <c r="BL18" s="427">
        <f t="shared" si="12"/>
        <v>0.77777777777777779</v>
      </c>
      <c r="BR18" s="431" t="s">
        <v>1375</v>
      </c>
      <c r="BS18" s="428">
        <f t="shared" ref="BS18:BS81" si="14">AD18</f>
        <v>46308</v>
      </c>
      <c r="BT18" s="429" t="s">
        <v>637</v>
      </c>
      <c r="CJ18" s="430">
        <v>46156</v>
      </c>
      <c r="CK18" s="430">
        <v>46156</v>
      </c>
      <c r="CL18" s="430">
        <f t="shared" ref="CL18:CL20" si="15">CK18+15</f>
        <v>46171</v>
      </c>
      <c r="CM18" s="430"/>
      <c r="CN18" s="430">
        <f t="shared" ref="CN18:CN20" si="16">CL18+14</f>
        <v>46185</v>
      </c>
      <c r="CO18" s="431"/>
      <c r="CP18" s="430">
        <f t="shared" ref="CP18:CP20" si="17">CN18+45</f>
        <v>46230</v>
      </c>
      <c r="CQ18" s="432"/>
      <c r="CR18" s="433">
        <f t="shared" ref="CR18:CR20" si="18">CP18-12</f>
        <v>46218</v>
      </c>
      <c r="CS18" s="434"/>
      <c r="CT18" s="433">
        <f t="shared" ref="CT18:CT20" si="19">CP18+7</f>
        <v>46237</v>
      </c>
      <c r="CU18" s="434"/>
      <c r="CV18" s="433">
        <f t="shared" ref="CV18:CV20" si="20">CT18+7</f>
        <v>46244</v>
      </c>
      <c r="CW18" s="434"/>
      <c r="CX18" s="433">
        <f t="shared" ref="CX18:CX20" si="21">CV18+44</f>
        <v>46288</v>
      </c>
      <c r="CY18" s="434"/>
      <c r="CZ18" s="433">
        <f t="shared" ref="CZ18:CZ20" si="22">CX18+10</f>
        <v>46298</v>
      </c>
      <c r="DA18" s="434"/>
    </row>
    <row r="19" spans="1:105" ht="69" customHeight="1">
      <c r="A19" s="404">
        <v>3</v>
      </c>
      <c r="B19" s="468">
        <v>46266</v>
      </c>
      <c r="C19" s="468">
        <v>46266</v>
      </c>
      <c r="D19" s="406" t="s">
        <v>163</v>
      </c>
      <c r="E19" s="469">
        <v>7502327991830</v>
      </c>
      <c r="F19" s="406" t="s">
        <v>1378</v>
      </c>
      <c r="G19" s="405" t="s">
        <v>1379</v>
      </c>
      <c r="H19" s="406"/>
      <c r="I19" s="406" t="s">
        <v>1372</v>
      </c>
      <c r="J19" s="406" t="s">
        <v>1367</v>
      </c>
      <c r="K19" s="407" t="s">
        <v>1064</v>
      </c>
      <c r="L19" s="408">
        <v>1</v>
      </c>
      <c r="M19" s="409">
        <v>0.62</v>
      </c>
      <c r="N19" s="410" t="s">
        <v>74</v>
      </c>
      <c r="O19" s="411">
        <v>10000</v>
      </c>
      <c r="P19" s="410">
        <f t="shared" si="13"/>
        <v>11.47</v>
      </c>
      <c r="Q19" s="410">
        <f t="shared" si="0"/>
        <v>2.8675000000000002</v>
      </c>
      <c r="R19" s="410">
        <f>(P19+Q19)*2.7%</f>
        <v>0.38711250000000008</v>
      </c>
      <c r="S19" s="410">
        <f t="shared" si="1"/>
        <v>14.724612500000001</v>
      </c>
      <c r="T19" s="412">
        <v>109</v>
      </c>
      <c r="U19" s="410">
        <f t="shared" si="2"/>
        <v>93.965517241379317</v>
      </c>
      <c r="V19" s="413">
        <f t="shared" si="3"/>
        <v>56.379310344827587</v>
      </c>
      <c r="W19" s="414">
        <f t="shared" si="4"/>
        <v>0.26117049694189604</v>
      </c>
      <c r="X19" s="415">
        <f t="shared" si="5"/>
        <v>0.73882950305810402</v>
      </c>
      <c r="Y19" s="416">
        <f t="shared" si="6"/>
        <v>0.4</v>
      </c>
      <c r="Z19" s="417" t="s">
        <v>1373</v>
      </c>
      <c r="AA19" s="418" t="s">
        <v>1374</v>
      </c>
      <c r="AB19" s="406">
        <v>6</v>
      </c>
      <c r="AC19" s="406">
        <f>24*AB19</f>
        <v>144</v>
      </c>
      <c r="AD19" s="419">
        <v>46308</v>
      </c>
      <c r="AE19" s="420"/>
      <c r="AG19" s="421">
        <v>79</v>
      </c>
      <c r="AH19" s="422">
        <f t="shared" si="7"/>
        <v>68.103448275862078</v>
      </c>
      <c r="AI19" s="423">
        <f t="shared" si="8"/>
        <v>0.21620949999999997</v>
      </c>
      <c r="AJ19" s="424">
        <f t="shared" si="9"/>
        <v>0.78379050000000006</v>
      </c>
      <c r="AK19" s="425">
        <f t="shared" si="10"/>
        <v>0</v>
      </c>
      <c r="BA19" s="426">
        <v>1</v>
      </c>
      <c r="BB19" s="426">
        <v>1</v>
      </c>
      <c r="BC19" s="426">
        <v>1</v>
      </c>
      <c r="BD19" s="426">
        <v>1</v>
      </c>
      <c r="BE19" s="426">
        <v>1</v>
      </c>
      <c r="BF19" s="435">
        <v>1</v>
      </c>
      <c r="BG19" s="435">
        <v>1</v>
      </c>
      <c r="BH19" s="435"/>
      <c r="BI19" s="435"/>
      <c r="BJ19" s="426">
        <v>9</v>
      </c>
      <c r="BK19" s="426">
        <f t="shared" si="11"/>
        <v>7</v>
      </c>
      <c r="BL19" s="427">
        <f t="shared" si="12"/>
        <v>0.77777777777777779</v>
      </c>
      <c r="BR19" s="431" t="s">
        <v>1375</v>
      </c>
      <c r="BS19" s="428">
        <f t="shared" si="14"/>
        <v>46308</v>
      </c>
      <c r="BT19" s="429" t="s">
        <v>637</v>
      </c>
      <c r="CJ19" s="430">
        <v>46156</v>
      </c>
      <c r="CK19" s="430">
        <v>46156</v>
      </c>
      <c r="CL19" s="430">
        <f t="shared" si="15"/>
        <v>46171</v>
      </c>
      <c r="CM19" s="430"/>
      <c r="CN19" s="430">
        <f t="shared" si="16"/>
        <v>46185</v>
      </c>
      <c r="CO19" s="431"/>
      <c r="CP19" s="430">
        <f t="shared" si="17"/>
        <v>46230</v>
      </c>
      <c r="CQ19" s="432"/>
      <c r="CR19" s="433">
        <f t="shared" si="18"/>
        <v>46218</v>
      </c>
      <c r="CS19" s="434"/>
      <c r="CT19" s="433">
        <f t="shared" si="19"/>
        <v>46237</v>
      </c>
      <c r="CU19" s="434"/>
      <c r="CV19" s="433">
        <f t="shared" si="20"/>
        <v>46244</v>
      </c>
      <c r="CW19" s="434"/>
      <c r="CX19" s="433">
        <f t="shared" si="21"/>
        <v>46288</v>
      </c>
      <c r="CY19" s="434"/>
      <c r="CZ19" s="433">
        <f t="shared" si="22"/>
        <v>46298</v>
      </c>
      <c r="DA19" s="434"/>
    </row>
    <row r="20" spans="1:105" ht="69" customHeight="1">
      <c r="A20" s="404">
        <v>4</v>
      </c>
      <c r="B20" s="468">
        <v>46266</v>
      </c>
      <c r="C20" s="468">
        <v>46266</v>
      </c>
      <c r="D20" s="406" t="s">
        <v>163</v>
      </c>
      <c r="E20" s="469">
        <v>7502327991847</v>
      </c>
      <c r="F20" s="406" t="s">
        <v>1380</v>
      </c>
      <c r="G20" s="405" t="s">
        <v>1381</v>
      </c>
      <c r="H20" s="393"/>
      <c r="I20" s="406" t="s">
        <v>1372</v>
      </c>
      <c r="J20" s="407" t="s">
        <v>1367</v>
      </c>
      <c r="K20" s="407" t="s">
        <v>1064</v>
      </c>
      <c r="L20" s="408">
        <v>1</v>
      </c>
      <c r="M20" s="409">
        <v>0.62</v>
      </c>
      <c r="N20" s="410" t="s">
        <v>74</v>
      </c>
      <c r="O20" s="411">
        <v>10000</v>
      </c>
      <c r="P20" s="410">
        <f t="shared" si="13"/>
        <v>11.47</v>
      </c>
      <c r="Q20" s="410">
        <f t="shared" si="0"/>
        <v>2.8675000000000002</v>
      </c>
      <c r="R20" s="410">
        <f>(P20+Q20)*2.7%</f>
        <v>0.38711250000000008</v>
      </c>
      <c r="S20" s="410">
        <f t="shared" si="1"/>
        <v>14.724612500000001</v>
      </c>
      <c r="T20" s="412">
        <v>109</v>
      </c>
      <c r="U20" s="410">
        <f t="shared" si="2"/>
        <v>93.965517241379317</v>
      </c>
      <c r="V20" s="413">
        <f t="shared" si="3"/>
        <v>56.379310344827587</v>
      </c>
      <c r="W20" s="414">
        <f t="shared" si="4"/>
        <v>0.26117049694189604</v>
      </c>
      <c r="X20" s="415">
        <f t="shared" si="5"/>
        <v>0.73882950305810402</v>
      </c>
      <c r="Y20" s="416">
        <f t="shared" si="6"/>
        <v>0.4</v>
      </c>
      <c r="Z20" s="417" t="s">
        <v>1373</v>
      </c>
      <c r="AA20" s="418" t="s">
        <v>1374</v>
      </c>
      <c r="AB20" s="406">
        <v>6</v>
      </c>
      <c r="AC20" s="406">
        <f>24*AB20</f>
        <v>144</v>
      </c>
      <c r="AD20" s="419">
        <v>46308</v>
      </c>
      <c r="AE20" s="420"/>
      <c r="AG20" s="421">
        <v>79</v>
      </c>
      <c r="AH20" s="422">
        <f t="shared" si="7"/>
        <v>68.103448275862078</v>
      </c>
      <c r="AI20" s="423">
        <f t="shared" si="8"/>
        <v>0.21620949999999997</v>
      </c>
      <c r="AJ20" s="424">
        <f t="shared" si="9"/>
        <v>0.78379050000000006</v>
      </c>
      <c r="AK20" s="425">
        <f t="shared" si="10"/>
        <v>0</v>
      </c>
      <c r="BA20" s="426">
        <v>1</v>
      </c>
      <c r="BB20" s="426">
        <v>1</v>
      </c>
      <c r="BC20" s="426">
        <v>1</v>
      </c>
      <c r="BD20" s="426">
        <v>1</v>
      </c>
      <c r="BE20" s="426">
        <v>1</v>
      </c>
      <c r="BF20" s="435">
        <v>1</v>
      </c>
      <c r="BG20" s="435">
        <v>1</v>
      </c>
      <c r="BH20" s="435"/>
      <c r="BI20" s="435"/>
      <c r="BJ20" s="426">
        <v>9</v>
      </c>
      <c r="BK20" s="426">
        <f t="shared" si="11"/>
        <v>7</v>
      </c>
      <c r="BL20" s="427">
        <f t="shared" si="12"/>
        <v>0.77777777777777779</v>
      </c>
      <c r="BR20" s="431" t="s">
        <v>1375</v>
      </c>
      <c r="BS20" s="428">
        <f t="shared" si="14"/>
        <v>46308</v>
      </c>
      <c r="BT20" s="429" t="s">
        <v>637</v>
      </c>
      <c r="CJ20" s="430">
        <v>46156</v>
      </c>
      <c r="CK20" s="430">
        <v>46156</v>
      </c>
      <c r="CL20" s="430">
        <f t="shared" si="15"/>
        <v>46171</v>
      </c>
      <c r="CM20" s="430"/>
      <c r="CN20" s="430">
        <f t="shared" si="16"/>
        <v>46185</v>
      </c>
      <c r="CO20" s="431"/>
      <c r="CP20" s="430">
        <f t="shared" si="17"/>
        <v>46230</v>
      </c>
      <c r="CQ20" s="432"/>
      <c r="CR20" s="433">
        <f t="shared" si="18"/>
        <v>46218</v>
      </c>
      <c r="CS20" s="434"/>
      <c r="CT20" s="433">
        <f t="shared" si="19"/>
        <v>46237</v>
      </c>
      <c r="CU20" s="434"/>
      <c r="CV20" s="433">
        <f t="shared" si="20"/>
        <v>46244</v>
      </c>
      <c r="CW20" s="434"/>
      <c r="CX20" s="433">
        <f t="shared" si="21"/>
        <v>46288</v>
      </c>
      <c r="CY20" s="434"/>
      <c r="CZ20" s="433">
        <f t="shared" si="22"/>
        <v>46298</v>
      </c>
      <c r="DA20" s="434"/>
    </row>
    <row r="21" spans="1:105" ht="69" customHeight="1">
      <c r="A21" s="404">
        <v>5</v>
      </c>
      <c r="B21" s="468">
        <v>46266</v>
      </c>
      <c r="C21" s="468">
        <v>46266</v>
      </c>
      <c r="D21" s="406" t="s">
        <v>163</v>
      </c>
      <c r="E21" s="469">
        <v>7502327991854</v>
      </c>
      <c r="F21" s="406" t="s">
        <v>1382</v>
      </c>
      <c r="G21" s="405" t="s">
        <v>1383</v>
      </c>
      <c r="H21" s="393"/>
      <c r="I21" s="406" t="s">
        <v>229</v>
      </c>
      <c r="J21" s="407" t="s">
        <v>1367</v>
      </c>
      <c r="K21" s="407" t="s">
        <v>1064</v>
      </c>
      <c r="L21" s="408">
        <v>1</v>
      </c>
      <c r="M21" s="436">
        <v>0.56999999999999995</v>
      </c>
      <c r="N21" s="410" t="s">
        <v>74</v>
      </c>
      <c r="O21" s="411">
        <v>10000</v>
      </c>
      <c r="P21" s="410">
        <f t="shared" si="13"/>
        <v>10.545</v>
      </c>
      <c r="Q21" s="410">
        <f t="shared" si="0"/>
        <v>2.63625</v>
      </c>
      <c r="R21" s="410">
        <f>(P21+Q21)*9.66%</f>
        <v>1.2733087500000002</v>
      </c>
      <c r="S21" s="410">
        <f t="shared" si="1"/>
        <v>14.45455875</v>
      </c>
      <c r="T21" s="412">
        <v>99</v>
      </c>
      <c r="U21" s="410">
        <f t="shared" si="2"/>
        <v>85.344827586206904</v>
      </c>
      <c r="V21" s="413">
        <f t="shared" si="3"/>
        <v>51.206896551724142</v>
      </c>
      <c r="W21" s="414">
        <f t="shared" si="4"/>
        <v>0.28227757828282829</v>
      </c>
      <c r="X21" s="415">
        <f t="shared" si="5"/>
        <v>0.71772242171717171</v>
      </c>
      <c r="Y21" s="416">
        <f t="shared" si="6"/>
        <v>0.4</v>
      </c>
      <c r="Z21" s="417" t="s">
        <v>1373</v>
      </c>
      <c r="AA21" s="418" t="s">
        <v>1374</v>
      </c>
      <c r="AB21" s="406">
        <v>6</v>
      </c>
      <c r="AC21" s="406">
        <v>72</v>
      </c>
      <c r="AD21" s="419">
        <v>46334</v>
      </c>
      <c r="AE21" s="420"/>
      <c r="AG21" s="421">
        <v>69</v>
      </c>
      <c r="AH21" s="422">
        <f t="shared" si="7"/>
        <v>59.482758620689658</v>
      </c>
      <c r="AI21" s="423">
        <f t="shared" si="8"/>
        <v>0.24300417608695651</v>
      </c>
      <c r="AJ21" s="424">
        <f t="shared" si="9"/>
        <v>0.75699582391304343</v>
      </c>
      <c r="AK21" s="425">
        <f t="shared" si="10"/>
        <v>0</v>
      </c>
      <c r="BA21" s="426">
        <v>1</v>
      </c>
      <c r="BB21" s="426">
        <v>1</v>
      </c>
      <c r="BC21" s="426">
        <v>1</v>
      </c>
      <c r="BD21" s="426">
        <v>1</v>
      </c>
      <c r="BE21" s="426">
        <v>1</v>
      </c>
      <c r="BF21" s="435">
        <v>1</v>
      </c>
      <c r="BG21" s="435">
        <v>1</v>
      </c>
      <c r="BH21" s="435"/>
      <c r="BI21" s="435"/>
      <c r="BJ21" s="426">
        <v>9</v>
      </c>
      <c r="BK21" s="426">
        <f t="shared" si="11"/>
        <v>7</v>
      </c>
      <c r="BL21" s="427">
        <f t="shared" si="12"/>
        <v>0.77777777777777779</v>
      </c>
      <c r="BR21" s="431" t="s">
        <v>1375</v>
      </c>
      <c r="BS21" s="428">
        <f t="shared" si="14"/>
        <v>46334</v>
      </c>
      <c r="BT21" s="429" t="s">
        <v>637</v>
      </c>
      <c r="CJ21" s="430"/>
      <c r="CK21" s="430"/>
      <c r="CL21" s="430"/>
      <c r="CM21" s="430"/>
      <c r="CN21" s="430"/>
      <c r="CO21" s="431"/>
      <c r="CP21" s="430"/>
      <c r="CQ21" s="432"/>
      <c r="CR21" s="433"/>
      <c r="CS21" s="434"/>
      <c r="CT21" s="433"/>
      <c r="CU21" s="434"/>
      <c r="CV21" s="433"/>
      <c r="CW21" s="434"/>
      <c r="CX21" s="433"/>
      <c r="CY21" s="434"/>
      <c r="CZ21" s="433"/>
      <c r="DA21" s="434"/>
    </row>
    <row r="22" spans="1:105" ht="69" customHeight="1">
      <c r="A22" s="404">
        <v>6</v>
      </c>
      <c r="B22" s="468">
        <v>46266</v>
      </c>
      <c r="C22" s="468">
        <v>46266</v>
      </c>
      <c r="D22" s="406" t="s">
        <v>163</v>
      </c>
      <c r="E22" s="469">
        <v>7502327991861</v>
      </c>
      <c r="F22" s="406" t="s">
        <v>1384</v>
      </c>
      <c r="G22" s="405" t="s">
        <v>1385</v>
      </c>
      <c r="H22" s="393"/>
      <c r="I22" s="406" t="s">
        <v>229</v>
      </c>
      <c r="J22" s="407" t="s">
        <v>1367</v>
      </c>
      <c r="K22" s="407" t="s">
        <v>1064</v>
      </c>
      <c r="L22" s="408">
        <v>1</v>
      </c>
      <c r="M22" s="436">
        <v>0.56999999999999995</v>
      </c>
      <c r="N22" s="410" t="s">
        <v>74</v>
      </c>
      <c r="O22" s="411">
        <v>10000</v>
      </c>
      <c r="P22" s="410">
        <f t="shared" si="13"/>
        <v>10.545</v>
      </c>
      <c r="Q22" s="410">
        <f t="shared" si="0"/>
        <v>2.63625</v>
      </c>
      <c r="R22" s="410">
        <f>(P22+Q22)*9.66%</f>
        <v>1.2733087500000002</v>
      </c>
      <c r="S22" s="410">
        <f t="shared" si="1"/>
        <v>14.45455875</v>
      </c>
      <c r="T22" s="412">
        <v>99</v>
      </c>
      <c r="U22" s="410">
        <f t="shared" si="2"/>
        <v>85.344827586206904</v>
      </c>
      <c r="V22" s="413">
        <f t="shared" si="3"/>
        <v>51.206896551724142</v>
      </c>
      <c r="W22" s="414">
        <f t="shared" si="4"/>
        <v>0.28227757828282829</v>
      </c>
      <c r="X22" s="415">
        <f t="shared" si="5"/>
        <v>0.71772242171717171</v>
      </c>
      <c r="Y22" s="416">
        <f t="shared" si="6"/>
        <v>0.4</v>
      </c>
      <c r="Z22" s="417" t="s">
        <v>1373</v>
      </c>
      <c r="AA22" s="418" t="s">
        <v>1374</v>
      </c>
      <c r="AB22" s="406">
        <v>6</v>
      </c>
      <c r="AC22" s="406">
        <v>72</v>
      </c>
      <c r="AD22" s="419">
        <v>46334</v>
      </c>
      <c r="AE22" s="420"/>
      <c r="AG22" s="421">
        <v>69</v>
      </c>
      <c r="AH22" s="422">
        <f t="shared" si="7"/>
        <v>59.482758620689658</v>
      </c>
      <c r="AI22" s="423">
        <f t="shared" si="8"/>
        <v>0.24300417608695651</v>
      </c>
      <c r="AJ22" s="424">
        <f t="shared" si="9"/>
        <v>0.75699582391304343</v>
      </c>
      <c r="AK22" s="425">
        <f t="shared" si="10"/>
        <v>0</v>
      </c>
      <c r="BA22" s="426">
        <v>1</v>
      </c>
      <c r="BB22" s="426">
        <v>1</v>
      </c>
      <c r="BC22" s="426">
        <v>1</v>
      </c>
      <c r="BD22" s="426">
        <v>1</v>
      </c>
      <c r="BE22" s="426">
        <v>1</v>
      </c>
      <c r="BF22" s="435">
        <v>1</v>
      </c>
      <c r="BG22" s="435">
        <v>1</v>
      </c>
      <c r="BH22" s="435"/>
      <c r="BI22" s="435"/>
      <c r="BJ22" s="426">
        <v>9</v>
      </c>
      <c r="BK22" s="426">
        <f t="shared" si="11"/>
        <v>7</v>
      </c>
      <c r="BL22" s="427">
        <f t="shared" si="12"/>
        <v>0.77777777777777779</v>
      </c>
      <c r="BR22" s="431" t="s">
        <v>1375</v>
      </c>
      <c r="BS22" s="428">
        <f t="shared" si="14"/>
        <v>46334</v>
      </c>
      <c r="BT22" s="429" t="s">
        <v>637</v>
      </c>
      <c r="CJ22" s="431"/>
      <c r="CK22" s="431"/>
      <c r="CL22" s="431"/>
      <c r="CM22" s="431"/>
      <c r="CN22" s="430"/>
      <c r="CO22" s="431"/>
      <c r="CP22" s="432"/>
      <c r="CQ22" s="432"/>
      <c r="CR22" s="434"/>
      <c r="CS22" s="434"/>
      <c r="CT22" s="434"/>
      <c r="CU22" s="434"/>
      <c r="CV22" s="434"/>
      <c r="CW22" s="434"/>
      <c r="CX22" s="434"/>
      <c r="CY22" s="434"/>
      <c r="CZ22" s="434"/>
      <c r="DA22" s="434"/>
    </row>
    <row r="23" spans="1:105" ht="69" customHeight="1">
      <c r="A23" s="404">
        <v>7</v>
      </c>
      <c r="B23" s="468">
        <v>46266</v>
      </c>
      <c r="C23" s="468">
        <v>46266</v>
      </c>
      <c r="D23" s="406" t="s">
        <v>163</v>
      </c>
      <c r="E23" s="469">
        <v>7502327991878</v>
      </c>
      <c r="F23" s="406" t="s">
        <v>1386</v>
      </c>
      <c r="G23" s="405" t="s">
        <v>1387</v>
      </c>
      <c r="H23" s="393"/>
      <c r="I23" s="406" t="s">
        <v>229</v>
      </c>
      <c r="J23" s="407" t="s">
        <v>1367</v>
      </c>
      <c r="K23" s="407" t="s">
        <v>1064</v>
      </c>
      <c r="L23" s="408">
        <v>1</v>
      </c>
      <c r="M23" s="436">
        <v>0.56999999999999995</v>
      </c>
      <c r="N23" s="410" t="s">
        <v>74</v>
      </c>
      <c r="O23" s="411">
        <v>10000</v>
      </c>
      <c r="P23" s="410">
        <f t="shared" si="13"/>
        <v>10.545</v>
      </c>
      <c r="Q23" s="410">
        <f t="shared" si="0"/>
        <v>2.63625</v>
      </c>
      <c r="R23" s="410">
        <f>(P23+Q23)*9.66%</f>
        <v>1.2733087500000002</v>
      </c>
      <c r="S23" s="410">
        <f t="shared" si="1"/>
        <v>14.45455875</v>
      </c>
      <c r="T23" s="412">
        <v>99</v>
      </c>
      <c r="U23" s="410">
        <f t="shared" si="2"/>
        <v>85.344827586206904</v>
      </c>
      <c r="V23" s="413">
        <f t="shared" si="3"/>
        <v>51.206896551724142</v>
      </c>
      <c r="W23" s="414">
        <f t="shared" si="4"/>
        <v>0.28227757828282829</v>
      </c>
      <c r="X23" s="415">
        <f t="shared" si="5"/>
        <v>0.71772242171717171</v>
      </c>
      <c r="Y23" s="416">
        <f t="shared" si="6"/>
        <v>0.4</v>
      </c>
      <c r="Z23" s="417" t="s">
        <v>1373</v>
      </c>
      <c r="AA23" s="418" t="s">
        <v>1374</v>
      </c>
      <c r="AB23" s="406">
        <v>6</v>
      </c>
      <c r="AC23" s="406">
        <v>72</v>
      </c>
      <c r="AD23" s="419">
        <v>46334</v>
      </c>
      <c r="AE23" s="420"/>
      <c r="AG23" s="421">
        <v>69</v>
      </c>
      <c r="AH23" s="422">
        <f t="shared" si="7"/>
        <v>59.482758620689658</v>
      </c>
      <c r="AI23" s="423">
        <f t="shared" si="8"/>
        <v>0.24300417608695651</v>
      </c>
      <c r="AJ23" s="424">
        <f t="shared" si="9"/>
        <v>0.75699582391304343</v>
      </c>
      <c r="AK23" s="425">
        <f t="shared" si="10"/>
        <v>0</v>
      </c>
      <c r="BA23" s="426">
        <v>1</v>
      </c>
      <c r="BB23" s="426">
        <v>1</v>
      </c>
      <c r="BC23" s="426">
        <v>1</v>
      </c>
      <c r="BD23" s="426">
        <v>1</v>
      </c>
      <c r="BE23" s="426">
        <v>1</v>
      </c>
      <c r="BF23" s="435">
        <v>1</v>
      </c>
      <c r="BG23" s="435">
        <v>1</v>
      </c>
      <c r="BH23" s="435"/>
      <c r="BI23" s="435"/>
      <c r="BJ23" s="426">
        <v>9</v>
      </c>
      <c r="BK23" s="426">
        <f t="shared" si="11"/>
        <v>7</v>
      </c>
      <c r="BL23" s="427">
        <f t="shared" si="12"/>
        <v>0.77777777777777779</v>
      </c>
      <c r="BR23" s="431" t="s">
        <v>1375</v>
      </c>
      <c r="BS23" s="428">
        <f t="shared" si="14"/>
        <v>46334</v>
      </c>
      <c r="BT23" s="429" t="s">
        <v>637</v>
      </c>
      <c r="CJ23" s="431"/>
      <c r="CK23" s="431"/>
      <c r="CL23" s="431"/>
      <c r="CM23" s="431"/>
      <c r="CN23" s="431"/>
      <c r="CO23" s="431"/>
      <c r="CP23" s="432"/>
      <c r="CQ23" s="432"/>
      <c r="CR23" s="434"/>
      <c r="CS23" s="434"/>
      <c r="CT23" s="434"/>
      <c r="CU23" s="434"/>
      <c r="CV23" s="434"/>
      <c r="CW23" s="434"/>
      <c r="CX23" s="434"/>
      <c r="CY23" s="434"/>
      <c r="CZ23" s="434"/>
      <c r="DA23" s="434"/>
    </row>
    <row r="24" spans="1:105" ht="69" customHeight="1">
      <c r="A24" s="404">
        <v>8</v>
      </c>
      <c r="B24" s="468">
        <v>46266</v>
      </c>
      <c r="C24" s="468">
        <v>46266</v>
      </c>
      <c r="D24" s="406" t="s">
        <v>163</v>
      </c>
      <c r="E24" s="469">
        <v>7502327991885</v>
      </c>
      <c r="F24" s="406" t="s">
        <v>1388</v>
      </c>
      <c r="G24" s="405" t="s">
        <v>1389</v>
      </c>
      <c r="H24" s="393"/>
      <c r="I24" s="406" t="s">
        <v>403</v>
      </c>
      <c r="J24" s="407" t="s">
        <v>1367</v>
      </c>
      <c r="K24" s="407" t="s">
        <v>1064</v>
      </c>
      <c r="L24" s="408">
        <v>1</v>
      </c>
      <c r="M24" s="436">
        <v>0.52</v>
      </c>
      <c r="N24" s="410" t="s">
        <v>74</v>
      </c>
      <c r="O24" s="411">
        <v>10000</v>
      </c>
      <c r="P24" s="410">
        <f t="shared" si="13"/>
        <v>9.620000000000001</v>
      </c>
      <c r="Q24" s="410">
        <f t="shared" ref="Q24:Q41" si="23">P24*0.36</f>
        <v>3.4632000000000001</v>
      </c>
      <c r="R24" s="410">
        <f>(P24+Q24)*2.65%</f>
        <v>0.34670480000000004</v>
      </c>
      <c r="S24" s="410">
        <f t="shared" si="1"/>
        <v>13.429904800000001</v>
      </c>
      <c r="T24" s="412">
        <v>119</v>
      </c>
      <c r="U24" s="410">
        <f t="shared" si="2"/>
        <v>102.58620689655173</v>
      </c>
      <c r="V24" s="413">
        <f t="shared" si="3"/>
        <v>61.551724137931032</v>
      </c>
      <c r="W24" s="414">
        <f t="shared" si="4"/>
        <v>0.21818892952380955</v>
      </c>
      <c r="X24" s="415">
        <f t="shared" si="5"/>
        <v>0.78181107047619047</v>
      </c>
      <c r="Y24" s="416">
        <f t="shared" si="6"/>
        <v>0.4</v>
      </c>
      <c r="Z24" s="417" t="s">
        <v>1373</v>
      </c>
      <c r="AA24" s="418" t="s">
        <v>1374</v>
      </c>
      <c r="AB24" s="406">
        <v>6</v>
      </c>
      <c r="AC24" s="406">
        <v>144</v>
      </c>
      <c r="AD24" s="419">
        <v>46308</v>
      </c>
      <c r="AE24" s="420"/>
      <c r="AG24" s="421">
        <v>79</v>
      </c>
      <c r="AH24" s="422">
        <f t="shared" si="7"/>
        <v>68.103448275862078</v>
      </c>
      <c r="AI24" s="423">
        <f t="shared" si="8"/>
        <v>0.19719860212658227</v>
      </c>
      <c r="AJ24" s="424">
        <f t="shared" si="9"/>
        <v>0.80280139787341775</v>
      </c>
      <c r="AK24" s="425">
        <f t="shared" si="10"/>
        <v>0</v>
      </c>
      <c r="BA24" s="426">
        <v>1</v>
      </c>
      <c r="BB24" s="426">
        <v>1</v>
      </c>
      <c r="BC24" s="426">
        <v>1</v>
      </c>
      <c r="BD24" s="426">
        <v>1</v>
      </c>
      <c r="BE24" s="426">
        <v>1</v>
      </c>
      <c r="BF24" s="435">
        <v>1</v>
      </c>
      <c r="BG24" s="435">
        <v>1</v>
      </c>
      <c r="BH24" s="435"/>
      <c r="BI24" s="435"/>
      <c r="BJ24" s="426">
        <v>9</v>
      </c>
      <c r="BK24" s="426">
        <f t="shared" si="11"/>
        <v>7</v>
      </c>
      <c r="BL24" s="427">
        <f t="shared" si="12"/>
        <v>0.77777777777777779</v>
      </c>
      <c r="BR24" s="431" t="s">
        <v>1390</v>
      </c>
      <c r="BS24" s="428">
        <f t="shared" si="14"/>
        <v>46308</v>
      </c>
      <c r="BT24" s="431" t="s">
        <v>170</v>
      </c>
      <c r="CJ24" s="430">
        <v>46156</v>
      </c>
      <c r="CK24" s="430">
        <v>46156</v>
      </c>
      <c r="CL24" s="430">
        <f t="shared" ref="CL24:CL26" si="24">CK24+15</f>
        <v>46171</v>
      </c>
      <c r="CM24" s="430"/>
      <c r="CN24" s="430">
        <f>CL24+14</f>
        <v>46185</v>
      </c>
      <c r="CO24" s="431"/>
      <c r="CP24" s="430">
        <f t="shared" ref="CP24:CP26" si="25">CN24+45</f>
        <v>46230</v>
      </c>
      <c r="CQ24" s="432"/>
      <c r="CR24" s="433">
        <f t="shared" ref="CR24:CR26" si="26">CP24-12</f>
        <v>46218</v>
      </c>
      <c r="CS24" s="434"/>
      <c r="CT24" s="433">
        <f t="shared" ref="CT24:CT26" si="27">CP24+7</f>
        <v>46237</v>
      </c>
      <c r="CU24" s="434"/>
      <c r="CV24" s="433">
        <f t="shared" ref="CV24:CV26" si="28">CT24+7</f>
        <v>46244</v>
      </c>
      <c r="CW24" s="434"/>
      <c r="CX24" s="433">
        <f t="shared" ref="CX24:CX26" si="29">CV24+44</f>
        <v>46288</v>
      </c>
      <c r="CY24" s="434"/>
      <c r="CZ24" s="433">
        <f t="shared" ref="CZ24:CZ26" si="30">CX24+10</f>
        <v>46298</v>
      </c>
      <c r="DA24" s="434"/>
    </row>
    <row r="25" spans="1:105" ht="69" customHeight="1">
      <c r="A25" s="404">
        <v>9</v>
      </c>
      <c r="B25" s="468">
        <v>46266</v>
      </c>
      <c r="C25" s="468">
        <v>46266</v>
      </c>
      <c r="D25" s="406" t="s">
        <v>163</v>
      </c>
      <c r="E25" s="469">
        <v>7502327991908</v>
      </c>
      <c r="F25" s="406" t="s">
        <v>1391</v>
      </c>
      <c r="G25" s="405" t="s">
        <v>1392</v>
      </c>
      <c r="H25" s="393"/>
      <c r="I25" s="406" t="s">
        <v>403</v>
      </c>
      <c r="J25" s="407" t="s">
        <v>1367</v>
      </c>
      <c r="K25" s="407" t="s">
        <v>1064</v>
      </c>
      <c r="L25" s="408">
        <v>1</v>
      </c>
      <c r="M25" s="436">
        <v>0.52</v>
      </c>
      <c r="N25" s="410" t="s">
        <v>74</v>
      </c>
      <c r="O25" s="411">
        <v>10000</v>
      </c>
      <c r="P25" s="410">
        <f t="shared" si="13"/>
        <v>9.620000000000001</v>
      </c>
      <c r="Q25" s="410">
        <f t="shared" si="23"/>
        <v>3.4632000000000001</v>
      </c>
      <c r="R25" s="410">
        <f>(P25+Q25)*2.65%</f>
        <v>0.34670480000000004</v>
      </c>
      <c r="S25" s="410">
        <f t="shared" si="1"/>
        <v>13.429904800000001</v>
      </c>
      <c r="T25" s="412">
        <v>119</v>
      </c>
      <c r="U25" s="410">
        <f t="shared" si="2"/>
        <v>102.58620689655173</v>
      </c>
      <c r="V25" s="413">
        <f t="shared" si="3"/>
        <v>61.551724137931032</v>
      </c>
      <c r="W25" s="414">
        <f t="shared" si="4"/>
        <v>0.21818892952380955</v>
      </c>
      <c r="X25" s="415">
        <f t="shared" si="5"/>
        <v>0.78181107047619047</v>
      </c>
      <c r="Y25" s="416">
        <f t="shared" si="6"/>
        <v>0.4</v>
      </c>
      <c r="Z25" s="417" t="s">
        <v>1373</v>
      </c>
      <c r="AA25" s="418" t="s">
        <v>1374</v>
      </c>
      <c r="AB25" s="406">
        <v>6</v>
      </c>
      <c r="AC25" s="406">
        <v>144</v>
      </c>
      <c r="AD25" s="419">
        <v>46308</v>
      </c>
      <c r="AE25" s="420"/>
      <c r="AG25" s="421">
        <v>79</v>
      </c>
      <c r="AH25" s="422">
        <f t="shared" si="7"/>
        <v>68.103448275862078</v>
      </c>
      <c r="AI25" s="423">
        <f t="shared" si="8"/>
        <v>0.19719860212658227</v>
      </c>
      <c r="AJ25" s="424">
        <f t="shared" si="9"/>
        <v>0.80280139787341775</v>
      </c>
      <c r="AK25" s="425">
        <f t="shared" si="10"/>
        <v>0</v>
      </c>
      <c r="BA25" s="426">
        <v>1</v>
      </c>
      <c r="BB25" s="426">
        <v>1</v>
      </c>
      <c r="BC25" s="426">
        <v>1</v>
      </c>
      <c r="BD25" s="426">
        <v>1</v>
      </c>
      <c r="BE25" s="426">
        <v>1</v>
      </c>
      <c r="BF25" s="435">
        <v>1</v>
      </c>
      <c r="BG25" s="435">
        <v>1</v>
      </c>
      <c r="BH25" s="435"/>
      <c r="BI25" s="435"/>
      <c r="BJ25" s="426">
        <v>9</v>
      </c>
      <c r="BK25" s="426">
        <f t="shared" si="11"/>
        <v>7</v>
      </c>
      <c r="BL25" s="427">
        <f t="shared" si="12"/>
        <v>0.77777777777777779</v>
      </c>
      <c r="BR25" s="431" t="s">
        <v>1390</v>
      </c>
      <c r="BS25" s="428">
        <f t="shared" si="14"/>
        <v>46308</v>
      </c>
      <c r="BT25" s="431" t="s">
        <v>170</v>
      </c>
      <c r="CJ25" s="430">
        <v>46156</v>
      </c>
      <c r="CK25" s="430">
        <v>46156</v>
      </c>
      <c r="CL25" s="430">
        <f t="shared" si="24"/>
        <v>46171</v>
      </c>
      <c r="CM25" s="430"/>
      <c r="CN25" s="430">
        <f t="shared" ref="CN25:CN26" si="31">CL25+14</f>
        <v>46185</v>
      </c>
      <c r="CO25" s="431"/>
      <c r="CP25" s="430">
        <f t="shared" si="25"/>
        <v>46230</v>
      </c>
      <c r="CQ25" s="432"/>
      <c r="CR25" s="433">
        <f t="shared" si="26"/>
        <v>46218</v>
      </c>
      <c r="CS25" s="434"/>
      <c r="CT25" s="433">
        <f t="shared" si="27"/>
        <v>46237</v>
      </c>
      <c r="CU25" s="434"/>
      <c r="CV25" s="433">
        <f t="shared" si="28"/>
        <v>46244</v>
      </c>
      <c r="CW25" s="434"/>
      <c r="CX25" s="433">
        <f t="shared" si="29"/>
        <v>46288</v>
      </c>
      <c r="CY25" s="434"/>
      <c r="CZ25" s="433">
        <f t="shared" si="30"/>
        <v>46298</v>
      </c>
      <c r="DA25" s="434"/>
    </row>
    <row r="26" spans="1:105" ht="69" customHeight="1">
      <c r="A26" s="404">
        <v>10</v>
      </c>
      <c r="B26" s="468">
        <v>46266</v>
      </c>
      <c r="C26" s="468">
        <v>46266</v>
      </c>
      <c r="D26" s="406" t="s">
        <v>163</v>
      </c>
      <c r="E26" s="469">
        <v>7502327991922</v>
      </c>
      <c r="F26" s="406" t="s">
        <v>1393</v>
      </c>
      <c r="G26" s="405" t="s">
        <v>1394</v>
      </c>
      <c r="H26" s="393"/>
      <c r="I26" s="406" t="s">
        <v>403</v>
      </c>
      <c r="J26" s="407" t="s">
        <v>1367</v>
      </c>
      <c r="K26" s="407" t="s">
        <v>1064</v>
      </c>
      <c r="L26" s="408">
        <v>1</v>
      </c>
      <c r="M26" s="436">
        <v>0.52</v>
      </c>
      <c r="N26" s="410" t="s">
        <v>74</v>
      </c>
      <c r="O26" s="411">
        <v>10000</v>
      </c>
      <c r="P26" s="410">
        <f t="shared" si="13"/>
        <v>9.620000000000001</v>
      </c>
      <c r="Q26" s="410">
        <f t="shared" si="23"/>
        <v>3.4632000000000001</v>
      </c>
      <c r="R26" s="410">
        <f>(P26+Q26)*2.65%</f>
        <v>0.34670480000000004</v>
      </c>
      <c r="S26" s="410">
        <f t="shared" si="1"/>
        <v>13.429904800000001</v>
      </c>
      <c r="T26" s="412">
        <v>119</v>
      </c>
      <c r="U26" s="410">
        <f t="shared" si="2"/>
        <v>102.58620689655173</v>
      </c>
      <c r="V26" s="413">
        <f t="shared" si="3"/>
        <v>61.551724137931032</v>
      </c>
      <c r="W26" s="414">
        <f t="shared" si="4"/>
        <v>0.21818892952380955</v>
      </c>
      <c r="X26" s="415">
        <f t="shared" si="5"/>
        <v>0.78181107047619047</v>
      </c>
      <c r="Y26" s="416">
        <f t="shared" si="6"/>
        <v>0.4</v>
      </c>
      <c r="Z26" s="417" t="s">
        <v>1373</v>
      </c>
      <c r="AA26" s="418" t="s">
        <v>1374</v>
      </c>
      <c r="AB26" s="406">
        <v>6</v>
      </c>
      <c r="AC26" s="406">
        <v>144</v>
      </c>
      <c r="AD26" s="419">
        <v>46308</v>
      </c>
      <c r="AE26" s="420"/>
      <c r="AG26" s="421">
        <v>79</v>
      </c>
      <c r="AH26" s="422">
        <f t="shared" si="7"/>
        <v>68.103448275862078</v>
      </c>
      <c r="AI26" s="423">
        <f t="shared" si="8"/>
        <v>0.19719860212658227</v>
      </c>
      <c r="AJ26" s="424">
        <f t="shared" si="9"/>
        <v>0.80280139787341775</v>
      </c>
      <c r="AK26" s="425">
        <f t="shared" si="10"/>
        <v>0</v>
      </c>
      <c r="BA26" s="426">
        <v>1</v>
      </c>
      <c r="BB26" s="426">
        <v>1</v>
      </c>
      <c r="BC26" s="426">
        <v>1</v>
      </c>
      <c r="BD26" s="426">
        <v>1</v>
      </c>
      <c r="BE26" s="426">
        <v>1</v>
      </c>
      <c r="BF26" s="435">
        <v>1</v>
      </c>
      <c r="BG26" s="435">
        <v>1</v>
      </c>
      <c r="BH26" s="435"/>
      <c r="BI26" s="435"/>
      <c r="BJ26" s="426">
        <v>9</v>
      </c>
      <c r="BK26" s="426">
        <f t="shared" si="11"/>
        <v>7</v>
      </c>
      <c r="BL26" s="427">
        <f t="shared" si="12"/>
        <v>0.77777777777777779</v>
      </c>
      <c r="BR26" s="431" t="s">
        <v>1390</v>
      </c>
      <c r="BS26" s="428">
        <f t="shared" si="14"/>
        <v>46308</v>
      </c>
      <c r="BT26" s="431" t="s">
        <v>170</v>
      </c>
      <c r="CJ26" s="430">
        <v>46156</v>
      </c>
      <c r="CK26" s="430">
        <v>46156</v>
      </c>
      <c r="CL26" s="430">
        <f t="shared" si="24"/>
        <v>46171</v>
      </c>
      <c r="CM26" s="430"/>
      <c r="CN26" s="430">
        <f t="shared" si="31"/>
        <v>46185</v>
      </c>
      <c r="CO26" s="431"/>
      <c r="CP26" s="430">
        <f t="shared" si="25"/>
        <v>46230</v>
      </c>
      <c r="CQ26" s="432"/>
      <c r="CR26" s="433">
        <f t="shared" si="26"/>
        <v>46218</v>
      </c>
      <c r="CS26" s="434"/>
      <c r="CT26" s="433">
        <f t="shared" si="27"/>
        <v>46237</v>
      </c>
      <c r="CU26" s="434"/>
      <c r="CV26" s="433">
        <f t="shared" si="28"/>
        <v>46244</v>
      </c>
      <c r="CW26" s="434"/>
      <c r="CX26" s="433">
        <f t="shared" si="29"/>
        <v>46288</v>
      </c>
      <c r="CY26" s="434"/>
      <c r="CZ26" s="433">
        <f t="shared" si="30"/>
        <v>46298</v>
      </c>
      <c r="DA26" s="434"/>
    </row>
    <row r="27" spans="1:105" ht="69" customHeight="1">
      <c r="A27" s="404">
        <v>11</v>
      </c>
      <c r="B27" s="468">
        <v>46266</v>
      </c>
      <c r="C27" s="468">
        <v>46266</v>
      </c>
      <c r="D27" s="406" t="s">
        <v>163</v>
      </c>
      <c r="E27" s="469">
        <v>7502327991939</v>
      </c>
      <c r="F27" s="406" t="s">
        <v>1395</v>
      </c>
      <c r="G27" s="405" t="s">
        <v>1396</v>
      </c>
      <c r="H27" s="393"/>
      <c r="I27" s="406" t="s">
        <v>403</v>
      </c>
      <c r="J27" s="407" t="s">
        <v>1367</v>
      </c>
      <c r="K27" s="407" t="s">
        <v>1064</v>
      </c>
      <c r="L27" s="408">
        <v>1</v>
      </c>
      <c r="M27" s="436">
        <v>0.45</v>
      </c>
      <c r="N27" s="410" t="s">
        <v>74</v>
      </c>
      <c r="O27" s="411">
        <v>10000</v>
      </c>
      <c r="P27" s="410">
        <f t="shared" si="13"/>
        <v>8.3250000000000011</v>
      </c>
      <c r="Q27" s="410">
        <f t="shared" si="23"/>
        <v>2.9970000000000003</v>
      </c>
      <c r="R27" s="410">
        <f t="shared" ref="R27:R38" si="32">(P27+Q27)*2.89%</f>
        <v>0.32720580000000005</v>
      </c>
      <c r="S27" s="410">
        <f t="shared" si="1"/>
        <v>11.649205800000001</v>
      </c>
      <c r="T27" s="412">
        <v>119</v>
      </c>
      <c r="U27" s="410">
        <f t="shared" si="2"/>
        <v>102.58620689655173</v>
      </c>
      <c r="V27" s="413">
        <f t="shared" si="3"/>
        <v>61.551724137931032</v>
      </c>
      <c r="W27" s="414">
        <f t="shared" si="4"/>
        <v>0.18925880571428574</v>
      </c>
      <c r="X27" s="415">
        <f t="shared" si="5"/>
        <v>0.81074119428571423</v>
      </c>
      <c r="Y27" s="416">
        <f t="shared" si="6"/>
        <v>0.4</v>
      </c>
      <c r="Z27" s="417" t="s">
        <v>1373</v>
      </c>
      <c r="AA27" s="418" t="s">
        <v>1374</v>
      </c>
      <c r="AB27" s="406">
        <v>6</v>
      </c>
      <c r="AC27" s="406">
        <v>144</v>
      </c>
      <c r="AD27" s="419">
        <v>46317</v>
      </c>
      <c r="AE27" s="420"/>
      <c r="AG27" s="421">
        <v>79</v>
      </c>
      <c r="AH27" s="422">
        <f t="shared" si="7"/>
        <v>68.103448275862078</v>
      </c>
      <c r="AI27" s="423">
        <f t="shared" si="8"/>
        <v>0.17105162946835442</v>
      </c>
      <c r="AJ27" s="424">
        <f t="shared" si="9"/>
        <v>0.82894837053164561</v>
      </c>
      <c r="AK27" s="425">
        <f t="shared" si="10"/>
        <v>0</v>
      </c>
      <c r="BA27" s="426">
        <v>1</v>
      </c>
      <c r="BB27" s="426">
        <v>1</v>
      </c>
      <c r="BC27" s="426">
        <v>1</v>
      </c>
      <c r="BD27" s="426">
        <v>1</v>
      </c>
      <c r="BE27" s="426">
        <v>1</v>
      </c>
      <c r="BF27" s="435">
        <v>1</v>
      </c>
      <c r="BG27" s="435">
        <v>1</v>
      </c>
      <c r="BH27" s="435"/>
      <c r="BI27" s="435"/>
      <c r="BJ27" s="426">
        <v>9</v>
      </c>
      <c r="BK27" s="426">
        <f t="shared" si="11"/>
        <v>7</v>
      </c>
      <c r="BL27" s="427">
        <f t="shared" si="12"/>
        <v>0.77777777777777779</v>
      </c>
      <c r="BR27" s="431" t="s">
        <v>1375</v>
      </c>
      <c r="BS27" s="428">
        <f t="shared" si="14"/>
        <v>46317</v>
      </c>
      <c r="BT27" s="429" t="s">
        <v>637</v>
      </c>
      <c r="CJ27" s="431"/>
      <c r="CK27" s="431"/>
      <c r="CL27" s="431"/>
      <c r="CM27" s="431"/>
      <c r="CN27" s="431"/>
      <c r="CO27" s="431"/>
      <c r="CP27" s="432"/>
      <c r="CQ27" s="432"/>
      <c r="CR27" s="434"/>
      <c r="CS27" s="434"/>
      <c r="CT27" s="434"/>
      <c r="CU27" s="434"/>
      <c r="CV27" s="434"/>
      <c r="CW27" s="434"/>
      <c r="CX27" s="434"/>
      <c r="CY27" s="434"/>
      <c r="CZ27" s="434"/>
      <c r="DA27" s="434"/>
    </row>
    <row r="28" spans="1:105" ht="69" customHeight="1">
      <c r="A28" s="404">
        <v>12</v>
      </c>
      <c r="B28" s="468">
        <v>46266</v>
      </c>
      <c r="C28" s="468">
        <v>46266</v>
      </c>
      <c r="D28" s="406" t="s">
        <v>163</v>
      </c>
      <c r="E28" s="469">
        <v>7502327991946</v>
      </c>
      <c r="F28" s="406" t="s">
        <v>1397</v>
      </c>
      <c r="G28" s="405" t="s">
        <v>1398</v>
      </c>
      <c r="H28" s="393"/>
      <c r="I28" s="406" t="s">
        <v>403</v>
      </c>
      <c r="J28" s="407" t="s">
        <v>1367</v>
      </c>
      <c r="K28" s="407" t="s">
        <v>1064</v>
      </c>
      <c r="L28" s="408">
        <v>1</v>
      </c>
      <c r="M28" s="436">
        <v>0.45</v>
      </c>
      <c r="N28" s="410" t="s">
        <v>74</v>
      </c>
      <c r="O28" s="411">
        <v>10000</v>
      </c>
      <c r="P28" s="410">
        <f t="shared" si="13"/>
        <v>8.3250000000000011</v>
      </c>
      <c r="Q28" s="410">
        <f t="shared" si="23"/>
        <v>2.9970000000000003</v>
      </c>
      <c r="R28" s="410">
        <f t="shared" si="32"/>
        <v>0.32720580000000005</v>
      </c>
      <c r="S28" s="410">
        <f t="shared" si="1"/>
        <v>11.649205800000001</v>
      </c>
      <c r="T28" s="412">
        <v>119</v>
      </c>
      <c r="U28" s="410">
        <f t="shared" si="2"/>
        <v>102.58620689655173</v>
      </c>
      <c r="V28" s="413">
        <f t="shared" si="3"/>
        <v>61.551724137931032</v>
      </c>
      <c r="W28" s="414">
        <f t="shared" si="4"/>
        <v>0.18925880571428574</v>
      </c>
      <c r="X28" s="415">
        <f t="shared" si="5"/>
        <v>0.81074119428571423</v>
      </c>
      <c r="Y28" s="416">
        <f t="shared" si="6"/>
        <v>0.4</v>
      </c>
      <c r="Z28" s="417" t="s">
        <v>1373</v>
      </c>
      <c r="AA28" s="418" t="s">
        <v>1374</v>
      </c>
      <c r="AB28" s="406">
        <v>6</v>
      </c>
      <c r="AC28" s="406">
        <v>144</v>
      </c>
      <c r="AD28" s="419">
        <v>46317</v>
      </c>
      <c r="AE28" s="420"/>
      <c r="AG28" s="421">
        <v>79</v>
      </c>
      <c r="AH28" s="422">
        <f t="shared" si="7"/>
        <v>68.103448275862078</v>
      </c>
      <c r="AI28" s="423">
        <f t="shared" si="8"/>
        <v>0.17105162946835442</v>
      </c>
      <c r="AJ28" s="424">
        <f t="shared" si="9"/>
        <v>0.82894837053164561</v>
      </c>
      <c r="AK28" s="425">
        <f t="shared" si="10"/>
        <v>0</v>
      </c>
      <c r="BA28" s="426">
        <v>1</v>
      </c>
      <c r="BB28" s="426">
        <v>1</v>
      </c>
      <c r="BC28" s="426">
        <v>1</v>
      </c>
      <c r="BD28" s="426">
        <v>1</v>
      </c>
      <c r="BE28" s="426">
        <v>1</v>
      </c>
      <c r="BF28" s="435">
        <v>1</v>
      </c>
      <c r="BG28" s="435">
        <v>1</v>
      </c>
      <c r="BH28" s="435"/>
      <c r="BI28" s="435"/>
      <c r="BJ28" s="426">
        <v>9</v>
      </c>
      <c r="BK28" s="426">
        <f t="shared" si="11"/>
        <v>7</v>
      </c>
      <c r="BL28" s="427">
        <f t="shared" si="12"/>
        <v>0.77777777777777779</v>
      </c>
      <c r="BR28" s="431" t="s">
        <v>1375</v>
      </c>
      <c r="BS28" s="428">
        <f t="shared" si="14"/>
        <v>46317</v>
      </c>
      <c r="BT28" s="429" t="s">
        <v>637</v>
      </c>
      <c r="CJ28" s="431"/>
      <c r="CK28" s="431"/>
      <c r="CL28" s="431"/>
      <c r="CM28" s="431"/>
      <c r="CN28" s="431"/>
      <c r="CO28" s="431"/>
      <c r="CP28" s="432"/>
      <c r="CQ28" s="432"/>
      <c r="CR28" s="434"/>
      <c r="CS28" s="434"/>
      <c r="CT28" s="434"/>
      <c r="CU28" s="434"/>
      <c r="CV28" s="434"/>
      <c r="CW28" s="434"/>
      <c r="CX28" s="434"/>
      <c r="CY28" s="434"/>
      <c r="CZ28" s="434"/>
      <c r="DA28" s="434"/>
    </row>
    <row r="29" spans="1:105" ht="69" customHeight="1">
      <c r="A29" s="404">
        <v>13</v>
      </c>
      <c r="B29" s="468">
        <v>46266</v>
      </c>
      <c r="C29" s="468">
        <v>46266</v>
      </c>
      <c r="D29" s="406" t="s">
        <v>163</v>
      </c>
      <c r="E29" s="469">
        <v>7502327991953</v>
      </c>
      <c r="F29" s="406" t="s">
        <v>1399</v>
      </c>
      <c r="G29" s="405" t="s">
        <v>1400</v>
      </c>
      <c r="H29" s="393"/>
      <c r="I29" s="406" t="s">
        <v>403</v>
      </c>
      <c r="J29" s="407" t="s">
        <v>1367</v>
      </c>
      <c r="K29" s="407" t="s">
        <v>1064</v>
      </c>
      <c r="L29" s="408">
        <v>1</v>
      </c>
      <c r="M29" s="436">
        <v>0.45</v>
      </c>
      <c r="N29" s="410" t="s">
        <v>74</v>
      </c>
      <c r="O29" s="411">
        <v>10000</v>
      </c>
      <c r="P29" s="410">
        <f t="shared" si="13"/>
        <v>8.3250000000000011</v>
      </c>
      <c r="Q29" s="410">
        <f t="shared" si="23"/>
        <v>2.9970000000000003</v>
      </c>
      <c r="R29" s="410">
        <f t="shared" si="32"/>
        <v>0.32720580000000005</v>
      </c>
      <c r="S29" s="410">
        <f t="shared" si="1"/>
        <v>11.649205800000001</v>
      </c>
      <c r="T29" s="412">
        <v>119</v>
      </c>
      <c r="U29" s="410">
        <f t="shared" si="2"/>
        <v>102.58620689655173</v>
      </c>
      <c r="V29" s="413">
        <f t="shared" si="3"/>
        <v>61.551724137931032</v>
      </c>
      <c r="W29" s="414">
        <f t="shared" si="4"/>
        <v>0.18925880571428574</v>
      </c>
      <c r="X29" s="415">
        <f t="shared" si="5"/>
        <v>0.81074119428571423</v>
      </c>
      <c r="Y29" s="416">
        <f t="shared" si="6"/>
        <v>0.4</v>
      </c>
      <c r="Z29" s="417" t="s">
        <v>1373</v>
      </c>
      <c r="AA29" s="418" t="s">
        <v>1374</v>
      </c>
      <c r="AB29" s="406">
        <v>6</v>
      </c>
      <c r="AC29" s="406">
        <v>144</v>
      </c>
      <c r="AD29" s="419">
        <v>46317</v>
      </c>
      <c r="AE29" s="420"/>
      <c r="AG29" s="421">
        <v>79</v>
      </c>
      <c r="AH29" s="422">
        <f t="shared" si="7"/>
        <v>68.103448275862078</v>
      </c>
      <c r="AI29" s="423">
        <f t="shared" si="8"/>
        <v>0.17105162946835442</v>
      </c>
      <c r="AJ29" s="424">
        <f t="shared" si="9"/>
        <v>0.82894837053164561</v>
      </c>
      <c r="AK29" s="425">
        <f t="shared" si="10"/>
        <v>0</v>
      </c>
      <c r="BA29" s="426">
        <v>1</v>
      </c>
      <c r="BB29" s="426">
        <v>1</v>
      </c>
      <c r="BC29" s="426">
        <v>1</v>
      </c>
      <c r="BD29" s="426">
        <v>1</v>
      </c>
      <c r="BE29" s="426">
        <v>1</v>
      </c>
      <c r="BF29" s="435">
        <v>1</v>
      </c>
      <c r="BG29" s="435">
        <v>1</v>
      </c>
      <c r="BH29" s="435"/>
      <c r="BI29" s="435"/>
      <c r="BJ29" s="426">
        <v>9</v>
      </c>
      <c r="BK29" s="426">
        <f t="shared" si="11"/>
        <v>7</v>
      </c>
      <c r="BL29" s="427">
        <f t="shared" si="12"/>
        <v>0.77777777777777779</v>
      </c>
      <c r="BR29" s="431" t="s">
        <v>1375</v>
      </c>
      <c r="BS29" s="428">
        <f t="shared" si="14"/>
        <v>46317</v>
      </c>
      <c r="BT29" s="429" t="s">
        <v>637</v>
      </c>
      <c r="CJ29" s="431"/>
      <c r="CK29" s="431"/>
      <c r="CL29" s="431"/>
      <c r="CM29" s="431"/>
      <c r="CN29" s="431"/>
      <c r="CO29" s="431"/>
      <c r="CP29" s="432"/>
      <c r="CQ29" s="432"/>
      <c r="CR29" s="434"/>
      <c r="CS29" s="434"/>
      <c r="CT29" s="434"/>
      <c r="CU29" s="434"/>
      <c r="CV29" s="434"/>
      <c r="CW29" s="434"/>
      <c r="CX29" s="434"/>
      <c r="CY29" s="434"/>
      <c r="CZ29" s="434"/>
      <c r="DA29" s="434"/>
    </row>
    <row r="30" spans="1:105" ht="69" customHeight="1">
      <c r="A30" s="404">
        <v>14</v>
      </c>
      <c r="B30" s="468">
        <v>46266</v>
      </c>
      <c r="C30" s="468">
        <v>46266</v>
      </c>
      <c r="D30" s="406" t="s">
        <v>163</v>
      </c>
      <c r="E30" s="469">
        <v>7502327991960</v>
      </c>
      <c r="F30" s="406" t="s">
        <v>1401</v>
      </c>
      <c r="G30" s="405" t="s">
        <v>1402</v>
      </c>
      <c r="H30" s="393"/>
      <c r="I30" s="406" t="s">
        <v>403</v>
      </c>
      <c r="J30" s="407" t="s">
        <v>1367</v>
      </c>
      <c r="K30" s="407" t="s">
        <v>1064</v>
      </c>
      <c r="L30" s="408">
        <v>1</v>
      </c>
      <c r="M30" s="436">
        <v>0.45</v>
      </c>
      <c r="N30" s="410" t="s">
        <v>74</v>
      </c>
      <c r="O30" s="411">
        <v>10000</v>
      </c>
      <c r="P30" s="410">
        <f t="shared" si="13"/>
        <v>8.3250000000000011</v>
      </c>
      <c r="Q30" s="410">
        <f t="shared" si="23"/>
        <v>2.9970000000000003</v>
      </c>
      <c r="R30" s="410">
        <f t="shared" si="32"/>
        <v>0.32720580000000005</v>
      </c>
      <c r="S30" s="410">
        <f t="shared" si="1"/>
        <v>11.649205800000001</v>
      </c>
      <c r="T30" s="412">
        <v>119</v>
      </c>
      <c r="U30" s="410">
        <f t="shared" si="2"/>
        <v>102.58620689655173</v>
      </c>
      <c r="V30" s="413">
        <f t="shared" si="3"/>
        <v>61.551724137931032</v>
      </c>
      <c r="W30" s="414">
        <f t="shared" si="4"/>
        <v>0.18925880571428574</v>
      </c>
      <c r="X30" s="415">
        <f t="shared" si="5"/>
        <v>0.81074119428571423</v>
      </c>
      <c r="Y30" s="416">
        <f t="shared" si="6"/>
        <v>0.4</v>
      </c>
      <c r="Z30" s="417" t="s">
        <v>1373</v>
      </c>
      <c r="AA30" s="418" t="s">
        <v>1374</v>
      </c>
      <c r="AB30" s="406">
        <v>6</v>
      </c>
      <c r="AC30" s="406">
        <v>144</v>
      </c>
      <c r="AD30" s="419">
        <v>46317</v>
      </c>
      <c r="AE30" s="420"/>
      <c r="AG30" s="421">
        <v>79</v>
      </c>
      <c r="AH30" s="422">
        <f t="shared" si="7"/>
        <v>68.103448275862078</v>
      </c>
      <c r="AI30" s="423">
        <f t="shared" si="8"/>
        <v>0.17105162946835442</v>
      </c>
      <c r="AJ30" s="424">
        <f t="shared" si="9"/>
        <v>0.82894837053164561</v>
      </c>
      <c r="AK30" s="425">
        <f t="shared" si="10"/>
        <v>0</v>
      </c>
      <c r="BA30" s="426">
        <v>1</v>
      </c>
      <c r="BB30" s="426">
        <v>1</v>
      </c>
      <c r="BC30" s="426">
        <v>1</v>
      </c>
      <c r="BD30" s="426">
        <v>1</v>
      </c>
      <c r="BE30" s="426">
        <v>1</v>
      </c>
      <c r="BF30" s="435">
        <v>1</v>
      </c>
      <c r="BG30" s="435">
        <v>1</v>
      </c>
      <c r="BH30" s="435"/>
      <c r="BI30" s="435"/>
      <c r="BJ30" s="426">
        <v>9</v>
      </c>
      <c r="BK30" s="426">
        <f t="shared" si="11"/>
        <v>7</v>
      </c>
      <c r="BL30" s="427">
        <f t="shared" si="12"/>
        <v>0.77777777777777779</v>
      </c>
      <c r="BR30" s="431" t="s">
        <v>1375</v>
      </c>
      <c r="BS30" s="428">
        <f t="shared" si="14"/>
        <v>46317</v>
      </c>
      <c r="BT30" s="429" t="s">
        <v>637</v>
      </c>
      <c r="CJ30" s="431"/>
      <c r="CK30" s="431"/>
      <c r="CL30" s="431"/>
      <c r="CM30" s="431"/>
      <c r="CN30" s="431"/>
      <c r="CO30" s="431"/>
      <c r="CP30" s="432"/>
      <c r="CQ30" s="432"/>
      <c r="CR30" s="434"/>
      <c r="CS30" s="434"/>
      <c r="CT30" s="434"/>
      <c r="CU30" s="434"/>
      <c r="CV30" s="434"/>
      <c r="CW30" s="434"/>
      <c r="CX30" s="434"/>
      <c r="CY30" s="434"/>
      <c r="CZ30" s="434"/>
      <c r="DA30" s="434"/>
    </row>
    <row r="31" spans="1:105" ht="69" customHeight="1">
      <c r="A31" s="404">
        <v>15</v>
      </c>
      <c r="B31" s="468">
        <v>46266</v>
      </c>
      <c r="C31" s="468">
        <v>46266</v>
      </c>
      <c r="D31" s="406" t="s">
        <v>163</v>
      </c>
      <c r="E31" s="406"/>
      <c r="F31" s="406" t="s">
        <v>1403</v>
      </c>
      <c r="G31" s="405" t="s">
        <v>1404</v>
      </c>
      <c r="H31" s="393"/>
      <c r="I31" s="406" t="s">
        <v>403</v>
      </c>
      <c r="J31" s="407" t="s">
        <v>1367</v>
      </c>
      <c r="K31" s="407" t="s">
        <v>1064</v>
      </c>
      <c r="L31" s="408">
        <v>1</v>
      </c>
      <c r="M31" s="436">
        <v>0.45</v>
      </c>
      <c r="N31" s="410" t="s">
        <v>74</v>
      </c>
      <c r="O31" s="411">
        <v>10000</v>
      </c>
      <c r="P31" s="410">
        <f t="shared" si="13"/>
        <v>8.3250000000000011</v>
      </c>
      <c r="Q31" s="410">
        <f t="shared" si="23"/>
        <v>2.9970000000000003</v>
      </c>
      <c r="R31" s="410">
        <f t="shared" si="32"/>
        <v>0.32720580000000005</v>
      </c>
      <c r="S31" s="410">
        <f t="shared" si="1"/>
        <v>11.649205800000001</v>
      </c>
      <c r="T31" s="412">
        <v>119</v>
      </c>
      <c r="U31" s="410">
        <f t="shared" si="2"/>
        <v>102.58620689655173</v>
      </c>
      <c r="V31" s="413">
        <f t="shared" si="3"/>
        <v>61.551724137931032</v>
      </c>
      <c r="W31" s="414">
        <f t="shared" si="4"/>
        <v>0.18925880571428574</v>
      </c>
      <c r="X31" s="415">
        <f t="shared" si="5"/>
        <v>0.81074119428571423</v>
      </c>
      <c r="Y31" s="416">
        <f t="shared" si="6"/>
        <v>0.4</v>
      </c>
      <c r="Z31" s="417" t="s">
        <v>1373</v>
      </c>
      <c r="AA31" s="418" t="s">
        <v>1374</v>
      </c>
      <c r="AB31" s="406">
        <v>6</v>
      </c>
      <c r="AC31" s="406">
        <v>144</v>
      </c>
      <c r="AD31" s="419">
        <v>46317</v>
      </c>
      <c r="AE31" s="420"/>
      <c r="AG31" s="421">
        <v>79</v>
      </c>
      <c r="AH31" s="422">
        <f t="shared" si="7"/>
        <v>68.103448275862078</v>
      </c>
      <c r="AI31" s="423">
        <f t="shared" si="8"/>
        <v>0.17105162946835442</v>
      </c>
      <c r="AJ31" s="424">
        <f t="shared" si="9"/>
        <v>0.82894837053164561</v>
      </c>
      <c r="AK31" s="425">
        <f t="shared" si="10"/>
        <v>0</v>
      </c>
      <c r="BA31" s="426">
        <v>1</v>
      </c>
      <c r="BB31" s="426">
        <v>1</v>
      </c>
      <c r="BC31" s="426">
        <v>1</v>
      </c>
      <c r="BD31" s="426">
        <v>1</v>
      </c>
      <c r="BE31" s="426">
        <v>1</v>
      </c>
      <c r="BF31" s="435">
        <v>1</v>
      </c>
      <c r="BG31" s="435">
        <v>1</v>
      </c>
      <c r="BH31" s="435"/>
      <c r="BI31" s="435"/>
      <c r="BJ31" s="426">
        <v>9</v>
      </c>
      <c r="BK31" s="426">
        <f t="shared" si="11"/>
        <v>7</v>
      </c>
      <c r="BL31" s="427">
        <f t="shared" si="12"/>
        <v>0.77777777777777779</v>
      </c>
      <c r="BR31" s="431" t="s">
        <v>1375</v>
      </c>
      <c r="BS31" s="428">
        <f t="shared" si="14"/>
        <v>46317</v>
      </c>
      <c r="BT31" s="429" t="s">
        <v>637</v>
      </c>
      <c r="CJ31" s="431"/>
      <c r="CK31" s="431"/>
      <c r="CL31" s="431"/>
      <c r="CM31" s="431"/>
      <c r="CN31" s="431"/>
      <c r="CO31" s="431"/>
      <c r="CP31" s="432"/>
      <c r="CQ31" s="432"/>
      <c r="CR31" s="434"/>
      <c r="CS31" s="434"/>
      <c r="CT31" s="434"/>
      <c r="CU31" s="434"/>
      <c r="CV31" s="434"/>
      <c r="CW31" s="434"/>
      <c r="CX31" s="434"/>
      <c r="CY31" s="434"/>
      <c r="CZ31" s="434"/>
      <c r="DA31" s="434"/>
    </row>
    <row r="32" spans="1:105" ht="69" customHeight="1">
      <c r="A32" s="404">
        <v>16</v>
      </c>
      <c r="B32" s="468">
        <v>46266</v>
      </c>
      <c r="C32" s="468">
        <v>46266</v>
      </c>
      <c r="D32" s="406" t="s">
        <v>163</v>
      </c>
      <c r="E32" s="406"/>
      <c r="F32" s="406" t="s">
        <v>1405</v>
      </c>
      <c r="G32" s="405" t="s">
        <v>1406</v>
      </c>
      <c r="H32" s="393"/>
      <c r="I32" s="406" t="s">
        <v>403</v>
      </c>
      <c r="J32" s="407" t="s">
        <v>1367</v>
      </c>
      <c r="K32" s="407" t="s">
        <v>1064</v>
      </c>
      <c r="L32" s="408">
        <v>1</v>
      </c>
      <c r="M32" s="436">
        <v>0.45</v>
      </c>
      <c r="N32" s="410" t="s">
        <v>74</v>
      </c>
      <c r="O32" s="411">
        <v>10000</v>
      </c>
      <c r="P32" s="410">
        <f t="shared" si="13"/>
        <v>8.3250000000000011</v>
      </c>
      <c r="Q32" s="410">
        <f t="shared" si="23"/>
        <v>2.9970000000000003</v>
      </c>
      <c r="R32" s="410">
        <f t="shared" si="32"/>
        <v>0.32720580000000005</v>
      </c>
      <c r="S32" s="410">
        <f t="shared" si="1"/>
        <v>11.649205800000001</v>
      </c>
      <c r="T32" s="412">
        <v>119</v>
      </c>
      <c r="U32" s="410">
        <f t="shared" si="2"/>
        <v>102.58620689655173</v>
      </c>
      <c r="V32" s="413">
        <f t="shared" si="3"/>
        <v>61.551724137931032</v>
      </c>
      <c r="W32" s="414">
        <f t="shared" si="4"/>
        <v>0.18925880571428574</v>
      </c>
      <c r="X32" s="415">
        <f t="shared" si="5"/>
        <v>0.81074119428571423</v>
      </c>
      <c r="Y32" s="416">
        <f t="shared" si="6"/>
        <v>0.4</v>
      </c>
      <c r="Z32" s="417" t="s">
        <v>1373</v>
      </c>
      <c r="AA32" s="418" t="s">
        <v>1374</v>
      </c>
      <c r="AB32" s="406">
        <v>6</v>
      </c>
      <c r="AC32" s="406">
        <v>144</v>
      </c>
      <c r="AD32" s="419">
        <v>46317</v>
      </c>
      <c r="AE32" s="420"/>
      <c r="AG32" s="421">
        <v>79</v>
      </c>
      <c r="AH32" s="422">
        <f t="shared" si="7"/>
        <v>68.103448275862078</v>
      </c>
      <c r="AI32" s="423">
        <f t="shared" si="8"/>
        <v>0.17105162946835442</v>
      </c>
      <c r="AJ32" s="424">
        <f t="shared" si="9"/>
        <v>0.82894837053164561</v>
      </c>
      <c r="AK32" s="425">
        <f t="shared" si="10"/>
        <v>0</v>
      </c>
      <c r="BA32" s="426">
        <v>1</v>
      </c>
      <c r="BB32" s="426">
        <v>1</v>
      </c>
      <c r="BC32" s="426">
        <v>1</v>
      </c>
      <c r="BD32" s="426">
        <v>1</v>
      </c>
      <c r="BE32" s="426">
        <v>1</v>
      </c>
      <c r="BF32" s="435">
        <v>1</v>
      </c>
      <c r="BG32" s="435">
        <v>1</v>
      </c>
      <c r="BH32" s="435"/>
      <c r="BI32" s="435"/>
      <c r="BJ32" s="426">
        <v>9</v>
      </c>
      <c r="BK32" s="426">
        <f t="shared" si="11"/>
        <v>7</v>
      </c>
      <c r="BL32" s="427">
        <f t="shared" si="12"/>
        <v>0.77777777777777779</v>
      </c>
      <c r="BR32" s="431" t="s">
        <v>1375</v>
      </c>
      <c r="BS32" s="428">
        <f t="shared" si="14"/>
        <v>46317</v>
      </c>
      <c r="BT32" s="429" t="s">
        <v>637</v>
      </c>
      <c r="CJ32" s="431"/>
      <c r="CK32" s="431"/>
      <c r="CL32" s="431"/>
      <c r="CM32" s="431"/>
      <c r="CN32" s="431"/>
      <c r="CO32" s="431"/>
      <c r="CP32" s="432"/>
      <c r="CQ32" s="432"/>
      <c r="CR32" s="434"/>
      <c r="CS32" s="434"/>
      <c r="CT32" s="434"/>
      <c r="CU32" s="434"/>
      <c r="CV32" s="434"/>
      <c r="CW32" s="434"/>
      <c r="CX32" s="434"/>
      <c r="CY32" s="434"/>
      <c r="CZ32" s="434"/>
      <c r="DA32" s="434"/>
    </row>
    <row r="33" spans="1:105" ht="69" customHeight="1">
      <c r="A33" s="404">
        <v>17</v>
      </c>
      <c r="B33" s="468">
        <v>46266</v>
      </c>
      <c r="C33" s="468">
        <v>46266</v>
      </c>
      <c r="D33" s="406" t="s">
        <v>163</v>
      </c>
      <c r="E33" s="406"/>
      <c r="F33" s="406" t="s">
        <v>1407</v>
      </c>
      <c r="G33" s="405" t="s">
        <v>1408</v>
      </c>
      <c r="H33" s="393"/>
      <c r="I33" s="406" t="s">
        <v>403</v>
      </c>
      <c r="J33" s="407" t="s">
        <v>1367</v>
      </c>
      <c r="K33" s="407" t="s">
        <v>1064</v>
      </c>
      <c r="L33" s="408">
        <v>1</v>
      </c>
      <c r="M33" s="436">
        <v>0.45</v>
      </c>
      <c r="N33" s="410" t="s">
        <v>74</v>
      </c>
      <c r="O33" s="411">
        <v>10000</v>
      </c>
      <c r="P33" s="410">
        <f t="shared" si="13"/>
        <v>8.3250000000000011</v>
      </c>
      <c r="Q33" s="410">
        <f t="shared" si="23"/>
        <v>2.9970000000000003</v>
      </c>
      <c r="R33" s="410">
        <f t="shared" si="32"/>
        <v>0.32720580000000005</v>
      </c>
      <c r="S33" s="410">
        <f t="shared" si="1"/>
        <v>11.649205800000001</v>
      </c>
      <c r="T33" s="412">
        <v>119</v>
      </c>
      <c r="U33" s="410">
        <f t="shared" si="2"/>
        <v>102.58620689655173</v>
      </c>
      <c r="V33" s="413">
        <f t="shared" si="3"/>
        <v>61.551724137931032</v>
      </c>
      <c r="W33" s="414">
        <f t="shared" si="4"/>
        <v>0.18925880571428574</v>
      </c>
      <c r="X33" s="415">
        <f t="shared" si="5"/>
        <v>0.81074119428571423</v>
      </c>
      <c r="Y33" s="416">
        <f t="shared" si="6"/>
        <v>0.4</v>
      </c>
      <c r="Z33" s="417" t="s">
        <v>1373</v>
      </c>
      <c r="AA33" s="418" t="s">
        <v>1374</v>
      </c>
      <c r="AB33" s="406">
        <v>6</v>
      </c>
      <c r="AC33" s="406">
        <v>144</v>
      </c>
      <c r="AD33" s="419">
        <v>46317</v>
      </c>
      <c r="AE33" s="420"/>
      <c r="AG33" s="421">
        <v>79</v>
      </c>
      <c r="AH33" s="422">
        <f t="shared" si="7"/>
        <v>68.103448275862078</v>
      </c>
      <c r="AI33" s="423">
        <f t="shared" si="8"/>
        <v>0.17105162946835442</v>
      </c>
      <c r="AJ33" s="424">
        <f t="shared" si="9"/>
        <v>0.82894837053164561</v>
      </c>
      <c r="AK33" s="425">
        <f t="shared" si="10"/>
        <v>0</v>
      </c>
      <c r="BA33" s="426">
        <v>1</v>
      </c>
      <c r="BB33" s="426">
        <v>1</v>
      </c>
      <c r="BC33" s="426">
        <v>1</v>
      </c>
      <c r="BD33" s="426">
        <v>1</v>
      </c>
      <c r="BE33" s="426">
        <v>1</v>
      </c>
      <c r="BF33" s="435">
        <v>1</v>
      </c>
      <c r="BG33" s="435">
        <v>1</v>
      </c>
      <c r="BH33" s="435"/>
      <c r="BI33" s="435"/>
      <c r="BJ33" s="426">
        <v>9</v>
      </c>
      <c r="BK33" s="426">
        <f t="shared" si="11"/>
        <v>7</v>
      </c>
      <c r="BL33" s="427">
        <f t="shared" si="12"/>
        <v>0.77777777777777779</v>
      </c>
      <c r="BR33" s="431" t="s">
        <v>1375</v>
      </c>
      <c r="BS33" s="428">
        <f t="shared" si="14"/>
        <v>46317</v>
      </c>
      <c r="BT33" s="429" t="s">
        <v>637</v>
      </c>
      <c r="CJ33" s="431"/>
      <c r="CK33" s="431"/>
      <c r="CL33" s="431"/>
      <c r="CM33" s="431"/>
      <c r="CN33" s="431"/>
      <c r="CO33" s="431"/>
      <c r="CP33" s="432"/>
      <c r="CQ33" s="432"/>
      <c r="CR33" s="434"/>
      <c r="CS33" s="434"/>
      <c r="CT33" s="434"/>
      <c r="CU33" s="434"/>
      <c r="CV33" s="434"/>
      <c r="CW33" s="434"/>
      <c r="CX33" s="434"/>
      <c r="CY33" s="434"/>
      <c r="CZ33" s="434"/>
      <c r="DA33" s="434"/>
    </row>
    <row r="34" spans="1:105" ht="69" customHeight="1">
      <c r="A34" s="404">
        <v>18</v>
      </c>
      <c r="B34" s="468">
        <v>46266</v>
      </c>
      <c r="C34" s="468">
        <v>46266</v>
      </c>
      <c r="D34" s="406" t="s">
        <v>163</v>
      </c>
      <c r="E34" s="406"/>
      <c r="F34" s="406" t="s">
        <v>1409</v>
      </c>
      <c r="G34" s="405" t="s">
        <v>1410</v>
      </c>
      <c r="H34" s="393"/>
      <c r="I34" s="406" t="s">
        <v>403</v>
      </c>
      <c r="J34" s="407" t="s">
        <v>1367</v>
      </c>
      <c r="K34" s="407" t="s">
        <v>1064</v>
      </c>
      <c r="L34" s="408">
        <v>1</v>
      </c>
      <c r="M34" s="436">
        <v>0.45</v>
      </c>
      <c r="N34" s="410" t="s">
        <v>74</v>
      </c>
      <c r="O34" s="411">
        <v>10000</v>
      </c>
      <c r="P34" s="410">
        <f t="shared" si="13"/>
        <v>8.3250000000000011</v>
      </c>
      <c r="Q34" s="410">
        <f t="shared" si="23"/>
        <v>2.9970000000000003</v>
      </c>
      <c r="R34" s="410">
        <f t="shared" si="32"/>
        <v>0.32720580000000005</v>
      </c>
      <c r="S34" s="410">
        <f t="shared" si="1"/>
        <v>11.649205800000001</v>
      </c>
      <c r="T34" s="412">
        <v>119</v>
      </c>
      <c r="U34" s="410">
        <f t="shared" si="2"/>
        <v>102.58620689655173</v>
      </c>
      <c r="V34" s="413">
        <f t="shared" si="3"/>
        <v>61.551724137931032</v>
      </c>
      <c r="W34" s="414">
        <f t="shared" si="4"/>
        <v>0.18925880571428574</v>
      </c>
      <c r="X34" s="415">
        <f t="shared" si="5"/>
        <v>0.81074119428571423</v>
      </c>
      <c r="Y34" s="416">
        <f t="shared" si="6"/>
        <v>0.4</v>
      </c>
      <c r="Z34" s="417" t="s">
        <v>1373</v>
      </c>
      <c r="AA34" s="418" t="s">
        <v>1374</v>
      </c>
      <c r="AB34" s="406">
        <v>6</v>
      </c>
      <c r="AC34" s="406">
        <v>144</v>
      </c>
      <c r="AD34" s="419">
        <v>46317</v>
      </c>
      <c r="AE34" s="420"/>
      <c r="AG34" s="421">
        <v>79</v>
      </c>
      <c r="AH34" s="422">
        <f t="shared" si="7"/>
        <v>68.103448275862078</v>
      </c>
      <c r="AI34" s="423">
        <f t="shared" si="8"/>
        <v>0.17105162946835442</v>
      </c>
      <c r="AJ34" s="424">
        <f t="shared" si="9"/>
        <v>0.82894837053164561</v>
      </c>
      <c r="AK34" s="425">
        <f t="shared" si="10"/>
        <v>0</v>
      </c>
      <c r="BA34" s="426">
        <v>1</v>
      </c>
      <c r="BB34" s="426">
        <v>1</v>
      </c>
      <c r="BC34" s="426">
        <v>1</v>
      </c>
      <c r="BD34" s="426">
        <v>1</v>
      </c>
      <c r="BE34" s="426">
        <v>1</v>
      </c>
      <c r="BF34" s="435">
        <v>1</v>
      </c>
      <c r="BG34" s="435">
        <v>1</v>
      </c>
      <c r="BH34" s="435"/>
      <c r="BI34" s="435"/>
      <c r="BJ34" s="426">
        <v>9</v>
      </c>
      <c r="BK34" s="426">
        <f t="shared" si="11"/>
        <v>7</v>
      </c>
      <c r="BL34" s="427">
        <f t="shared" si="12"/>
        <v>0.77777777777777779</v>
      </c>
      <c r="BR34" s="431" t="s">
        <v>1375</v>
      </c>
      <c r="BS34" s="428">
        <f t="shared" si="14"/>
        <v>46317</v>
      </c>
      <c r="BT34" s="429" t="s">
        <v>637</v>
      </c>
      <c r="CJ34" s="431"/>
      <c r="CK34" s="431"/>
      <c r="CL34" s="431"/>
      <c r="CM34" s="431"/>
      <c r="CN34" s="431"/>
      <c r="CO34" s="431"/>
      <c r="CP34" s="432"/>
      <c r="CQ34" s="432"/>
      <c r="CR34" s="434"/>
      <c r="CS34" s="434"/>
      <c r="CT34" s="434"/>
      <c r="CU34" s="434"/>
      <c r="CV34" s="434"/>
      <c r="CW34" s="434"/>
      <c r="CX34" s="434"/>
      <c r="CY34" s="434"/>
      <c r="CZ34" s="434"/>
      <c r="DA34" s="434"/>
    </row>
    <row r="35" spans="1:105" ht="69" customHeight="1">
      <c r="A35" s="404">
        <v>19</v>
      </c>
      <c r="B35" s="468">
        <v>46266</v>
      </c>
      <c r="C35" s="468">
        <v>46266</v>
      </c>
      <c r="D35" s="406" t="s">
        <v>163</v>
      </c>
      <c r="E35" s="406"/>
      <c r="F35" s="406" t="s">
        <v>1411</v>
      </c>
      <c r="G35" s="405" t="s">
        <v>1412</v>
      </c>
      <c r="H35" s="393"/>
      <c r="I35" s="406" t="s">
        <v>403</v>
      </c>
      <c r="J35" s="407" t="s">
        <v>1367</v>
      </c>
      <c r="K35" s="407" t="s">
        <v>1064</v>
      </c>
      <c r="L35" s="408">
        <v>1</v>
      </c>
      <c r="M35" s="436">
        <v>0.45</v>
      </c>
      <c r="N35" s="410" t="s">
        <v>74</v>
      </c>
      <c r="O35" s="411">
        <v>10000</v>
      </c>
      <c r="P35" s="410">
        <f t="shared" si="13"/>
        <v>8.3250000000000011</v>
      </c>
      <c r="Q35" s="410">
        <f t="shared" si="23"/>
        <v>2.9970000000000003</v>
      </c>
      <c r="R35" s="410">
        <f t="shared" si="32"/>
        <v>0.32720580000000005</v>
      </c>
      <c r="S35" s="410">
        <f t="shared" si="1"/>
        <v>11.649205800000001</v>
      </c>
      <c r="T35" s="412">
        <v>119</v>
      </c>
      <c r="U35" s="410">
        <f t="shared" si="2"/>
        <v>102.58620689655173</v>
      </c>
      <c r="V35" s="413">
        <f t="shared" si="3"/>
        <v>61.551724137931032</v>
      </c>
      <c r="W35" s="414">
        <f t="shared" si="4"/>
        <v>0.18925880571428574</v>
      </c>
      <c r="X35" s="415">
        <f t="shared" si="5"/>
        <v>0.81074119428571423</v>
      </c>
      <c r="Y35" s="416">
        <f t="shared" si="6"/>
        <v>0.4</v>
      </c>
      <c r="Z35" s="417" t="s">
        <v>1373</v>
      </c>
      <c r="AA35" s="418" t="s">
        <v>1374</v>
      </c>
      <c r="AB35" s="406">
        <v>6</v>
      </c>
      <c r="AC35" s="406">
        <v>144</v>
      </c>
      <c r="AD35" s="419">
        <v>46317</v>
      </c>
      <c r="AE35" s="420"/>
      <c r="AG35" s="421">
        <v>79</v>
      </c>
      <c r="AH35" s="422">
        <f t="shared" si="7"/>
        <v>68.103448275862078</v>
      </c>
      <c r="AI35" s="423">
        <f t="shared" si="8"/>
        <v>0.17105162946835442</v>
      </c>
      <c r="AJ35" s="424">
        <f t="shared" si="9"/>
        <v>0.82894837053164561</v>
      </c>
      <c r="AK35" s="425">
        <f t="shared" si="10"/>
        <v>0</v>
      </c>
      <c r="BA35" s="426">
        <v>1</v>
      </c>
      <c r="BB35" s="426">
        <v>1</v>
      </c>
      <c r="BC35" s="426">
        <v>1</v>
      </c>
      <c r="BD35" s="426">
        <v>1</v>
      </c>
      <c r="BE35" s="426">
        <v>1</v>
      </c>
      <c r="BF35" s="435">
        <v>1</v>
      </c>
      <c r="BG35" s="435">
        <v>1</v>
      </c>
      <c r="BH35" s="435"/>
      <c r="BI35" s="435"/>
      <c r="BJ35" s="426">
        <v>9</v>
      </c>
      <c r="BK35" s="426">
        <f t="shared" si="11"/>
        <v>7</v>
      </c>
      <c r="BL35" s="427">
        <f t="shared" si="12"/>
        <v>0.77777777777777779</v>
      </c>
      <c r="BR35" s="431" t="s">
        <v>1375</v>
      </c>
      <c r="BS35" s="428">
        <f t="shared" si="14"/>
        <v>46317</v>
      </c>
      <c r="BT35" s="429" t="s">
        <v>637</v>
      </c>
      <c r="CJ35" s="431"/>
      <c r="CK35" s="431"/>
      <c r="CL35" s="431"/>
      <c r="CM35" s="431"/>
      <c r="CN35" s="431"/>
      <c r="CO35" s="431"/>
      <c r="CP35" s="432"/>
      <c r="CQ35" s="432"/>
      <c r="CR35" s="434"/>
      <c r="CS35" s="434"/>
      <c r="CT35" s="434"/>
      <c r="CU35" s="434"/>
      <c r="CV35" s="434"/>
      <c r="CW35" s="434"/>
      <c r="CX35" s="434"/>
      <c r="CY35" s="434"/>
      <c r="CZ35" s="434"/>
      <c r="DA35" s="434"/>
    </row>
    <row r="36" spans="1:105" ht="69" customHeight="1">
      <c r="A36" s="404">
        <v>20</v>
      </c>
      <c r="B36" s="468">
        <v>46266</v>
      </c>
      <c r="C36" s="468">
        <v>46266</v>
      </c>
      <c r="D36" s="406" t="s">
        <v>163</v>
      </c>
      <c r="E36" s="406"/>
      <c r="F36" s="406" t="s">
        <v>1413</v>
      </c>
      <c r="G36" s="405" t="s">
        <v>1414</v>
      </c>
      <c r="H36" s="393"/>
      <c r="I36" s="406" t="s">
        <v>403</v>
      </c>
      <c r="J36" s="407" t="s">
        <v>1367</v>
      </c>
      <c r="K36" s="407" t="s">
        <v>1064</v>
      </c>
      <c r="L36" s="408">
        <v>1</v>
      </c>
      <c r="M36" s="436">
        <v>0.45</v>
      </c>
      <c r="N36" s="410" t="s">
        <v>74</v>
      </c>
      <c r="O36" s="411">
        <v>10000</v>
      </c>
      <c r="P36" s="410">
        <f t="shared" si="13"/>
        <v>8.3250000000000011</v>
      </c>
      <c r="Q36" s="410">
        <f t="shared" si="23"/>
        <v>2.9970000000000003</v>
      </c>
      <c r="R36" s="410">
        <f t="shared" si="32"/>
        <v>0.32720580000000005</v>
      </c>
      <c r="S36" s="410">
        <f t="shared" si="1"/>
        <v>11.649205800000001</v>
      </c>
      <c r="T36" s="412">
        <v>119</v>
      </c>
      <c r="U36" s="410">
        <f t="shared" si="2"/>
        <v>102.58620689655173</v>
      </c>
      <c r="V36" s="413">
        <f t="shared" si="3"/>
        <v>61.551724137931032</v>
      </c>
      <c r="W36" s="414">
        <f t="shared" si="4"/>
        <v>0.18925880571428574</v>
      </c>
      <c r="X36" s="415">
        <f t="shared" si="5"/>
        <v>0.81074119428571423</v>
      </c>
      <c r="Y36" s="416">
        <f t="shared" si="6"/>
        <v>0.4</v>
      </c>
      <c r="Z36" s="417" t="s">
        <v>1373</v>
      </c>
      <c r="AA36" s="418" t="s">
        <v>1374</v>
      </c>
      <c r="AB36" s="406">
        <v>6</v>
      </c>
      <c r="AC36" s="406">
        <v>144</v>
      </c>
      <c r="AD36" s="419">
        <v>46317</v>
      </c>
      <c r="AE36" s="420"/>
      <c r="AG36" s="421">
        <v>79</v>
      </c>
      <c r="AH36" s="422">
        <f t="shared" si="7"/>
        <v>68.103448275862078</v>
      </c>
      <c r="AI36" s="423">
        <f t="shared" si="8"/>
        <v>0.17105162946835442</v>
      </c>
      <c r="AJ36" s="424">
        <f t="shared" si="9"/>
        <v>0.82894837053164561</v>
      </c>
      <c r="AK36" s="425">
        <f t="shared" si="10"/>
        <v>0</v>
      </c>
      <c r="BA36" s="426">
        <v>1</v>
      </c>
      <c r="BB36" s="426">
        <v>1</v>
      </c>
      <c r="BC36" s="426">
        <v>1</v>
      </c>
      <c r="BD36" s="426">
        <v>1</v>
      </c>
      <c r="BE36" s="426">
        <v>1</v>
      </c>
      <c r="BF36" s="435">
        <v>1</v>
      </c>
      <c r="BG36" s="435">
        <v>1</v>
      </c>
      <c r="BH36" s="435"/>
      <c r="BI36" s="435"/>
      <c r="BJ36" s="426">
        <v>9</v>
      </c>
      <c r="BK36" s="426">
        <f t="shared" si="11"/>
        <v>7</v>
      </c>
      <c r="BL36" s="427">
        <f t="shared" si="12"/>
        <v>0.77777777777777779</v>
      </c>
      <c r="BR36" s="431" t="s">
        <v>1375</v>
      </c>
      <c r="BS36" s="428">
        <f t="shared" si="14"/>
        <v>46317</v>
      </c>
      <c r="BT36" s="429" t="s">
        <v>637</v>
      </c>
      <c r="CJ36" s="431"/>
      <c r="CK36" s="431"/>
      <c r="CL36" s="431"/>
      <c r="CM36" s="431"/>
      <c r="CN36" s="431"/>
      <c r="CO36" s="431"/>
      <c r="CP36" s="432"/>
      <c r="CQ36" s="432"/>
      <c r="CR36" s="434"/>
      <c r="CS36" s="434"/>
      <c r="CT36" s="434"/>
      <c r="CU36" s="434"/>
      <c r="CV36" s="434"/>
      <c r="CW36" s="434"/>
      <c r="CX36" s="434"/>
      <c r="CY36" s="434"/>
      <c r="CZ36" s="434"/>
      <c r="DA36" s="434"/>
    </row>
    <row r="37" spans="1:105" ht="69" customHeight="1">
      <c r="A37" s="404">
        <v>21</v>
      </c>
      <c r="B37" s="468">
        <v>46266</v>
      </c>
      <c r="C37" s="468">
        <v>46266</v>
      </c>
      <c r="D37" s="406" t="s">
        <v>163</v>
      </c>
      <c r="E37" s="406"/>
      <c r="F37" s="406" t="s">
        <v>1415</v>
      </c>
      <c r="G37" s="405" t="s">
        <v>1416</v>
      </c>
      <c r="H37" s="393"/>
      <c r="I37" s="406" t="s">
        <v>403</v>
      </c>
      <c r="J37" s="407" t="s">
        <v>1367</v>
      </c>
      <c r="K37" s="407" t="s">
        <v>1064</v>
      </c>
      <c r="L37" s="408">
        <v>1</v>
      </c>
      <c r="M37" s="436">
        <v>0.45</v>
      </c>
      <c r="N37" s="410" t="s">
        <v>74</v>
      </c>
      <c r="O37" s="411">
        <v>10000</v>
      </c>
      <c r="P37" s="410">
        <f t="shared" si="13"/>
        <v>8.3250000000000011</v>
      </c>
      <c r="Q37" s="410">
        <f t="shared" si="23"/>
        <v>2.9970000000000003</v>
      </c>
      <c r="R37" s="410">
        <f t="shared" si="32"/>
        <v>0.32720580000000005</v>
      </c>
      <c r="S37" s="410">
        <f t="shared" si="1"/>
        <v>11.649205800000001</v>
      </c>
      <c r="T37" s="412">
        <v>119</v>
      </c>
      <c r="U37" s="410">
        <f t="shared" si="2"/>
        <v>102.58620689655173</v>
      </c>
      <c r="V37" s="413">
        <f t="shared" si="3"/>
        <v>61.551724137931032</v>
      </c>
      <c r="W37" s="414">
        <f t="shared" si="4"/>
        <v>0.18925880571428574</v>
      </c>
      <c r="X37" s="415">
        <f t="shared" si="5"/>
        <v>0.81074119428571423</v>
      </c>
      <c r="Y37" s="416">
        <f t="shared" si="6"/>
        <v>0.4</v>
      </c>
      <c r="Z37" s="417" t="s">
        <v>1373</v>
      </c>
      <c r="AA37" s="418" t="s">
        <v>1374</v>
      </c>
      <c r="AB37" s="406">
        <v>6</v>
      </c>
      <c r="AC37" s="406">
        <v>144</v>
      </c>
      <c r="AD37" s="419">
        <v>46317</v>
      </c>
      <c r="AE37" s="420"/>
      <c r="AG37" s="421">
        <v>79</v>
      </c>
      <c r="AH37" s="422">
        <f t="shared" si="7"/>
        <v>68.103448275862078</v>
      </c>
      <c r="AI37" s="423">
        <f t="shared" si="8"/>
        <v>0.17105162946835442</v>
      </c>
      <c r="AJ37" s="424">
        <f t="shared" si="9"/>
        <v>0.82894837053164561</v>
      </c>
      <c r="AK37" s="425">
        <f t="shared" si="10"/>
        <v>0</v>
      </c>
      <c r="BA37" s="426">
        <v>1</v>
      </c>
      <c r="BB37" s="426">
        <v>1</v>
      </c>
      <c r="BC37" s="426">
        <v>1</v>
      </c>
      <c r="BD37" s="426">
        <v>1</v>
      </c>
      <c r="BE37" s="426">
        <v>1</v>
      </c>
      <c r="BF37" s="435">
        <v>1</v>
      </c>
      <c r="BG37" s="435">
        <v>1</v>
      </c>
      <c r="BH37" s="435"/>
      <c r="BI37" s="435"/>
      <c r="BJ37" s="426">
        <v>9</v>
      </c>
      <c r="BK37" s="426">
        <f t="shared" si="11"/>
        <v>7</v>
      </c>
      <c r="BL37" s="427">
        <f t="shared" si="12"/>
        <v>0.77777777777777779</v>
      </c>
      <c r="BR37" s="431" t="s">
        <v>1375</v>
      </c>
      <c r="BS37" s="428">
        <f t="shared" si="14"/>
        <v>46317</v>
      </c>
      <c r="BT37" s="429" t="s">
        <v>637</v>
      </c>
      <c r="CJ37" s="431"/>
      <c r="CK37" s="431"/>
      <c r="CL37" s="431"/>
      <c r="CM37" s="431"/>
      <c r="CN37" s="431"/>
      <c r="CO37" s="431"/>
      <c r="CP37" s="432"/>
      <c r="CQ37" s="432"/>
      <c r="CR37" s="434"/>
      <c r="CS37" s="434"/>
      <c r="CT37" s="434"/>
      <c r="CU37" s="434"/>
      <c r="CV37" s="434"/>
      <c r="CW37" s="434"/>
      <c r="CX37" s="434"/>
      <c r="CY37" s="434"/>
      <c r="CZ37" s="434"/>
      <c r="DA37" s="434"/>
    </row>
    <row r="38" spans="1:105" ht="69" customHeight="1">
      <c r="A38" s="404">
        <v>22</v>
      </c>
      <c r="B38" s="468">
        <v>46266</v>
      </c>
      <c r="C38" s="468">
        <v>46266</v>
      </c>
      <c r="D38" s="406" t="s">
        <v>163</v>
      </c>
      <c r="E38" s="406"/>
      <c r="F38" s="406" t="s">
        <v>1417</v>
      </c>
      <c r="G38" s="405" t="s">
        <v>1418</v>
      </c>
      <c r="H38" s="393"/>
      <c r="I38" s="406" t="s">
        <v>403</v>
      </c>
      <c r="J38" s="407" t="s">
        <v>1367</v>
      </c>
      <c r="K38" s="407" t="s">
        <v>1064</v>
      </c>
      <c r="L38" s="408">
        <v>1</v>
      </c>
      <c r="M38" s="436">
        <v>0.45</v>
      </c>
      <c r="N38" s="410" t="s">
        <v>74</v>
      </c>
      <c r="O38" s="411">
        <v>10000</v>
      </c>
      <c r="P38" s="410">
        <f t="shared" si="13"/>
        <v>8.3250000000000011</v>
      </c>
      <c r="Q38" s="410">
        <f t="shared" si="23"/>
        <v>2.9970000000000003</v>
      </c>
      <c r="R38" s="410">
        <f t="shared" si="32"/>
        <v>0.32720580000000005</v>
      </c>
      <c r="S38" s="410">
        <f t="shared" si="1"/>
        <v>11.649205800000001</v>
      </c>
      <c r="T38" s="412">
        <v>119</v>
      </c>
      <c r="U38" s="410">
        <f t="shared" si="2"/>
        <v>102.58620689655173</v>
      </c>
      <c r="V38" s="413">
        <f t="shared" si="3"/>
        <v>61.551724137931032</v>
      </c>
      <c r="W38" s="414">
        <f t="shared" si="4"/>
        <v>0.18925880571428574</v>
      </c>
      <c r="X38" s="415">
        <f t="shared" si="5"/>
        <v>0.81074119428571423</v>
      </c>
      <c r="Y38" s="416">
        <f t="shared" si="6"/>
        <v>0.4</v>
      </c>
      <c r="Z38" s="417" t="s">
        <v>1373</v>
      </c>
      <c r="AA38" s="418" t="s">
        <v>1374</v>
      </c>
      <c r="AB38" s="406">
        <v>6</v>
      </c>
      <c r="AC38" s="406">
        <v>144</v>
      </c>
      <c r="AD38" s="419">
        <v>46317</v>
      </c>
      <c r="AE38" s="420"/>
      <c r="AG38" s="421">
        <v>79</v>
      </c>
      <c r="AH38" s="422">
        <f t="shared" si="7"/>
        <v>68.103448275862078</v>
      </c>
      <c r="AI38" s="423">
        <f t="shared" si="8"/>
        <v>0.17105162946835442</v>
      </c>
      <c r="AJ38" s="424">
        <f t="shared" si="9"/>
        <v>0.82894837053164561</v>
      </c>
      <c r="AK38" s="425">
        <f t="shared" si="10"/>
        <v>0</v>
      </c>
      <c r="BA38" s="426">
        <v>1</v>
      </c>
      <c r="BB38" s="426">
        <v>1</v>
      </c>
      <c r="BC38" s="426">
        <v>1</v>
      </c>
      <c r="BD38" s="426">
        <v>1</v>
      </c>
      <c r="BE38" s="426">
        <v>1</v>
      </c>
      <c r="BF38" s="435">
        <v>1</v>
      </c>
      <c r="BG38" s="435">
        <v>1</v>
      </c>
      <c r="BH38" s="435"/>
      <c r="BI38" s="435"/>
      <c r="BJ38" s="426">
        <v>9</v>
      </c>
      <c r="BK38" s="426">
        <f t="shared" si="11"/>
        <v>7</v>
      </c>
      <c r="BL38" s="427">
        <f t="shared" si="12"/>
        <v>0.77777777777777779</v>
      </c>
      <c r="BR38" s="431" t="s">
        <v>1375</v>
      </c>
      <c r="BS38" s="428">
        <f t="shared" si="14"/>
        <v>46317</v>
      </c>
      <c r="BT38" s="429" t="s">
        <v>637</v>
      </c>
      <c r="CJ38" s="431"/>
      <c r="CK38" s="431"/>
      <c r="CL38" s="431"/>
      <c r="CM38" s="431"/>
      <c r="CN38" s="431"/>
      <c r="CO38" s="431"/>
      <c r="CP38" s="432"/>
      <c r="CQ38" s="432"/>
      <c r="CR38" s="434"/>
      <c r="CS38" s="434"/>
      <c r="CT38" s="434"/>
      <c r="CU38" s="434"/>
      <c r="CV38" s="434"/>
      <c r="CW38" s="434"/>
      <c r="CX38" s="434"/>
      <c r="CY38" s="434"/>
      <c r="CZ38" s="434"/>
      <c r="DA38" s="434"/>
    </row>
    <row r="39" spans="1:105" ht="69" customHeight="1">
      <c r="A39" s="404">
        <v>23</v>
      </c>
      <c r="B39" s="468">
        <v>46266</v>
      </c>
      <c r="C39" s="468">
        <v>46266</v>
      </c>
      <c r="D39" s="406" t="s">
        <v>163</v>
      </c>
      <c r="E39" s="469">
        <v>7502327991977</v>
      </c>
      <c r="F39" s="406" t="s">
        <v>1419</v>
      </c>
      <c r="G39" s="405" t="s">
        <v>1420</v>
      </c>
      <c r="H39" s="393"/>
      <c r="I39" s="406"/>
      <c r="J39" s="407"/>
      <c r="K39" s="407"/>
      <c r="L39" s="408"/>
      <c r="M39" s="436"/>
      <c r="N39" s="410"/>
      <c r="O39" s="411"/>
      <c r="P39" s="410"/>
      <c r="Q39" s="410"/>
      <c r="R39" s="410"/>
      <c r="S39" s="410"/>
      <c r="T39" s="412"/>
      <c r="U39" s="410"/>
      <c r="V39" s="413"/>
      <c r="W39" s="414"/>
      <c r="X39" s="415"/>
      <c r="Y39" s="416"/>
      <c r="Z39" s="417"/>
      <c r="AA39" s="418"/>
      <c r="AB39" s="406"/>
      <c r="AC39" s="406"/>
      <c r="AD39" s="419">
        <v>46334</v>
      </c>
      <c r="AE39" s="420"/>
      <c r="AG39" s="421"/>
      <c r="AH39" s="422"/>
      <c r="AI39" s="423"/>
      <c r="AJ39" s="424"/>
      <c r="AK39" s="425"/>
      <c r="BA39" s="426">
        <v>1</v>
      </c>
      <c r="BB39" s="426">
        <v>1</v>
      </c>
      <c r="BC39" s="426">
        <v>1</v>
      </c>
      <c r="BD39" s="426">
        <v>1</v>
      </c>
      <c r="BE39" s="426">
        <v>1</v>
      </c>
      <c r="BF39" s="435">
        <v>1</v>
      </c>
      <c r="BG39" s="435"/>
      <c r="BH39" s="435"/>
      <c r="BI39" s="435"/>
      <c r="BJ39" s="426"/>
      <c r="BK39" s="426"/>
      <c r="BL39" s="427"/>
      <c r="BR39" s="431" t="s">
        <v>1421</v>
      </c>
      <c r="BS39" s="428">
        <f t="shared" si="14"/>
        <v>46334</v>
      </c>
      <c r="BT39" s="429" t="s">
        <v>211</v>
      </c>
      <c r="CJ39" s="431"/>
      <c r="CK39" s="431"/>
      <c r="CL39" s="431"/>
      <c r="CM39" s="431"/>
      <c r="CN39" s="431"/>
      <c r="CO39" s="431"/>
      <c r="CP39" s="432"/>
      <c r="CQ39" s="432"/>
      <c r="CR39" s="434"/>
      <c r="CS39" s="434"/>
      <c r="CT39" s="434"/>
      <c r="CU39" s="434"/>
      <c r="CV39" s="434"/>
      <c r="CW39" s="434"/>
      <c r="CX39" s="434"/>
      <c r="CY39" s="434"/>
      <c r="CZ39" s="434"/>
      <c r="DA39" s="434"/>
    </row>
    <row r="40" spans="1:105" ht="69" customHeight="1">
      <c r="A40" s="404">
        <v>24</v>
      </c>
      <c r="B40" s="468">
        <v>46266</v>
      </c>
      <c r="C40" s="468">
        <v>46266</v>
      </c>
      <c r="D40" s="406" t="s">
        <v>163</v>
      </c>
      <c r="E40" s="469">
        <v>7502327991984</v>
      </c>
      <c r="F40" s="406" t="s">
        <v>1422</v>
      </c>
      <c r="G40" s="405" t="s">
        <v>1423</v>
      </c>
      <c r="H40" s="406"/>
      <c r="I40" s="406" t="s">
        <v>403</v>
      </c>
      <c r="J40" s="406" t="s">
        <v>1367</v>
      </c>
      <c r="K40" s="407" t="s">
        <v>1064</v>
      </c>
      <c r="L40" s="408">
        <v>1</v>
      </c>
      <c r="M40" s="436">
        <v>0.5</v>
      </c>
      <c r="N40" s="410" t="s">
        <v>74</v>
      </c>
      <c r="O40" s="411">
        <v>10000</v>
      </c>
      <c r="P40" s="410">
        <f t="shared" si="13"/>
        <v>9.25</v>
      </c>
      <c r="Q40" s="410">
        <f t="shared" si="23"/>
        <v>3.33</v>
      </c>
      <c r="R40" s="410">
        <f>(P40+Q40)*4.97%</f>
        <v>0.62522599999999995</v>
      </c>
      <c r="S40" s="410">
        <f t="shared" si="1"/>
        <v>13.205226</v>
      </c>
      <c r="T40" s="412">
        <v>119</v>
      </c>
      <c r="U40" s="410">
        <f t="shared" si="2"/>
        <v>102.58620689655173</v>
      </c>
      <c r="V40" s="413">
        <f t="shared" si="3"/>
        <v>61.551724137931032</v>
      </c>
      <c r="W40" s="414">
        <f t="shared" si="4"/>
        <v>0.21453868571428572</v>
      </c>
      <c r="X40" s="415">
        <f t="shared" si="5"/>
        <v>0.78546131428571431</v>
      </c>
      <c r="Y40" s="416">
        <f t="shared" si="6"/>
        <v>0.4</v>
      </c>
      <c r="Z40" s="417" t="s">
        <v>1373</v>
      </c>
      <c r="AA40" s="418" t="s">
        <v>1374</v>
      </c>
      <c r="AB40" s="406">
        <v>6</v>
      </c>
      <c r="AC40" s="406">
        <v>144</v>
      </c>
      <c r="AD40" s="419">
        <v>46334</v>
      </c>
      <c r="AE40" s="420"/>
      <c r="AG40" s="421">
        <v>79</v>
      </c>
      <c r="AH40" s="422">
        <f t="shared" si="7"/>
        <v>68.103448275862078</v>
      </c>
      <c r="AI40" s="423">
        <f t="shared" si="8"/>
        <v>0.1938995210126582</v>
      </c>
      <c r="AJ40" s="424">
        <f t="shared" si="9"/>
        <v>0.80610047898734183</v>
      </c>
      <c r="AK40" s="425">
        <f t="shared" si="10"/>
        <v>0</v>
      </c>
      <c r="BA40" s="426">
        <v>1</v>
      </c>
      <c r="BB40" s="426">
        <v>1</v>
      </c>
      <c r="BC40" s="426">
        <v>1</v>
      </c>
      <c r="BD40" s="426">
        <v>1</v>
      </c>
      <c r="BE40" s="426">
        <v>1</v>
      </c>
      <c r="BF40" s="435">
        <v>1</v>
      </c>
      <c r="BG40" s="435"/>
      <c r="BH40" s="435"/>
      <c r="BI40" s="435"/>
      <c r="BJ40" s="426">
        <v>8</v>
      </c>
      <c r="BK40" s="426">
        <f t="shared" si="11"/>
        <v>6</v>
      </c>
      <c r="BL40" s="427">
        <f t="shared" si="12"/>
        <v>0.75</v>
      </c>
      <c r="BR40" s="431" t="s">
        <v>1424</v>
      </c>
      <c r="BS40" s="428">
        <f t="shared" si="14"/>
        <v>46334</v>
      </c>
      <c r="BT40" s="429" t="s">
        <v>211</v>
      </c>
      <c r="CJ40" s="431"/>
      <c r="CK40" s="431"/>
      <c r="CL40" s="431"/>
      <c r="CM40" s="431"/>
      <c r="CN40" s="431"/>
      <c r="CO40" s="431"/>
      <c r="CP40" s="432"/>
      <c r="CQ40" s="432"/>
      <c r="CR40" s="434"/>
      <c r="CS40" s="434"/>
      <c r="CT40" s="434"/>
      <c r="CU40" s="434"/>
      <c r="CV40" s="434"/>
      <c r="CW40" s="434"/>
      <c r="CX40" s="434"/>
      <c r="CY40" s="434"/>
      <c r="CZ40" s="434"/>
      <c r="DA40" s="434"/>
    </row>
    <row r="41" spans="1:105" ht="69" customHeight="1">
      <c r="A41" s="404">
        <v>25</v>
      </c>
      <c r="B41" s="468">
        <v>46266</v>
      </c>
      <c r="C41" s="468">
        <v>46266</v>
      </c>
      <c r="D41" s="406" t="s">
        <v>163</v>
      </c>
      <c r="E41" s="469">
        <v>7502327991991</v>
      </c>
      <c r="F41" s="406" t="s">
        <v>1425</v>
      </c>
      <c r="G41" s="405" t="s">
        <v>1426</v>
      </c>
      <c r="H41" s="438"/>
      <c r="I41" s="406" t="s">
        <v>403</v>
      </c>
      <c r="J41" s="438" t="s">
        <v>1367</v>
      </c>
      <c r="K41" s="407" t="s">
        <v>1064</v>
      </c>
      <c r="L41" s="408">
        <v>1</v>
      </c>
      <c r="M41" s="436">
        <v>0.5</v>
      </c>
      <c r="N41" s="410" t="s">
        <v>74</v>
      </c>
      <c r="O41" s="411">
        <v>10000</v>
      </c>
      <c r="P41" s="410">
        <f t="shared" si="13"/>
        <v>9.25</v>
      </c>
      <c r="Q41" s="410">
        <f t="shared" si="23"/>
        <v>3.33</v>
      </c>
      <c r="R41" s="410">
        <f>(P41+Q41)*4.97%</f>
        <v>0.62522599999999995</v>
      </c>
      <c r="S41" s="410">
        <f t="shared" si="1"/>
        <v>13.205226</v>
      </c>
      <c r="T41" s="412">
        <v>119</v>
      </c>
      <c r="U41" s="410">
        <f t="shared" si="2"/>
        <v>102.58620689655173</v>
      </c>
      <c r="V41" s="413">
        <f t="shared" si="3"/>
        <v>61.551724137931032</v>
      </c>
      <c r="W41" s="414">
        <f t="shared" si="4"/>
        <v>0.21453868571428572</v>
      </c>
      <c r="X41" s="415">
        <f t="shared" si="5"/>
        <v>0.78546131428571431</v>
      </c>
      <c r="Y41" s="416">
        <f t="shared" si="6"/>
        <v>0.4</v>
      </c>
      <c r="Z41" s="417" t="s">
        <v>1373</v>
      </c>
      <c r="AA41" s="418" t="s">
        <v>1374</v>
      </c>
      <c r="AB41" s="406">
        <v>6</v>
      </c>
      <c r="AC41" s="406">
        <v>144</v>
      </c>
      <c r="AD41" s="419">
        <v>46334</v>
      </c>
      <c r="AE41" s="420"/>
      <c r="AG41" s="421">
        <v>79</v>
      </c>
      <c r="AH41" s="422">
        <f t="shared" si="7"/>
        <v>68.103448275862078</v>
      </c>
      <c r="AI41" s="423">
        <f t="shared" si="8"/>
        <v>0.1938995210126582</v>
      </c>
      <c r="AJ41" s="424">
        <f t="shared" si="9"/>
        <v>0.80610047898734183</v>
      </c>
      <c r="AK41" s="425">
        <f t="shared" si="10"/>
        <v>0</v>
      </c>
      <c r="BA41" s="426">
        <v>1</v>
      </c>
      <c r="BB41" s="426">
        <v>1</v>
      </c>
      <c r="BC41" s="426">
        <v>1</v>
      </c>
      <c r="BD41" s="426">
        <v>1</v>
      </c>
      <c r="BE41" s="426">
        <v>1</v>
      </c>
      <c r="BF41" s="435">
        <v>1</v>
      </c>
      <c r="BG41" s="435"/>
      <c r="BH41" s="435"/>
      <c r="BI41" s="435"/>
      <c r="BJ41" s="426">
        <v>8</v>
      </c>
      <c r="BK41" s="426">
        <f t="shared" si="11"/>
        <v>6</v>
      </c>
      <c r="BL41" s="427">
        <f t="shared" si="12"/>
        <v>0.75</v>
      </c>
      <c r="BR41" s="431" t="s">
        <v>1424</v>
      </c>
      <c r="BS41" s="428">
        <f t="shared" si="14"/>
        <v>46334</v>
      </c>
      <c r="BT41" s="429" t="s">
        <v>211</v>
      </c>
      <c r="CJ41" s="431"/>
      <c r="CK41" s="431"/>
      <c r="CL41" s="431"/>
      <c r="CM41" s="431"/>
      <c r="CN41" s="431"/>
      <c r="CO41" s="431"/>
      <c r="CP41" s="432"/>
      <c r="CQ41" s="432"/>
      <c r="CR41" s="434"/>
      <c r="CS41" s="434"/>
      <c r="CT41" s="434"/>
      <c r="CU41" s="434"/>
      <c r="CV41" s="434"/>
      <c r="CW41" s="434"/>
      <c r="CX41" s="434"/>
      <c r="CY41" s="434"/>
      <c r="CZ41" s="434"/>
      <c r="DA41" s="434"/>
    </row>
    <row r="42" spans="1:105" ht="69" customHeight="1">
      <c r="A42" s="404">
        <v>26</v>
      </c>
      <c r="B42" s="468">
        <v>46266</v>
      </c>
      <c r="C42" s="468">
        <v>46266</v>
      </c>
      <c r="D42" s="406" t="s">
        <v>163</v>
      </c>
      <c r="E42" s="469">
        <v>7502327992004</v>
      </c>
      <c r="F42" s="406" t="s">
        <v>1427</v>
      </c>
      <c r="G42" s="405" t="s">
        <v>1428</v>
      </c>
      <c r="H42" s="393"/>
      <c r="I42" s="406" t="s">
        <v>1429</v>
      </c>
      <c r="J42" s="407" t="s">
        <v>1367</v>
      </c>
      <c r="K42" s="407" t="s">
        <v>1064</v>
      </c>
      <c r="L42" s="408">
        <v>1</v>
      </c>
      <c r="M42" s="436">
        <v>0.37</v>
      </c>
      <c r="N42" s="410" t="s">
        <v>74</v>
      </c>
      <c r="O42" s="411">
        <v>10000</v>
      </c>
      <c r="P42" s="410">
        <f t="shared" si="13"/>
        <v>6.8449999999999998</v>
      </c>
      <c r="Q42" s="410">
        <f>P42*0.25</f>
        <v>1.7112499999999999</v>
      </c>
      <c r="R42" s="410">
        <f>(P42+Q42)*5.21%</f>
        <v>0.44578062500000004</v>
      </c>
      <c r="S42" s="410">
        <f t="shared" si="1"/>
        <v>9.0020306249999997</v>
      </c>
      <c r="T42" s="412">
        <v>49</v>
      </c>
      <c r="U42" s="410">
        <f t="shared" si="2"/>
        <v>42.241379310344833</v>
      </c>
      <c r="V42" s="413">
        <f t="shared" si="3"/>
        <v>25.3448275862069</v>
      </c>
      <c r="W42" s="414">
        <f t="shared" si="4"/>
        <v>0.35518216071428566</v>
      </c>
      <c r="X42" s="415">
        <f t="shared" si="5"/>
        <v>0.64481783928571434</v>
      </c>
      <c r="Y42" s="416">
        <f t="shared" si="6"/>
        <v>0.4</v>
      </c>
      <c r="Z42" s="417" t="s">
        <v>1373</v>
      </c>
      <c r="AA42" s="418" t="s">
        <v>1374</v>
      </c>
      <c r="AB42" s="406">
        <v>6</v>
      </c>
      <c r="AC42" s="406">
        <v>144</v>
      </c>
      <c r="AD42" s="419">
        <v>46308</v>
      </c>
      <c r="AE42" s="420"/>
      <c r="AG42" s="421">
        <v>39</v>
      </c>
      <c r="AH42" s="422">
        <f t="shared" si="7"/>
        <v>33.620689655172413</v>
      </c>
      <c r="AI42" s="423">
        <f t="shared" si="8"/>
        <v>0.26775270576923077</v>
      </c>
      <c r="AJ42" s="424">
        <f t="shared" si="9"/>
        <v>0.73224729423076917</v>
      </c>
      <c r="AK42" s="425">
        <f t="shared" si="10"/>
        <v>0</v>
      </c>
      <c r="BA42" s="426">
        <v>1</v>
      </c>
      <c r="BB42" s="426">
        <v>1</v>
      </c>
      <c r="BC42" s="426">
        <v>1</v>
      </c>
      <c r="BD42" s="426">
        <v>1</v>
      </c>
      <c r="BE42" s="426">
        <v>1</v>
      </c>
      <c r="BF42" s="435">
        <v>1</v>
      </c>
      <c r="BG42" s="435">
        <v>1</v>
      </c>
      <c r="BH42" s="435"/>
      <c r="BI42" s="435"/>
      <c r="BJ42" s="426">
        <v>8</v>
      </c>
      <c r="BK42" s="426">
        <f t="shared" si="11"/>
        <v>7</v>
      </c>
      <c r="BL42" s="427">
        <f t="shared" si="12"/>
        <v>0.875</v>
      </c>
      <c r="BR42" s="431" t="s">
        <v>1430</v>
      </c>
      <c r="BS42" s="428">
        <f t="shared" si="14"/>
        <v>46308</v>
      </c>
      <c r="BT42" s="429" t="s">
        <v>170</v>
      </c>
      <c r="CJ42" s="430">
        <v>46156</v>
      </c>
      <c r="CK42" s="430">
        <v>46156</v>
      </c>
      <c r="CL42" s="430">
        <f t="shared" ref="CL42:CL49" si="33">CK42+15</f>
        <v>46171</v>
      </c>
      <c r="CM42" s="430"/>
      <c r="CN42" s="430">
        <f>CL42+14</f>
        <v>46185</v>
      </c>
      <c r="CO42" s="431"/>
      <c r="CP42" s="430">
        <f t="shared" ref="CP42:CP49" si="34">CN42+45</f>
        <v>46230</v>
      </c>
      <c r="CQ42" s="432"/>
      <c r="CR42" s="433">
        <f t="shared" ref="CR42:CR49" si="35">CP42-12</f>
        <v>46218</v>
      </c>
      <c r="CS42" s="434"/>
      <c r="CT42" s="433">
        <f t="shared" ref="CT42:CT49" si="36">CP42+7</f>
        <v>46237</v>
      </c>
      <c r="CU42" s="434"/>
      <c r="CV42" s="433">
        <f t="shared" ref="CV42:CV49" si="37">CT42+7</f>
        <v>46244</v>
      </c>
      <c r="CW42" s="434"/>
      <c r="CX42" s="433">
        <f t="shared" ref="CX42:CX49" si="38">CV42+44</f>
        <v>46288</v>
      </c>
      <c r="CY42" s="434"/>
      <c r="CZ42" s="433">
        <f t="shared" ref="CZ42:CZ49" si="39">CX42+10</f>
        <v>46298</v>
      </c>
      <c r="DA42" s="434"/>
    </row>
    <row r="43" spans="1:105" ht="69" customHeight="1">
      <c r="A43" s="404">
        <v>27</v>
      </c>
      <c r="B43" s="468">
        <v>46266</v>
      </c>
      <c r="C43" s="468">
        <v>46266</v>
      </c>
      <c r="D43" s="406" t="s">
        <v>163</v>
      </c>
      <c r="E43" s="469">
        <v>7502327992011</v>
      </c>
      <c r="F43" s="406" t="s">
        <v>1431</v>
      </c>
      <c r="G43" s="405" t="s">
        <v>1432</v>
      </c>
      <c r="H43" s="393"/>
      <c r="I43" s="406" t="s">
        <v>1429</v>
      </c>
      <c r="J43" s="407" t="s">
        <v>1367</v>
      </c>
      <c r="K43" s="407" t="s">
        <v>1064</v>
      </c>
      <c r="L43" s="408">
        <v>1</v>
      </c>
      <c r="M43" s="436">
        <v>0.37</v>
      </c>
      <c r="N43" s="410" t="s">
        <v>74</v>
      </c>
      <c r="O43" s="411">
        <v>10000</v>
      </c>
      <c r="P43" s="410">
        <f t="shared" si="13"/>
        <v>6.8449999999999998</v>
      </c>
      <c r="Q43" s="410">
        <f>P43*0.25</f>
        <v>1.7112499999999999</v>
      </c>
      <c r="R43" s="410">
        <f>(P43+Q43)*5.21%</f>
        <v>0.44578062500000004</v>
      </c>
      <c r="S43" s="410">
        <f t="shared" si="1"/>
        <v>9.0020306249999997</v>
      </c>
      <c r="T43" s="412">
        <v>49</v>
      </c>
      <c r="U43" s="410">
        <f t="shared" si="2"/>
        <v>42.241379310344833</v>
      </c>
      <c r="V43" s="413">
        <f t="shared" si="3"/>
        <v>25.3448275862069</v>
      </c>
      <c r="W43" s="414">
        <f t="shared" si="4"/>
        <v>0.35518216071428566</v>
      </c>
      <c r="X43" s="415">
        <f t="shared" si="5"/>
        <v>0.64481783928571434</v>
      </c>
      <c r="Y43" s="416">
        <f t="shared" si="6"/>
        <v>0.4</v>
      </c>
      <c r="Z43" s="417" t="s">
        <v>1373</v>
      </c>
      <c r="AA43" s="418" t="s">
        <v>1374</v>
      </c>
      <c r="AB43" s="406">
        <v>6</v>
      </c>
      <c r="AC43" s="406">
        <v>144</v>
      </c>
      <c r="AD43" s="419">
        <v>46308</v>
      </c>
      <c r="AE43" s="420"/>
      <c r="AG43" s="421">
        <v>39</v>
      </c>
      <c r="AH43" s="422">
        <f t="shared" si="7"/>
        <v>33.620689655172413</v>
      </c>
      <c r="AI43" s="423">
        <f t="shared" si="8"/>
        <v>0.26775270576923077</v>
      </c>
      <c r="AJ43" s="424">
        <f t="shared" si="9"/>
        <v>0.73224729423076917</v>
      </c>
      <c r="AK43" s="425">
        <f t="shared" si="10"/>
        <v>0</v>
      </c>
      <c r="BA43" s="426">
        <v>1</v>
      </c>
      <c r="BB43" s="426">
        <v>1</v>
      </c>
      <c r="BC43" s="426">
        <v>1</v>
      </c>
      <c r="BD43" s="426">
        <v>1</v>
      </c>
      <c r="BE43" s="426">
        <v>1</v>
      </c>
      <c r="BF43" s="435">
        <v>1</v>
      </c>
      <c r="BG43" s="435">
        <v>1</v>
      </c>
      <c r="BH43" s="435"/>
      <c r="BI43" s="435"/>
      <c r="BJ43" s="426">
        <v>8</v>
      </c>
      <c r="BK43" s="426">
        <f t="shared" si="11"/>
        <v>7</v>
      </c>
      <c r="BL43" s="427">
        <f t="shared" si="12"/>
        <v>0.875</v>
      </c>
      <c r="BR43" s="431" t="s">
        <v>1430</v>
      </c>
      <c r="BS43" s="428">
        <f t="shared" si="14"/>
        <v>46308</v>
      </c>
      <c r="BT43" s="429" t="s">
        <v>170</v>
      </c>
      <c r="CJ43" s="430">
        <v>46156</v>
      </c>
      <c r="CK43" s="430">
        <v>46156</v>
      </c>
      <c r="CL43" s="430">
        <f t="shared" si="33"/>
        <v>46171</v>
      </c>
      <c r="CM43" s="430"/>
      <c r="CN43" s="430">
        <f t="shared" ref="CN43:CN63" si="40">CL43+14</f>
        <v>46185</v>
      </c>
      <c r="CO43" s="431"/>
      <c r="CP43" s="430">
        <f t="shared" si="34"/>
        <v>46230</v>
      </c>
      <c r="CQ43" s="432"/>
      <c r="CR43" s="433">
        <f t="shared" si="35"/>
        <v>46218</v>
      </c>
      <c r="CS43" s="434"/>
      <c r="CT43" s="433">
        <f t="shared" si="36"/>
        <v>46237</v>
      </c>
      <c r="CU43" s="434"/>
      <c r="CV43" s="433">
        <f t="shared" si="37"/>
        <v>46244</v>
      </c>
      <c r="CW43" s="434"/>
      <c r="CX43" s="433">
        <f t="shared" si="38"/>
        <v>46288</v>
      </c>
      <c r="CY43" s="434"/>
      <c r="CZ43" s="433">
        <f t="shared" si="39"/>
        <v>46298</v>
      </c>
      <c r="DA43" s="434"/>
    </row>
    <row r="44" spans="1:105" ht="69" customHeight="1">
      <c r="A44" s="404">
        <v>28</v>
      </c>
      <c r="B44" s="468">
        <v>46266</v>
      </c>
      <c r="C44" s="468">
        <v>46266</v>
      </c>
      <c r="D44" s="406" t="s">
        <v>163</v>
      </c>
      <c r="E44" s="469">
        <v>7502327992028</v>
      </c>
      <c r="F44" s="406" t="s">
        <v>1433</v>
      </c>
      <c r="G44" s="405" t="s">
        <v>1434</v>
      </c>
      <c r="H44" s="393"/>
      <c r="I44" s="406" t="s">
        <v>1429</v>
      </c>
      <c r="J44" s="407" t="s">
        <v>1367</v>
      </c>
      <c r="K44" s="407" t="s">
        <v>1064</v>
      </c>
      <c r="L44" s="408">
        <v>1</v>
      </c>
      <c r="M44" s="436">
        <v>0.37</v>
      </c>
      <c r="N44" s="410" t="s">
        <v>74</v>
      </c>
      <c r="O44" s="411">
        <v>10000</v>
      </c>
      <c r="P44" s="410">
        <f t="shared" si="13"/>
        <v>6.8449999999999998</v>
      </c>
      <c r="Q44" s="410">
        <f>P44*0.25</f>
        <v>1.7112499999999999</v>
      </c>
      <c r="R44" s="410">
        <f>(P44+Q44)*5.21%</f>
        <v>0.44578062500000004</v>
      </c>
      <c r="S44" s="410">
        <f t="shared" si="1"/>
        <v>9.0020306249999997</v>
      </c>
      <c r="T44" s="412">
        <v>49</v>
      </c>
      <c r="U44" s="410">
        <f t="shared" si="2"/>
        <v>42.241379310344833</v>
      </c>
      <c r="V44" s="413">
        <f t="shared" si="3"/>
        <v>25.3448275862069</v>
      </c>
      <c r="W44" s="414">
        <f t="shared" si="4"/>
        <v>0.35518216071428566</v>
      </c>
      <c r="X44" s="415">
        <f t="shared" si="5"/>
        <v>0.64481783928571434</v>
      </c>
      <c r="Y44" s="416">
        <f t="shared" si="6"/>
        <v>0.4</v>
      </c>
      <c r="Z44" s="417" t="s">
        <v>1373</v>
      </c>
      <c r="AA44" s="418" t="s">
        <v>1374</v>
      </c>
      <c r="AB44" s="406">
        <v>6</v>
      </c>
      <c r="AC44" s="406">
        <v>144</v>
      </c>
      <c r="AD44" s="419">
        <v>46308</v>
      </c>
      <c r="AE44" s="420"/>
      <c r="AG44" s="421">
        <v>39</v>
      </c>
      <c r="AH44" s="422">
        <f t="shared" si="7"/>
        <v>33.620689655172413</v>
      </c>
      <c r="AI44" s="423">
        <f t="shared" si="8"/>
        <v>0.26775270576923077</v>
      </c>
      <c r="AJ44" s="424">
        <f t="shared" si="9"/>
        <v>0.73224729423076917</v>
      </c>
      <c r="AK44" s="425">
        <f t="shared" si="10"/>
        <v>0</v>
      </c>
      <c r="BA44" s="426">
        <v>1</v>
      </c>
      <c r="BB44" s="426">
        <v>1</v>
      </c>
      <c r="BC44" s="426">
        <v>1</v>
      </c>
      <c r="BD44" s="426">
        <v>1</v>
      </c>
      <c r="BE44" s="426">
        <v>1</v>
      </c>
      <c r="BF44" s="435">
        <v>1</v>
      </c>
      <c r="BG44" s="435">
        <v>1</v>
      </c>
      <c r="BH44" s="435"/>
      <c r="BI44" s="435"/>
      <c r="BJ44" s="426">
        <v>8</v>
      </c>
      <c r="BK44" s="426">
        <f t="shared" si="11"/>
        <v>7</v>
      </c>
      <c r="BL44" s="427">
        <f t="shared" si="12"/>
        <v>0.875</v>
      </c>
      <c r="BR44" s="431" t="s">
        <v>1430</v>
      </c>
      <c r="BS44" s="428">
        <f t="shared" si="14"/>
        <v>46308</v>
      </c>
      <c r="BT44" s="429" t="s">
        <v>170</v>
      </c>
      <c r="CJ44" s="430">
        <v>46156</v>
      </c>
      <c r="CK44" s="430">
        <v>46156</v>
      </c>
      <c r="CL44" s="430">
        <f t="shared" si="33"/>
        <v>46171</v>
      </c>
      <c r="CM44" s="430"/>
      <c r="CN44" s="430">
        <f t="shared" si="40"/>
        <v>46185</v>
      </c>
      <c r="CO44" s="431"/>
      <c r="CP44" s="430">
        <f t="shared" si="34"/>
        <v>46230</v>
      </c>
      <c r="CQ44" s="432"/>
      <c r="CR44" s="433">
        <f t="shared" si="35"/>
        <v>46218</v>
      </c>
      <c r="CS44" s="434"/>
      <c r="CT44" s="433">
        <f t="shared" si="36"/>
        <v>46237</v>
      </c>
      <c r="CU44" s="434"/>
      <c r="CV44" s="433">
        <f t="shared" si="37"/>
        <v>46244</v>
      </c>
      <c r="CW44" s="434"/>
      <c r="CX44" s="433">
        <f t="shared" si="38"/>
        <v>46288</v>
      </c>
      <c r="CY44" s="434"/>
      <c r="CZ44" s="433">
        <f t="shared" si="39"/>
        <v>46298</v>
      </c>
      <c r="DA44" s="437"/>
    </row>
    <row r="45" spans="1:105" ht="69" customHeight="1">
      <c r="A45" s="404">
        <v>29</v>
      </c>
      <c r="B45" s="468">
        <v>46266</v>
      </c>
      <c r="C45" s="468">
        <v>46266</v>
      </c>
      <c r="D45" s="406" t="s">
        <v>163</v>
      </c>
      <c r="E45" s="469">
        <v>7502327992035</v>
      </c>
      <c r="F45" s="406" t="s">
        <v>1435</v>
      </c>
      <c r="G45" s="405" t="s">
        <v>1436</v>
      </c>
      <c r="H45" s="393"/>
      <c r="I45" s="406" t="s">
        <v>1429</v>
      </c>
      <c r="J45" s="407" t="s">
        <v>1367</v>
      </c>
      <c r="K45" s="407" t="s">
        <v>1064</v>
      </c>
      <c r="L45" s="408">
        <v>1</v>
      </c>
      <c r="M45" s="436">
        <v>0.37</v>
      </c>
      <c r="N45" s="410" t="s">
        <v>74</v>
      </c>
      <c r="O45" s="411">
        <v>10000</v>
      </c>
      <c r="P45" s="410">
        <f t="shared" si="13"/>
        <v>6.8449999999999998</v>
      </c>
      <c r="Q45" s="410">
        <f>P45*0.25</f>
        <v>1.7112499999999999</v>
      </c>
      <c r="R45" s="410">
        <f>(P45+Q45)*5.21%</f>
        <v>0.44578062500000004</v>
      </c>
      <c r="S45" s="410">
        <f t="shared" si="1"/>
        <v>9.0020306249999997</v>
      </c>
      <c r="T45" s="412">
        <v>49</v>
      </c>
      <c r="U45" s="410">
        <f t="shared" si="2"/>
        <v>42.241379310344833</v>
      </c>
      <c r="V45" s="413">
        <f t="shared" si="3"/>
        <v>25.3448275862069</v>
      </c>
      <c r="W45" s="414">
        <f t="shared" si="4"/>
        <v>0.35518216071428566</v>
      </c>
      <c r="X45" s="415">
        <f t="shared" si="5"/>
        <v>0.64481783928571434</v>
      </c>
      <c r="Y45" s="416">
        <f t="shared" si="6"/>
        <v>0.4</v>
      </c>
      <c r="Z45" s="417" t="s">
        <v>1373</v>
      </c>
      <c r="AA45" s="418" t="s">
        <v>1374</v>
      </c>
      <c r="AB45" s="406">
        <v>6</v>
      </c>
      <c r="AC45" s="406">
        <v>144</v>
      </c>
      <c r="AD45" s="419">
        <v>46308</v>
      </c>
      <c r="AE45" s="420"/>
      <c r="AG45" s="421">
        <v>39</v>
      </c>
      <c r="AH45" s="422">
        <f t="shared" si="7"/>
        <v>33.620689655172413</v>
      </c>
      <c r="AI45" s="423">
        <f t="shared" si="8"/>
        <v>0.26775270576923077</v>
      </c>
      <c r="AJ45" s="424">
        <f t="shared" si="9"/>
        <v>0.73224729423076917</v>
      </c>
      <c r="AK45" s="425">
        <f t="shared" si="10"/>
        <v>0</v>
      </c>
      <c r="BA45" s="426">
        <v>1</v>
      </c>
      <c r="BB45" s="426">
        <v>1</v>
      </c>
      <c r="BC45" s="426">
        <v>1</v>
      </c>
      <c r="BD45" s="426">
        <v>1</v>
      </c>
      <c r="BE45" s="426">
        <v>1</v>
      </c>
      <c r="BF45" s="435">
        <v>1</v>
      </c>
      <c r="BG45" s="435">
        <v>1</v>
      </c>
      <c r="BH45" s="435"/>
      <c r="BI45" s="435"/>
      <c r="BJ45" s="426">
        <v>8</v>
      </c>
      <c r="BK45" s="426">
        <f t="shared" si="11"/>
        <v>7</v>
      </c>
      <c r="BL45" s="427">
        <f t="shared" si="12"/>
        <v>0.875</v>
      </c>
      <c r="BR45" s="431" t="s">
        <v>1430</v>
      </c>
      <c r="BS45" s="428">
        <f t="shared" si="14"/>
        <v>46308</v>
      </c>
      <c r="BT45" s="429" t="s">
        <v>170</v>
      </c>
      <c r="CJ45" s="430">
        <v>46156</v>
      </c>
      <c r="CK45" s="430">
        <v>46156</v>
      </c>
      <c r="CL45" s="430">
        <f t="shared" si="33"/>
        <v>46171</v>
      </c>
      <c r="CM45" s="430"/>
      <c r="CN45" s="430">
        <f t="shared" si="40"/>
        <v>46185</v>
      </c>
      <c r="CO45" s="431"/>
      <c r="CP45" s="430">
        <f t="shared" si="34"/>
        <v>46230</v>
      </c>
      <c r="CQ45" s="432"/>
      <c r="CR45" s="433">
        <f t="shared" si="35"/>
        <v>46218</v>
      </c>
      <c r="CS45" s="434"/>
      <c r="CT45" s="433">
        <f t="shared" si="36"/>
        <v>46237</v>
      </c>
      <c r="CU45" s="434"/>
      <c r="CV45" s="433">
        <f t="shared" si="37"/>
        <v>46244</v>
      </c>
      <c r="CW45" s="434"/>
      <c r="CX45" s="433">
        <f t="shared" si="38"/>
        <v>46288</v>
      </c>
      <c r="CY45" s="434"/>
      <c r="CZ45" s="433">
        <f t="shared" si="39"/>
        <v>46298</v>
      </c>
      <c r="DA45" s="434"/>
    </row>
    <row r="46" spans="1:105" ht="69" customHeight="1">
      <c r="A46" s="404">
        <v>30</v>
      </c>
      <c r="B46" s="468">
        <v>46266</v>
      </c>
      <c r="C46" s="468">
        <v>46266</v>
      </c>
      <c r="D46" s="406" t="s">
        <v>163</v>
      </c>
      <c r="E46" s="469">
        <v>7502327992042</v>
      </c>
      <c r="F46" s="406" t="s">
        <v>1437</v>
      </c>
      <c r="G46" s="405" t="s">
        <v>1438</v>
      </c>
      <c r="H46" s="393"/>
      <c r="I46" s="406" t="s">
        <v>1429</v>
      </c>
      <c r="J46" s="407" t="s">
        <v>1367</v>
      </c>
      <c r="K46" s="407" t="s">
        <v>1064</v>
      </c>
      <c r="L46" s="408">
        <v>1</v>
      </c>
      <c r="M46" s="436">
        <v>0.37</v>
      </c>
      <c r="N46" s="410" t="s">
        <v>74</v>
      </c>
      <c r="O46" s="411">
        <v>10000</v>
      </c>
      <c r="P46" s="410">
        <f t="shared" si="13"/>
        <v>6.8449999999999998</v>
      </c>
      <c r="Q46" s="410">
        <f>P46*0.25</f>
        <v>1.7112499999999999</v>
      </c>
      <c r="R46" s="410">
        <f>(P46+Q46)*5.21%</f>
        <v>0.44578062500000004</v>
      </c>
      <c r="S46" s="410">
        <f t="shared" si="1"/>
        <v>9.0020306249999997</v>
      </c>
      <c r="T46" s="412">
        <v>49</v>
      </c>
      <c r="U46" s="410">
        <f t="shared" si="2"/>
        <v>42.241379310344833</v>
      </c>
      <c r="V46" s="413">
        <f t="shared" si="3"/>
        <v>25.3448275862069</v>
      </c>
      <c r="W46" s="414">
        <f t="shared" si="4"/>
        <v>0.35518216071428566</v>
      </c>
      <c r="X46" s="415">
        <f t="shared" si="5"/>
        <v>0.64481783928571434</v>
      </c>
      <c r="Y46" s="416">
        <f t="shared" si="6"/>
        <v>0.4</v>
      </c>
      <c r="Z46" s="417" t="s">
        <v>1373</v>
      </c>
      <c r="AA46" s="418" t="s">
        <v>1374</v>
      </c>
      <c r="AB46" s="406">
        <v>6</v>
      </c>
      <c r="AC46" s="406">
        <v>144</v>
      </c>
      <c r="AD46" s="419">
        <v>46308</v>
      </c>
      <c r="AE46" s="420"/>
      <c r="AG46" s="421">
        <v>39</v>
      </c>
      <c r="AH46" s="422">
        <f t="shared" si="7"/>
        <v>33.620689655172413</v>
      </c>
      <c r="AI46" s="423">
        <f t="shared" si="8"/>
        <v>0.26775270576923077</v>
      </c>
      <c r="AJ46" s="424">
        <f t="shared" si="9"/>
        <v>0.73224729423076917</v>
      </c>
      <c r="AK46" s="425">
        <f t="shared" si="10"/>
        <v>0</v>
      </c>
      <c r="BA46" s="426">
        <v>1</v>
      </c>
      <c r="BB46" s="426">
        <v>1</v>
      </c>
      <c r="BC46" s="426">
        <v>1</v>
      </c>
      <c r="BD46" s="426">
        <v>1</v>
      </c>
      <c r="BE46" s="426">
        <v>1</v>
      </c>
      <c r="BF46" s="435">
        <v>1</v>
      </c>
      <c r="BG46" s="435">
        <v>1</v>
      </c>
      <c r="BH46" s="435"/>
      <c r="BI46" s="435"/>
      <c r="BJ46" s="426">
        <v>8</v>
      </c>
      <c r="BK46" s="426">
        <f t="shared" si="11"/>
        <v>7</v>
      </c>
      <c r="BL46" s="427">
        <f t="shared" si="12"/>
        <v>0.875</v>
      </c>
      <c r="BR46" s="431" t="s">
        <v>1430</v>
      </c>
      <c r="BS46" s="428">
        <f t="shared" si="14"/>
        <v>46308</v>
      </c>
      <c r="BT46" s="429" t="s">
        <v>170</v>
      </c>
      <c r="CJ46" s="430">
        <v>46156</v>
      </c>
      <c r="CK46" s="430">
        <v>46156</v>
      </c>
      <c r="CL46" s="430">
        <f t="shared" si="33"/>
        <v>46171</v>
      </c>
      <c r="CM46" s="430"/>
      <c r="CN46" s="430">
        <f t="shared" si="40"/>
        <v>46185</v>
      </c>
      <c r="CO46" s="431"/>
      <c r="CP46" s="430">
        <f t="shared" si="34"/>
        <v>46230</v>
      </c>
      <c r="CQ46" s="432"/>
      <c r="CR46" s="433">
        <f t="shared" si="35"/>
        <v>46218</v>
      </c>
      <c r="CS46" s="434"/>
      <c r="CT46" s="433">
        <f t="shared" si="36"/>
        <v>46237</v>
      </c>
      <c r="CU46" s="434"/>
      <c r="CV46" s="433">
        <f t="shared" si="37"/>
        <v>46244</v>
      </c>
      <c r="CW46" s="434"/>
      <c r="CX46" s="433">
        <f t="shared" si="38"/>
        <v>46288</v>
      </c>
      <c r="CY46" s="434"/>
      <c r="CZ46" s="433">
        <f t="shared" si="39"/>
        <v>46298</v>
      </c>
      <c r="DA46" s="434"/>
    </row>
    <row r="47" spans="1:105" ht="69" customHeight="1">
      <c r="A47" s="404">
        <v>31</v>
      </c>
      <c r="B47" s="468">
        <v>46266</v>
      </c>
      <c r="C47" s="468">
        <v>46266</v>
      </c>
      <c r="D47" s="406" t="s">
        <v>163</v>
      </c>
      <c r="E47" s="469">
        <v>7502327992059</v>
      </c>
      <c r="F47" s="406" t="s">
        <v>1439</v>
      </c>
      <c r="G47" s="405" t="s">
        <v>1440</v>
      </c>
      <c r="H47" s="406"/>
      <c r="I47" s="406" t="s">
        <v>1441</v>
      </c>
      <c r="J47" s="406" t="s">
        <v>1367</v>
      </c>
      <c r="K47" s="407" t="s">
        <v>1064</v>
      </c>
      <c r="L47" s="408">
        <v>1</v>
      </c>
      <c r="M47" s="436">
        <v>0.47</v>
      </c>
      <c r="N47" s="410" t="s">
        <v>74</v>
      </c>
      <c r="O47" s="411">
        <v>10000</v>
      </c>
      <c r="P47" s="410">
        <f t="shared" si="13"/>
        <v>8.6950000000000003</v>
      </c>
      <c r="Q47" s="410">
        <f>P47*0.36</f>
        <v>3.1301999999999999</v>
      </c>
      <c r="R47" s="410">
        <f>(P47+Q47)*6.54%</f>
        <v>0.77336808000000001</v>
      </c>
      <c r="S47" s="410">
        <f t="shared" si="1"/>
        <v>12.59856808</v>
      </c>
      <c r="T47" s="412">
        <v>69</v>
      </c>
      <c r="U47" s="410">
        <f t="shared" si="2"/>
        <v>59.482758620689658</v>
      </c>
      <c r="V47" s="413">
        <f t="shared" si="3"/>
        <v>35.689655172413794</v>
      </c>
      <c r="W47" s="414">
        <f t="shared" si="4"/>
        <v>0.35300335683091788</v>
      </c>
      <c r="X47" s="415">
        <f t="shared" si="5"/>
        <v>0.64699664316908212</v>
      </c>
      <c r="Y47" s="416">
        <f t="shared" si="6"/>
        <v>0.4</v>
      </c>
      <c r="Z47" s="417" t="s">
        <v>1373</v>
      </c>
      <c r="AA47" s="418" t="s">
        <v>1374</v>
      </c>
      <c r="AB47" s="406">
        <v>6</v>
      </c>
      <c r="AC47" s="406">
        <v>144</v>
      </c>
      <c r="AD47" s="419">
        <v>46308</v>
      </c>
      <c r="AE47" s="420"/>
      <c r="AG47" s="421">
        <v>49</v>
      </c>
      <c r="AH47" s="422">
        <f t="shared" si="7"/>
        <v>42.241379310344833</v>
      </c>
      <c r="AI47" s="423">
        <f t="shared" si="8"/>
        <v>0.29825181577142851</v>
      </c>
      <c r="AJ47" s="424">
        <f t="shared" si="9"/>
        <v>0.70174818422857155</v>
      </c>
      <c r="AK47" s="425">
        <f t="shared" si="10"/>
        <v>0</v>
      </c>
      <c r="BA47" s="426">
        <v>1</v>
      </c>
      <c r="BB47" s="426">
        <v>1</v>
      </c>
      <c r="BC47" s="426">
        <v>1</v>
      </c>
      <c r="BD47" s="426">
        <v>1</v>
      </c>
      <c r="BE47" s="426">
        <v>1</v>
      </c>
      <c r="BF47" s="435">
        <v>1</v>
      </c>
      <c r="BG47" s="435">
        <v>1</v>
      </c>
      <c r="BH47" s="435"/>
      <c r="BI47" s="435"/>
      <c r="BJ47" s="426">
        <v>8</v>
      </c>
      <c r="BK47" s="426">
        <f t="shared" si="11"/>
        <v>7</v>
      </c>
      <c r="BL47" s="427">
        <f t="shared" si="12"/>
        <v>0.875</v>
      </c>
      <c r="BR47" s="431" t="s">
        <v>1442</v>
      </c>
      <c r="BS47" s="428">
        <f t="shared" si="14"/>
        <v>46308</v>
      </c>
      <c r="BT47" s="429" t="s">
        <v>1443</v>
      </c>
      <c r="CJ47" s="430">
        <v>46156</v>
      </c>
      <c r="CK47" s="430">
        <v>46156</v>
      </c>
      <c r="CL47" s="430">
        <f t="shared" si="33"/>
        <v>46171</v>
      </c>
      <c r="CM47" s="430"/>
      <c r="CN47" s="430">
        <f t="shared" si="40"/>
        <v>46185</v>
      </c>
      <c r="CO47" s="431"/>
      <c r="CP47" s="430">
        <f t="shared" si="34"/>
        <v>46230</v>
      </c>
      <c r="CQ47" s="432"/>
      <c r="CR47" s="433">
        <f t="shared" si="35"/>
        <v>46218</v>
      </c>
      <c r="CS47" s="434"/>
      <c r="CT47" s="433">
        <f t="shared" si="36"/>
        <v>46237</v>
      </c>
      <c r="CU47" s="434"/>
      <c r="CV47" s="433">
        <f t="shared" si="37"/>
        <v>46244</v>
      </c>
      <c r="CW47" s="434"/>
      <c r="CX47" s="433">
        <f t="shared" si="38"/>
        <v>46288</v>
      </c>
      <c r="CY47" s="434"/>
      <c r="CZ47" s="433">
        <f t="shared" si="39"/>
        <v>46298</v>
      </c>
      <c r="DA47" s="434"/>
    </row>
    <row r="48" spans="1:105" ht="69" customHeight="1">
      <c r="A48" s="404">
        <v>32</v>
      </c>
      <c r="B48" s="468">
        <v>46266</v>
      </c>
      <c r="C48" s="468">
        <v>46266</v>
      </c>
      <c r="D48" s="406" t="s">
        <v>163</v>
      </c>
      <c r="E48" s="469">
        <v>7502327992066</v>
      </c>
      <c r="F48" s="406" t="s">
        <v>1444</v>
      </c>
      <c r="G48" s="405" t="s">
        <v>1445</v>
      </c>
      <c r="H48" s="406"/>
      <c r="I48" s="406" t="s">
        <v>1441</v>
      </c>
      <c r="J48" s="406" t="s">
        <v>1367</v>
      </c>
      <c r="K48" s="407" t="s">
        <v>1064</v>
      </c>
      <c r="L48" s="408">
        <v>1</v>
      </c>
      <c r="M48" s="436">
        <v>0.47</v>
      </c>
      <c r="N48" s="410" t="s">
        <v>74</v>
      </c>
      <c r="O48" s="411">
        <v>10000</v>
      </c>
      <c r="P48" s="410">
        <f t="shared" si="13"/>
        <v>8.6950000000000003</v>
      </c>
      <c r="Q48" s="410">
        <f>P48*0.36</f>
        <v>3.1301999999999999</v>
      </c>
      <c r="R48" s="410">
        <f>(P48+Q48)*6.54%</f>
        <v>0.77336808000000001</v>
      </c>
      <c r="S48" s="410">
        <f t="shared" si="1"/>
        <v>12.59856808</v>
      </c>
      <c r="T48" s="412">
        <v>69</v>
      </c>
      <c r="U48" s="410">
        <f t="shared" si="2"/>
        <v>59.482758620689658</v>
      </c>
      <c r="V48" s="413">
        <f t="shared" si="3"/>
        <v>35.689655172413794</v>
      </c>
      <c r="W48" s="414">
        <f t="shared" si="4"/>
        <v>0.35300335683091788</v>
      </c>
      <c r="X48" s="415">
        <f t="shared" si="5"/>
        <v>0.64699664316908212</v>
      </c>
      <c r="Y48" s="416">
        <f t="shared" si="6"/>
        <v>0.4</v>
      </c>
      <c r="Z48" s="417" t="s">
        <v>1373</v>
      </c>
      <c r="AA48" s="418" t="s">
        <v>1374</v>
      </c>
      <c r="AB48" s="406">
        <v>6</v>
      </c>
      <c r="AC48" s="406">
        <v>144</v>
      </c>
      <c r="AD48" s="419">
        <v>46308</v>
      </c>
      <c r="AE48" s="420"/>
      <c r="AG48" s="421">
        <v>49</v>
      </c>
      <c r="AH48" s="422">
        <f t="shared" si="7"/>
        <v>42.241379310344833</v>
      </c>
      <c r="AI48" s="423">
        <f t="shared" si="8"/>
        <v>0.29825181577142851</v>
      </c>
      <c r="AJ48" s="424">
        <f t="shared" si="9"/>
        <v>0.70174818422857155</v>
      </c>
      <c r="AK48" s="425">
        <f t="shared" si="10"/>
        <v>0</v>
      </c>
      <c r="BA48" s="426">
        <v>1</v>
      </c>
      <c r="BB48" s="426">
        <v>1</v>
      </c>
      <c r="BC48" s="426">
        <v>1</v>
      </c>
      <c r="BD48" s="426">
        <v>1</v>
      </c>
      <c r="BE48" s="426">
        <v>1</v>
      </c>
      <c r="BF48" s="435">
        <v>1</v>
      </c>
      <c r="BG48" s="435">
        <v>1</v>
      </c>
      <c r="BH48" s="435"/>
      <c r="BI48" s="435"/>
      <c r="BJ48" s="426">
        <v>8</v>
      </c>
      <c r="BK48" s="426">
        <f t="shared" si="11"/>
        <v>7</v>
      </c>
      <c r="BL48" s="427">
        <f t="shared" si="12"/>
        <v>0.875</v>
      </c>
      <c r="BR48" s="431" t="s">
        <v>1442</v>
      </c>
      <c r="BS48" s="428">
        <f t="shared" si="14"/>
        <v>46308</v>
      </c>
      <c r="BT48" s="429" t="s">
        <v>1443</v>
      </c>
      <c r="CJ48" s="430">
        <v>46156</v>
      </c>
      <c r="CK48" s="430">
        <v>46156</v>
      </c>
      <c r="CL48" s="430">
        <f t="shared" si="33"/>
        <v>46171</v>
      </c>
      <c r="CM48" s="430"/>
      <c r="CN48" s="430">
        <f t="shared" si="40"/>
        <v>46185</v>
      </c>
      <c r="CO48" s="431"/>
      <c r="CP48" s="430">
        <f t="shared" si="34"/>
        <v>46230</v>
      </c>
      <c r="CQ48" s="432"/>
      <c r="CR48" s="433">
        <f t="shared" si="35"/>
        <v>46218</v>
      </c>
      <c r="CS48" s="434"/>
      <c r="CT48" s="433">
        <f t="shared" si="36"/>
        <v>46237</v>
      </c>
      <c r="CU48" s="434"/>
      <c r="CV48" s="433">
        <f t="shared" si="37"/>
        <v>46244</v>
      </c>
      <c r="CW48" s="434"/>
      <c r="CX48" s="433">
        <f t="shared" si="38"/>
        <v>46288</v>
      </c>
      <c r="CY48" s="434"/>
      <c r="CZ48" s="433">
        <f t="shared" si="39"/>
        <v>46298</v>
      </c>
      <c r="DA48" s="434"/>
    </row>
    <row r="49" spans="1:105" ht="69" customHeight="1">
      <c r="A49" s="404">
        <v>33</v>
      </c>
      <c r="B49" s="468">
        <v>46266</v>
      </c>
      <c r="C49" s="468">
        <v>46266</v>
      </c>
      <c r="D49" s="406" t="s">
        <v>163</v>
      </c>
      <c r="E49" s="469">
        <v>7502327992073</v>
      </c>
      <c r="F49" s="406" t="s">
        <v>1446</v>
      </c>
      <c r="G49" s="405" t="s">
        <v>1447</v>
      </c>
      <c r="H49" s="393"/>
      <c r="I49" s="406" t="s">
        <v>1441</v>
      </c>
      <c r="J49" s="407" t="s">
        <v>1367</v>
      </c>
      <c r="K49" s="407" t="s">
        <v>1064</v>
      </c>
      <c r="L49" s="408">
        <v>1</v>
      </c>
      <c r="M49" s="436">
        <v>0.47</v>
      </c>
      <c r="N49" s="410" t="s">
        <v>74</v>
      </c>
      <c r="O49" s="411">
        <v>10000</v>
      </c>
      <c r="P49" s="410">
        <f t="shared" si="13"/>
        <v>8.6950000000000003</v>
      </c>
      <c r="Q49" s="410">
        <f>P49*0.36</f>
        <v>3.1301999999999999</v>
      </c>
      <c r="R49" s="410">
        <f>(P49+Q49)*6.54%</f>
        <v>0.77336808000000001</v>
      </c>
      <c r="S49" s="410">
        <f t="shared" si="1"/>
        <v>12.59856808</v>
      </c>
      <c r="T49" s="412">
        <v>69</v>
      </c>
      <c r="U49" s="410">
        <f t="shared" si="2"/>
        <v>59.482758620689658</v>
      </c>
      <c r="V49" s="413">
        <f t="shared" si="3"/>
        <v>35.689655172413794</v>
      </c>
      <c r="W49" s="414">
        <f t="shared" si="4"/>
        <v>0.35300335683091788</v>
      </c>
      <c r="X49" s="415">
        <f t="shared" si="5"/>
        <v>0.64699664316908212</v>
      </c>
      <c r="Y49" s="416">
        <f t="shared" si="6"/>
        <v>0.4</v>
      </c>
      <c r="Z49" s="417" t="s">
        <v>1373</v>
      </c>
      <c r="AA49" s="418" t="s">
        <v>1374</v>
      </c>
      <c r="AB49" s="406">
        <v>6</v>
      </c>
      <c r="AC49" s="406">
        <v>144</v>
      </c>
      <c r="AD49" s="419">
        <v>46308</v>
      </c>
      <c r="AE49" s="420"/>
      <c r="AG49" s="421">
        <v>49</v>
      </c>
      <c r="AH49" s="422">
        <f t="shared" si="7"/>
        <v>42.241379310344833</v>
      </c>
      <c r="AI49" s="423">
        <f t="shared" si="8"/>
        <v>0.29825181577142851</v>
      </c>
      <c r="AJ49" s="424">
        <f t="shared" si="9"/>
        <v>0.70174818422857155</v>
      </c>
      <c r="AK49" s="425">
        <f t="shared" si="10"/>
        <v>0</v>
      </c>
      <c r="BA49" s="426">
        <v>1</v>
      </c>
      <c r="BB49" s="426">
        <v>1</v>
      </c>
      <c r="BC49" s="426">
        <v>1</v>
      </c>
      <c r="BD49" s="426">
        <v>1</v>
      </c>
      <c r="BE49" s="426">
        <v>1</v>
      </c>
      <c r="BF49" s="435">
        <v>1</v>
      </c>
      <c r="BG49" s="435">
        <v>1</v>
      </c>
      <c r="BH49" s="435"/>
      <c r="BI49" s="435"/>
      <c r="BJ49" s="426">
        <v>8</v>
      </c>
      <c r="BK49" s="426">
        <f t="shared" si="11"/>
        <v>7</v>
      </c>
      <c r="BL49" s="427">
        <f t="shared" si="12"/>
        <v>0.875</v>
      </c>
      <c r="BR49" s="431" t="s">
        <v>1442</v>
      </c>
      <c r="BS49" s="428">
        <f t="shared" si="14"/>
        <v>46308</v>
      </c>
      <c r="BT49" s="429" t="s">
        <v>1443</v>
      </c>
      <c r="CJ49" s="430">
        <v>46156</v>
      </c>
      <c r="CK49" s="430">
        <v>46156</v>
      </c>
      <c r="CL49" s="430">
        <f t="shared" si="33"/>
        <v>46171</v>
      </c>
      <c r="CM49" s="430"/>
      <c r="CN49" s="430">
        <f t="shared" si="40"/>
        <v>46185</v>
      </c>
      <c r="CO49" s="431"/>
      <c r="CP49" s="430">
        <f t="shared" si="34"/>
        <v>46230</v>
      </c>
      <c r="CQ49" s="432"/>
      <c r="CR49" s="433">
        <f t="shared" si="35"/>
        <v>46218</v>
      </c>
      <c r="CS49" s="434"/>
      <c r="CT49" s="433">
        <f t="shared" si="36"/>
        <v>46237</v>
      </c>
      <c r="CU49" s="434"/>
      <c r="CV49" s="433">
        <f t="shared" si="37"/>
        <v>46244</v>
      </c>
      <c r="CW49" s="434"/>
      <c r="CX49" s="433">
        <f t="shared" si="38"/>
        <v>46288</v>
      </c>
      <c r="CY49" s="434"/>
      <c r="CZ49" s="433">
        <f t="shared" si="39"/>
        <v>46298</v>
      </c>
      <c r="DA49" s="434"/>
    </row>
    <row r="50" spans="1:105" ht="69" customHeight="1">
      <c r="A50" s="404">
        <v>34</v>
      </c>
      <c r="B50" s="468">
        <v>46266</v>
      </c>
      <c r="C50" s="468">
        <v>46266</v>
      </c>
      <c r="D50" s="406" t="s">
        <v>163</v>
      </c>
      <c r="E50" s="469">
        <v>7502327992080</v>
      </c>
      <c r="F50" s="406" t="s">
        <v>1448</v>
      </c>
      <c r="G50" s="405" t="s">
        <v>1449</v>
      </c>
      <c r="H50" s="393"/>
      <c r="I50" s="406" t="s">
        <v>1450</v>
      </c>
      <c r="J50" s="407" t="s">
        <v>1367</v>
      </c>
      <c r="K50" s="407" t="s">
        <v>1064</v>
      </c>
      <c r="L50" s="408">
        <v>1</v>
      </c>
      <c r="M50" s="436">
        <v>1.82</v>
      </c>
      <c r="N50" s="410" t="s">
        <v>74</v>
      </c>
      <c r="O50" s="411">
        <v>10000</v>
      </c>
      <c r="P50" s="410">
        <f t="shared" si="13"/>
        <v>33.67</v>
      </c>
      <c r="Q50" s="410">
        <f>P50*0.25</f>
        <v>8.4175000000000004</v>
      </c>
      <c r="R50" s="410">
        <f>(P50+Q50)*4.57%</f>
        <v>1.9233987500000005</v>
      </c>
      <c r="S50" s="410">
        <f t="shared" si="1"/>
        <v>44.010898750000003</v>
      </c>
      <c r="T50" s="412">
        <v>249</v>
      </c>
      <c r="U50" s="410">
        <f t="shared" ref="U50:U80" si="41">+T50/1.16</f>
        <v>214.65517241379311</v>
      </c>
      <c r="V50" s="413">
        <f t="shared" ref="V50:V80" si="42">+U50*0.6</f>
        <v>128.79310344827587</v>
      </c>
      <c r="W50" s="414">
        <f t="shared" ref="W50:W80" si="43">+S50/V50</f>
        <v>0.34171782161981257</v>
      </c>
      <c r="X50" s="415">
        <f t="shared" ref="X50:X85" si="44">1-(S50/V50)</f>
        <v>0.65828217838018743</v>
      </c>
      <c r="Y50" s="416">
        <f t="shared" ref="Y50:Y85" si="45">1-(V50/(T50/1.16))</f>
        <v>0.4</v>
      </c>
      <c r="Z50" s="417" t="s">
        <v>1373</v>
      </c>
      <c r="AA50" s="418" t="s">
        <v>1374</v>
      </c>
      <c r="AB50" s="406">
        <v>6</v>
      </c>
      <c r="AC50" s="406">
        <v>72</v>
      </c>
      <c r="AD50" s="419">
        <v>46334</v>
      </c>
      <c r="AE50" s="420"/>
      <c r="AG50" s="421">
        <v>169</v>
      </c>
      <c r="AH50" s="422">
        <f t="shared" ref="AH50:AH80" si="46">AG50/1.16</f>
        <v>145.68965517241381</v>
      </c>
      <c r="AI50" s="423">
        <f t="shared" ref="AI50:AI80" si="47">+S50/AH50</f>
        <v>0.30208664230769228</v>
      </c>
      <c r="AJ50" s="424">
        <f t="shared" ref="AJ50:AJ85" si="48">1-(S50/AH50)</f>
        <v>0.69791335769230778</v>
      </c>
      <c r="AK50" s="425">
        <f t="shared" ref="AK50:AK85" si="49">1-(AH50/(AG50/1.16))</f>
        <v>0</v>
      </c>
      <c r="BA50" s="426">
        <v>1</v>
      </c>
      <c r="BB50" s="426">
        <v>1</v>
      </c>
      <c r="BC50" s="426">
        <v>1</v>
      </c>
      <c r="BD50" s="426">
        <v>1</v>
      </c>
      <c r="BE50" s="426">
        <v>1</v>
      </c>
      <c r="BF50" s="435">
        <v>1</v>
      </c>
      <c r="BG50" s="435"/>
      <c r="BH50" s="435"/>
      <c r="BI50" s="435"/>
      <c r="BJ50" s="426">
        <v>8</v>
      </c>
      <c r="BK50" s="426">
        <f t="shared" ref="BK50:BK85" si="50">SUM(BA50:BI50)</f>
        <v>6</v>
      </c>
      <c r="BL50" s="427">
        <f t="shared" ref="BL50:BL80" si="51">+BK50/BJ50</f>
        <v>0.75</v>
      </c>
      <c r="BR50" s="431" t="s">
        <v>1424</v>
      </c>
      <c r="BS50" s="428">
        <f t="shared" si="14"/>
        <v>46334</v>
      </c>
      <c r="BT50" s="429" t="s">
        <v>211</v>
      </c>
      <c r="CJ50" s="431"/>
      <c r="CK50" s="431"/>
      <c r="CL50" s="431"/>
      <c r="CM50" s="431"/>
      <c r="CN50" s="430"/>
      <c r="CO50" s="431"/>
      <c r="CP50" s="432"/>
      <c r="CQ50" s="432"/>
      <c r="CR50" s="434"/>
      <c r="CS50" s="434"/>
      <c r="CT50" s="434"/>
      <c r="CU50" s="434"/>
      <c r="CV50" s="434"/>
      <c r="CW50" s="434"/>
      <c r="CX50" s="434"/>
      <c r="CY50" s="434"/>
      <c r="CZ50" s="434"/>
      <c r="DA50" s="434"/>
    </row>
    <row r="51" spans="1:105" ht="69" customHeight="1">
      <c r="A51" s="404">
        <v>35</v>
      </c>
      <c r="B51" s="468">
        <v>46266</v>
      </c>
      <c r="C51" s="468">
        <v>46266</v>
      </c>
      <c r="D51" s="406" t="s">
        <v>163</v>
      </c>
      <c r="E51" s="469">
        <v>7502327992097</v>
      </c>
      <c r="F51" s="406" t="s">
        <v>1451</v>
      </c>
      <c r="G51" s="405" t="s">
        <v>1452</v>
      </c>
      <c r="H51" s="406"/>
      <c r="I51" s="406" t="s">
        <v>1450</v>
      </c>
      <c r="J51" s="406" t="s">
        <v>1367</v>
      </c>
      <c r="K51" s="407" t="s">
        <v>1064</v>
      </c>
      <c r="L51" s="408">
        <v>1</v>
      </c>
      <c r="M51" s="436">
        <v>1.82</v>
      </c>
      <c r="N51" s="410" t="s">
        <v>74</v>
      </c>
      <c r="O51" s="411">
        <v>10000</v>
      </c>
      <c r="P51" s="410">
        <f t="shared" si="13"/>
        <v>33.67</v>
      </c>
      <c r="Q51" s="410">
        <f>P51*0.25</f>
        <v>8.4175000000000004</v>
      </c>
      <c r="R51" s="410">
        <f>(P51+Q51)*4.57%</f>
        <v>1.9233987500000005</v>
      </c>
      <c r="S51" s="410">
        <f t="shared" si="1"/>
        <v>44.010898750000003</v>
      </c>
      <c r="T51" s="412">
        <v>249</v>
      </c>
      <c r="U51" s="410">
        <f t="shared" si="41"/>
        <v>214.65517241379311</v>
      </c>
      <c r="V51" s="413">
        <f t="shared" si="42"/>
        <v>128.79310344827587</v>
      </c>
      <c r="W51" s="414">
        <f t="shared" si="43"/>
        <v>0.34171782161981257</v>
      </c>
      <c r="X51" s="415">
        <f t="shared" si="44"/>
        <v>0.65828217838018743</v>
      </c>
      <c r="Y51" s="416">
        <f t="shared" si="45"/>
        <v>0.4</v>
      </c>
      <c r="Z51" s="417" t="s">
        <v>1373</v>
      </c>
      <c r="AA51" s="418" t="s">
        <v>1374</v>
      </c>
      <c r="AB51" s="406">
        <v>6</v>
      </c>
      <c r="AC51" s="406">
        <v>72</v>
      </c>
      <c r="AD51" s="419">
        <v>46334</v>
      </c>
      <c r="AE51" s="420"/>
      <c r="AG51" s="421">
        <v>169</v>
      </c>
      <c r="AH51" s="422">
        <f t="shared" si="46"/>
        <v>145.68965517241381</v>
      </c>
      <c r="AI51" s="423">
        <f t="shared" si="47"/>
        <v>0.30208664230769228</v>
      </c>
      <c r="AJ51" s="424">
        <f t="shared" si="48"/>
        <v>0.69791335769230778</v>
      </c>
      <c r="AK51" s="425">
        <f t="shared" si="49"/>
        <v>0</v>
      </c>
      <c r="BA51" s="426">
        <v>1</v>
      </c>
      <c r="BB51" s="426">
        <v>1</v>
      </c>
      <c r="BC51" s="426">
        <v>1</v>
      </c>
      <c r="BD51" s="426">
        <v>1</v>
      </c>
      <c r="BE51" s="426">
        <v>1</v>
      </c>
      <c r="BF51" s="435">
        <v>1</v>
      </c>
      <c r="BG51" s="435"/>
      <c r="BH51" s="435"/>
      <c r="BI51" s="435"/>
      <c r="BJ51" s="426">
        <v>8</v>
      </c>
      <c r="BK51" s="426">
        <f t="shared" si="50"/>
        <v>6</v>
      </c>
      <c r="BL51" s="427">
        <f t="shared" si="51"/>
        <v>0.75</v>
      </c>
      <c r="BR51" s="431" t="s">
        <v>1424</v>
      </c>
      <c r="BS51" s="428">
        <f t="shared" si="14"/>
        <v>46334</v>
      </c>
      <c r="BT51" s="429" t="s">
        <v>211</v>
      </c>
      <c r="CJ51" s="431"/>
      <c r="CK51" s="431"/>
      <c r="CL51" s="431"/>
      <c r="CM51" s="431"/>
      <c r="CN51" s="430"/>
      <c r="CO51" s="431"/>
      <c r="CP51" s="432"/>
      <c r="CQ51" s="432"/>
      <c r="CR51" s="434"/>
      <c r="CS51" s="434"/>
      <c r="CT51" s="434"/>
      <c r="CU51" s="434"/>
      <c r="CV51" s="434"/>
      <c r="CW51" s="434"/>
      <c r="CX51" s="434"/>
      <c r="CY51" s="434"/>
      <c r="CZ51" s="434"/>
      <c r="DA51" s="434"/>
    </row>
    <row r="52" spans="1:105" ht="69" customHeight="1">
      <c r="A52" s="404">
        <v>36</v>
      </c>
      <c r="B52" s="468">
        <v>46266</v>
      </c>
      <c r="C52" s="468">
        <v>46266</v>
      </c>
      <c r="D52" s="406" t="s">
        <v>163</v>
      </c>
      <c r="E52" s="469">
        <v>7502327992103</v>
      </c>
      <c r="F52" s="406" t="s">
        <v>1453</v>
      </c>
      <c r="G52" s="405" t="s">
        <v>1454</v>
      </c>
      <c r="H52" s="393"/>
      <c r="I52" s="406" t="s">
        <v>477</v>
      </c>
      <c r="J52" s="407" t="s">
        <v>1367</v>
      </c>
      <c r="K52" s="407" t="s">
        <v>1064</v>
      </c>
      <c r="L52" s="408">
        <v>1</v>
      </c>
      <c r="M52" s="436">
        <v>0.52</v>
      </c>
      <c r="N52" s="410" t="s">
        <v>74</v>
      </c>
      <c r="O52" s="411">
        <v>10000</v>
      </c>
      <c r="P52" s="410">
        <f t="shared" si="13"/>
        <v>9.620000000000001</v>
      </c>
      <c r="Q52" s="410">
        <f>P52*0.25</f>
        <v>2.4050000000000002</v>
      </c>
      <c r="R52" s="410">
        <f>(P52+Q52)*2.54%</f>
        <v>0.30543500000000007</v>
      </c>
      <c r="S52" s="410">
        <f t="shared" si="1"/>
        <v>12.330435000000001</v>
      </c>
      <c r="T52" s="412">
        <v>119</v>
      </c>
      <c r="U52" s="410">
        <f t="shared" si="41"/>
        <v>102.58620689655173</v>
      </c>
      <c r="V52" s="413">
        <f t="shared" si="42"/>
        <v>61.551724137931032</v>
      </c>
      <c r="W52" s="414">
        <f t="shared" si="43"/>
        <v>0.20032639495798321</v>
      </c>
      <c r="X52" s="415">
        <f t="shared" si="44"/>
        <v>0.79967360504201679</v>
      </c>
      <c r="Y52" s="416">
        <f t="shared" si="45"/>
        <v>0.4</v>
      </c>
      <c r="Z52" s="417" t="s">
        <v>1373</v>
      </c>
      <c r="AA52" s="418" t="s">
        <v>1374</v>
      </c>
      <c r="AB52" s="406">
        <v>6</v>
      </c>
      <c r="AC52" s="406">
        <v>144</v>
      </c>
      <c r="AD52" s="419">
        <v>46308</v>
      </c>
      <c r="AE52" s="420"/>
      <c r="AG52" s="421">
        <v>79</v>
      </c>
      <c r="AH52" s="422">
        <f t="shared" si="46"/>
        <v>68.103448275862078</v>
      </c>
      <c r="AI52" s="423">
        <f t="shared" si="47"/>
        <v>0.18105448860759493</v>
      </c>
      <c r="AJ52" s="424">
        <f t="shared" si="48"/>
        <v>0.81894551139240512</v>
      </c>
      <c r="AK52" s="425">
        <f t="shared" si="49"/>
        <v>0</v>
      </c>
      <c r="BA52" s="426">
        <v>1</v>
      </c>
      <c r="BB52" s="426">
        <v>1</v>
      </c>
      <c r="BC52" s="426">
        <v>1</v>
      </c>
      <c r="BD52" s="426">
        <v>1</v>
      </c>
      <c r="BE52" s="426">
        <v>1</v>
      </c>
      <c r="BF52" s="435">
        <v>1</v>
      </c>
      <c r="BG52" s="435">
        <v>1</v>
      </c>
      <c r="BH52" s="435"/>
      <c r="BI52" s="435"/>
      <c r="BJ52" s="426">
        <v>8</v>
      </c>
      <c r="BK52" s="426">
        <f t="shared" si="50"/>
        <v>7</v>
      </c>
      <c r="BL52" s="427">
        <f t="shared" si="51"/>
        <v>0.875</v>
      </c>
      <c r="BR52" s="431" t="s">
        <v>1390</v>
      </c>
      <c r="BS52" s="428">
        <f t="shared" si="14"/>
        <v>46308</v>
      </c>
      <c r="BT52" s="429" t="s">
        <v>170</v>
      </c>
      <c r="CJ52" s="430">
        <v>46156</v>
      </c>
      <c r="CK52" s="430">
        <v>46156</v>
      </c>
      <c r="CL52" s="430">
        <f t="shared" ref="CL52" si="52">CK52+15</f>
        <v>46171</v>
      </c>
      <c r="CM52" s="430"/>
      <c r="CN52" s="430">
        <f t="shared" si="40"/>
        <v>46185</v>
      </c>
      <c r="CO52" s="431"/>
      <c r="CP52" s="430">
        <f t="shared" ref="CP52" si="53">CN52+45</f>
        <v>46230</v>
      </c>
      <c r="CQ52" s="432"/>
      <c r="CR52" s="433">
        <f t="shared" ref="CR52" si="54">CP52-12</f>
        <v>46218</v>
      </c>
      <c r="CS52" s="434"/>
      <c r="CT52" s="433">
        <f t="shared" ref="CT52" si="55">CP52+7</f>
        <v>46237</v>
      </c>
      <c r="CU52" s="434"/>
      <c r="CV52" s="433">
        <f t="shared" ref="CV52" si="56">CT52+7</f>
        <v>46244</v>
      </c>
      <c r="CW52" s="434"/>
      <c r="CX52" s="433">
        <f t="shared" ref="CX52" si="57">CV52+44</f>
        <v>46288</v>
      </c>
      <c r="CY52" s="434"/>
      <c r="CZ52" s="433">
        <f t="shared" ref="CZ52" si="58">CX52+10</f>
        <v>46298</v>
      </c>
      <c r="DA52" s="434"/>
    </row>
    <row r="53" spans="1:105" ht="69" customHeight="1">
      <c r="A53" s="404">
        <v>37</v>
      </c>
      <c r="B53" s="468">
        <v>46266</v>
      </c>
      <c r="C53" s="468">
        <v>46266</v>
      </c>
      <c r="D53" s="406" t="s">
        <v>163</v>
      </c>
      <c r="E53" s="469">
        <v>7502327992110</v>
      </c>
      <c r="F53" s="406" t="s">
        <v>1455</v>
      </c>
      <c r="G53" s="405" t="s">
        <v>1456</v>
      </c>
      <c r="H53" s="393"/>
      <c r="I53" s="406" t="s">
        <v>371</v>
      </c>
      <c r="J53" s="407" t="s">
        <v>1367</v>
      </c>
      <c r="K53" s="407" t="s">
        <v>1064</v>
      </c>
      <c r="L53" s="408">
        <v>1</v>
      </c>
      <c r="M53" s="439"/>
      <c r="N53" s="410" t="s">
        <v>74</v>
      </c>
      <c r="O53" s="411">
        <v>5000</v>
      </c>
      <c r="P53" s="410"/>
      <c r="Q53" s="410"/>
      <c r="R53" s="410"/>
      <c r="S53" s="436">
        <v>19.100000000000001</v>
      </c>
      <c r="T53" s="412">
        <v>159</v>
      </c>
      <c r="U53" s="410">
        <f t="shared" si="41"/>
        <v>137.06896551724139</v>
      </c>
      <c r="V53" s="413">
        <f t="shared" si="42"/>
        <v>82.24137931034484</v>
      </c>
      <c r="W53" s="414">
        <f t="shared" si="43"/>
        <v>0.23224318658280921</v>
      </c>
      <c r="X53" s="415">
        <f t="shared" si="44"/>
        <v>0.76775681341719082</v>
      </c>
      <c r="Y53" s="416">
        <f t="shared" si="45"/>
        <v>0.4</v>
      </c>
      <c r="Z53" s="417" t="s">
        <v>1373</v>
      </c>
      <c r="AA53" s="418" t="s">
        <v>1374</v>
      </c>
      <c r="AB53" s="406">
        <v>6</v>
      </c>
      <c r="AC53" s="406">
        <v>144</v>
      </c>
      <c r="AD53" s="406"/>
      <c r="AE53" s="420"/>
      <c r="AG53" s="421">
        <v>109</v>
      </c>
      <c r="AH53" s="422">
        <f t="shared" si="46"/>
        <v>93.965517241379317</v>
      </c>
      <c r="AI53" s="423">
        <f t="shared" si="47"/>
        <v>0.20326605504587156</v>
      </c>
      <c r="AJ53" s="424">
        <f t="shared" si="48"/>
        <v>0.79673394495412841</v>
      </c>
      <c r="AK53" s="425">
        <f t="shared" si="49"/>
        <v>0</v>
      </c>
      <c r="BA53" s="426">
        <v>1</v>
      </c>
      <c r="BB53" s="426">
        <v>1</v>
      </c>
      <c r="BC53" s="426">
        <v>1</v>
      </c>
      <c r="BD53" s="426">
        <v>1</v>
      </c>
      <c r="BE53" s="426">
        <v>1</v>
      </c>
      <c r="BF53" s="435">
        <v>1</v>
      </c>
      <c r="BG53" s="435"/>
      <c r="BH53" s="435"/>
      <c r="BI53" s="435"/>
      <c r="BJ53" s="426">
        <v>8</v>
      </c>
      <c r="BK53" s="426">
        <f t="shared" si="50"/>
        <v>6</v>
      </c>
      <c r="BL53" s="427">
        <f t="shared" si="51"/>
        <v>0.75</v>
      </c>
      <c r="BR53" s="431" t="s">
        <v>1421</v>
      </c>
      <c r="BS53" s="428">
        <f t="shared" si="14"/>
        <v>0</v>
      </c>
      <c r="BT53" s="429" t="s">
        <v>211</v>
      </c>
      <c r="CJ53" s="431"/>
      <c r="CK53" s="431"/>
      <c r="CL53" s="431"/>
      <c r="CM53" s="431"/>
      <c r="CN53" s="430"/>
      <c r="CO53" s="431"/>
      <c r="CP53" s="432"/>
      <c r="CQ53" s="432"/>
      <c r="CR53" s="434"/>
      <c r="CS53" s="434"/>
      <c r="CT53" s="434"/>
      <c r="CU53" s="434"/>
      <c r="CV53" s="434"/>
      <c r="CW53" s="434"/>
      <c r="CX53" s="434"/>
      <c r="CY53" s="434"/>
      <c r="CZ53" s="434"/>
      <c r="DA53" s="434"/>
    </row>
    <row r="54" spans="1:105" ht="69" customHeight="1">
      <c r="A54" s="404">
        <v>38</v>
      </c>
      <c r="B54" s="468">
        <v>46266</v>
      </c>
      <c r="C54" s="468">
        <v>46266</v>
      </c>
      <c r="D54" s="406" t="s">
        <v>163</v>
      </c>
      <c r="E54" s="469">
        <v>7502327992127</v>
      </c>
      <c r="F54" s="406" t="s">
        <v>1457</v>
      </c>
      <c r="G54" s="405" t="s">
        <v>1458</v>
      </c>
      <c r="H54" s="393"/>
      <c r="I54" s="406" t="s">
        <v>477</v>
      </c>
      <c r="J54" s="407" t="s">
        <v>1367</v>
      </c>
      <c r="K54" s="407" t="s">
        <v>1064</v>
      </c>
      <c r="L54" s="408">
        <v>1</v>
      </c>
      <c r="M54" s="436">
        <v>0.35</v>
      </c>
      <c r="N54" s="410" t="s">
        <v>74</v>
      </c>
      <c r="O54" s="411">
        <v>10000</v>
      </c>
      <c r="P54" s="410">
        <f t="shared" ref="P54:P85" si="59">+M54*$P$18</f>
        <v>4.0145</v>
      </c>
      <c r="Q54" s="410">
        <f t="shared" ref="Q54:Q75" si="60">P54*0.25</f>
        <v>1.003625</v>
      </c>
      <c r="R54" s="410">
        <f>(P54+Q54)*19.02%</f>
        <v>0.95444737499999999</v>
      </c>
      <c r="S54" s="410">
        <f t="shared" ref="S54:S85" si="61">+R54+Q54+P54</f>
        <v>5.9725723750000004</v>
      </c>
      <c r="T54" s="412">
        <v>99</v>
      </c>
      <c r="U54" s="410">
        <f t="shared" si="41"/>
        <v>85.344827586206904</v>
      </c>
      <c r="V54" s="413">
        <f t="shared" si="42"/>
        <v>51.206896551724142</v>
      </c>
      <c r="W54" s="414">
        <f t="shared" si="43"/>
        <v>0.11663609351851852</v>
      </c>
      <c r="X54" s="415">
        <f t="shared" si="44"/>
        <v>0.88336390648148144</v>
      </c>
      <c r="Y54" s="416">
        <f t="shared" si="45"/>
        <v>0.4</v>
      </c>
      <c r="Z54" s="417" t="s">
        <v>1373</v>
      </c>
      <c r="AA54" s="418" t="s">
        <v>1374</v>
      </c>
      <c r="AB54" s="406">
        <v>6</v>
      </c>
      <c r="AC54" s="406">
        <v>144</v>
      </c>
      <c r="AD54" s="406"/>
      <c r="AE54" s="420"/>
      <c r="AG54" s="421">
        <v>69</v>
      </c>
      <c r="AH54" s="422">
        <f t="shared" si="46"/>
        <v>59.482758620689658</v>
      </c>
      <c r="AI54" s="423">
        <f t="shared" si="47"/>
        <v>0.10040846311594202</v>
      </c>
      <c r="AJ54" s="424">
        <f t="shared" si="48"/>
        <v>0.89959153688405802</v>
      </c>
      <c r="AK54" s="425">
        <f t="shared" si="49"/>
        <v>0</v>
      </c>
      <c r="BA54" s="426">
        <v>1</v>
      </c>
      <c r="BB54" s="426">
        <v>1</v>
      </c>
      <c r="BC54" s="426">
        <v>1</v>
      </c>
      <c r="BD54" s="426">
        <v>1</v>
      </c>
      <c r="BE54" s="426">
        <v>1</v>
      </c>
      <c r="BF54" s="435"/>
      <c r="BG54" s="435"/>
      <c r="BH54" s="435"/>
      <c r="BI54" s="435"/>
      <c r="BJ54" s="426">
        <v>8</v>
      </c>
      <c r="BK54" s="426">
        <f t="shared" si="50"/>
        <v>5</v>
      </c>
      <c r="BL54" s="427">
        <f t="shared" si="51"/>
        <v>0.625</v>
      </c>
      <c r="BR54" s="431" t="s">
        <v>1421</v>
      </c>
      <c r="BS54" s="428">
        <f t="shared" si="14"/>
        <v>0</v>
      </c>
      <c r="BT54" s="429" t="s">
        <v>211</v>
      </c>
      <c r="CJ54" s="431"/>
      <c r="CK54" s="431"/>
      <c r="CL54" s="431"/>
      <c r="CM54" s="431"/>
      <c r="CN54" s="430"/>
      <c r="CO54" s="431"/>
      <c r="CP54" s="432"/>
      <c r="CQ54" s="432"/>
      <c r="CR54" s="434"/>
      <c r="CS54" s="434"/>
      <c r="CT54" s="434"/>
      <c r="CU54" s="434"/>
      <c r="CV54" s="434"/>
      <c r="CW54" s="434"/>
      <c r="CX54" s="434"/>
      <c r="CY54" s="434"/>
      <c r="CZ54" s="434"/>
      <c r="DA54" s="434"/>
    </row>
    <row r="55" spans="1:105" ht="69" customHeight="1">
      <c r="A55" s="404">
        <v>39</v>
      </c>
      <c r="B55" s="468">
        <v>46266</v>
      </c>
      <c r="C55" s="468">
        <v>46266</v>
      </c>
      <c r="D55" s="406" t="s">
        <v>163</v>
      </c>
      <c r="E55" s="469"/>
      <c r="F55" s="406" t="s">
        <v>1459</v>
      </c>
      <c r="G55" s="405" t="s">
        <v>1460</v>
      </c>
      <c r="H55" s="393"/>
      <c r="I55" s="406" t="s">
        <v>477</v>
      </c>
      <c r="J55" s="407" t="s">
        <v>1367</v>
      </c>
      <c r="K55" s="407" t="s">
        <v>1064</v>
      </c>
      <c r="L55" s="408">
        <v>1</v>
      </c>
      <c r="M55" s="436">
        <v>0.35</v>
      </c>
      <c r="N55" s="410" t="s">
        <v>74</v>
      </c>
      <c r="O55" s="411">
        <v>10000</v>
      </c>
      <c r="P55" s="410">
        <f t="shared" si="59"/>
        <v>4.0145</v>
      </c>
      <c r="Q55" s="410">
        <f t="shared" si="60"/>
        <v>1.003625</v>
      </c>
      <c r="R55" s="410">
        <f>(P55+Q55)*19.02%</f>
        <v>0.95444737499999999</v>
      </c>
      <c r="S55" s="410">
        <f t="shared" si="61"/>
        <v>5.9725723750000004</v>
      </c>
      <c r="T55" s="412">
        <v>99</v>
      </c>
      <c r="U55" s="410">
        <f t="shared" si="41"/>
        <v>85.344827586206904</v>
      </c>
      <c r="V55" s="413">
        <f t="shared" si="42"/>
        <v>51.206896551724142</v>
      </c>
      <c r="W55" s="414">
        <f t="shared" si="43"/>
        <v>0.11663609351851852</v>
      </c>
      <c r="X55" s="415">
        <f t="shared" si="44"/>
        <v>0.88336390648148144</v>
      </c>
      <c r="Y55" s="416">
        <f t="shared" si="45"/>
        <v>0.4</v>
      </c>
      <c r="Z55" s="417" t="s">
        <v>1373</v>
      </c>
      <c r="AA55" s="418" t="s">
        <v>1374</v>
      </c>
      <c r="AB55" s="406">
        <v>6</v>
      </c>
      <c r="AC55" s="406">
        <v>144</v>
      </c>
      <c r="AD55" s="406"/>
      <c r="AE55" s="420"/>
      <c r="AG55" s="421">
        <v>69</v>
      </c>
      <c r="AH55" s="422">
        <f t="shared" si="46"/>
        <v>59.482758620689658</v>
      </c>
      <c r="AI55" s="423">
        <f t="shared" si="47"/>
        <v>0.10040846311594202</v>
      </c>
      <c r="AJ55" s="424">
        <f t="shared" si="48"/>
        <v>0.89959153688405802</v>
      </c>
      <c r="AK55" s="425">
        <f t="shared" si="49"/>
        <v>0</v>
      </c>
      <c r="BA55" s="426">
        <v>1</v>
      </c>
      <c r="BB55" s="426">
        <v>1</v>
      </c>
      <c r="BC55" s="426">
        <v>1</v>
      </c>
      <c r="BD55" s="426">
        <v>1</v>
      </c>
      <c r="BE55" s="426">
        <v>1</v>
      </c>
      <c r="BF55" s="435"/>
      <c r="BG55" s="435"/>
      <c r="BH55" s="435"/>
      <c r="BI55" s="435"/>
      <c r="BJ55" s="426">
        <v>8</v>
      </c>
      <c r="BK55" s="426">
        <f t="shared" si="50"/>
        <v>5</v>
      </c>
      <c r="BL55" s="427">
        <f t="shared" si="51"/>
        <v>0.625</v>
      </c>
      <c r="BR55" s="431" t="s">
        <v>1421</v>
      </c>
      <c r="BS55" s="428">
        <f t="shared" si="14"/>
        <v>0</v>
      </c>
      <c r="BT55" s="429" t="s">
        <v>211</v>
      </c>
      <c r="CJ55" s="431"/>
      <c r="CK55" s="431"/>
      <c r="CL55" s="431"/>
      <c r="CM55" s="431"/>
      <c r="CN55" s="430"/>
      <c r="CO55" s="431"/>
      <c r="CP55" s="432"/>
      <c r="CQ55" s="432"/>
      <c r="CR55" s="434"/>
      <c r="CS55" s="434"/>
      <c r="CT55" s="434"/>
      <c r="CU55" s="434"/>
      <c r="CV55" s="434"/>
      <c r="CW55" s="434"/>
      <c r="CX55" s="434"/>
      <c r="CY55" s="434"/>
      <c r="CZ55" s="434"/>
      <c r="DA55" s="434"/>
    </row>
    <row r="56" spans="1:105" ht="69" customHeight="1">
      <c r="A56" s="404">
        <v>40</v>
      </c>
      <c r="B56" s="468">
        <v>46266</v>
      </c>
      <c r="C56" s="468">
        <v>46266</v>
      </c>
      <c r="D56" s="406" t="s">
        <v>163</v>
      </c>
      <c r="E56" s="469">
        <v>7502327992134</v>
      </c>
      <c r="F56" s="406" t="s">
        <v>1461</v>
      </c>
      <c r="G56" s="405" t="s">
        <v>1462</v>
      </c>
      <c r="H56" s="393"/>
      <c r="I56" s="406" t="s">
        <v>1463</v>
      </c>
      <c r="J56" s="407" t="s">
        <v>1367</v>
      </c>
      <c r="K56" s="407" t="s">
        <v>1064</v>
      </c>
      <c r="L56" s="408">
        <v>1</v>
      </c>
      <c r="M56" s="436">
        <v>0.67</v>
      </c>
      <c r="N56" s="410" t="s">
        <v>74</v>
      </c>
      <c r="O56" s="411">
        <v>10000</v>
      </c>
      <c r="P56" s="410">
        <f t="shared" si="59"/>
        <v>7.6849000000000007</v>
      </c>
      <c r="Q56" s="410">
        <f t="shared" si="60"/>
        <v>1.9212250000000002</v>
      </c>
      <c r="R56" s="410">
        <f>(P56+Q56)*9.63%</f>
        <v>0.92506983750000016</v>
      </c>
      <c r="S56" s="410">
        <f t="shared" si="61"/>
        <v>10.531194837500001</v>
      </c>
      <c r="T56" s="412">
        <v>149</v>
      </c>
      <c r="U56" s="410">
        <f t="shared" si="41"/>
        <v>128.44827586206898</v>
      </c>
      <c r="V56" s="413">
        <f t="shared" si="42"/>
        <v>77.068965517241381</v>
      </c>
      <c r="W56" s="414">
        <f t="shared" si="43"/>
        <v>0.13664637596756155</v>
      </c>
      <c r="X56" s="415">
        <f t="shared" si="44"/>
        <v>0.86335362403243843</v>
      </c>
      <c r="Y56" s="416">
        <f t="shared" si="45"/>
        <v>0.4</v>
      </c>
      <c r="Z56" s="417" t="s">
        <v>1373</v>
      </c>
      <c r="AA56" s="418" t="s">
        <v>1374</v>
      </c>
      <c r="AB56" s="406">
        <v>6</v>
      </c>
      <c r="AC56" s="406">
        <v>72</v>
      </c>
      <c r="AD56" s="419"/>
      <c r="AE56" s="420"/>
      <c r="AG56" s="421">
        <v>99</v>
      </c>
      <c r="AH56" s="422">
        <f t="shared" si="46"/>
        <v>85.344827586206904</v>
      </c>
      <c r="AI56" s="423">
        <f t="shared" si="47"/>
        <v>0.1233958182979798</v>
      </c>
      <c r="AJ56" s="424">
        <f t="shared" si="48"/>
        <v>0.87660418170202026</v>
      </c>
      <c r="AK56" s="425">
        <f t="shared" si="49"/>
        <v>0</v>
      </c>
      <c r="BA56" s="426">
        <v>1</v>
      </c>
      <c r="BB56" s="426">
        <v>1</v>
      </c>
      <c r="BC56" s="426">
        <v>1</v>
      </c>
      <c r="BD56" s="426">
        <v>1</v>
      </c>
      <c r="BE56" s="426">
        <v>1</v>
      </c>
      <c r="BF56" s="435">
        <v>1</v>
      </c>
      <c r="BG56" s="435">
        <v>1</v>
      </c>
      <c r="BH56" s="435"/>
      <c r="BI56" s="435"/>
      <c r="BJ56" s="426">
        <v>8</v>
      </c>
      <c r="BK56" s="426">
        <f t="shared" si="50"/>
        <v>7</v>
      </c>
      <c r="BL56" s="427">
        <f t="shared" si="51"/>
        <v>0.875</v>
      </c>
      <c r="BR56" s="431" t="s">
        <v>1390</v>
      </c>
      <c r="BS56" s="428">
        <f t="shared" si="14"/>
        <v>0</v>
      </c>
      <c r="BT56" s="429" t="s">
        <v>170</v>
      </c>
      <c r="CJ56" s="431"/>
      <c r="CK56" s="431"/>
      <c r="CL56" s="431"/>
      <c r="CM56" s="431"/>
      <c r="CN56" s="430"/>
      <c r="CO56" s="431"/>
      <c r="CP56" s="432"/>
      <c r="CQ56" s="432"/>
      <c r="CR56" s="434"/>
      <c r="CS56" s="434"/>
      <c r="CT56" s="434"/>
      <c r="CU56" s="434"/>
      <c r="CV56" s="434"/>
      <c r="CW56" s="434"/>
      <c r="CX56" s="434"/>
      <c r="CY56" s="434"/>
      <c r="CZ56" s="434"/>
      <c r="DA56" s="434"/>
    </row>
    <row r="57" spans="1:105" ht="69" customHeight="1">
      <c r="A57" s="404">
        <v>41</v>
      </c>
      <c r="B57" s="468">
        <v>46266</v>
      </c>
      <c r="C57" s="468">
        <v>46266</v>
      </c>
      <c r="D57" s="406" t="s">
        <v>163</v>
      </c>
      <c r="E57" s="469">
        <v>7502327992141</v>
      </c>
      <c r="F57" s="406" t="s">
        <v>1464</v>
      </c>
      <c r="G57" s="405" t="s">
        <v>1465</v>
      </c>
      <c r="H57" s="440"/>
      <c r="I57" s="406" t="s">
        <v>510</v>
      </c>
      <c r="J57" s="406" t="s">
        <v>1367</v>
      </c>
      <c r="K57" s="407" t="s">
        <v>1064</v>
      </c>
      <c r="L57" s="408">
        <v>1</v>
      </c>
      <c r="M57" s="436">
        <v>0.97</v>
      </c>
      <c r="N57" s="410" t="s">
        <v>74</v>
      </c>
      <c r="O57" s="411">
        <v>10000</v>
      </c>
      <c r="P57" s="410">
        <f t="shared" si="59"/>
        <v>11.1259</v>
      </c>
      <c r="Q57" s="410">
        <f t="shared" si="60"/>
        <v>2.7814749999999999</v>
      </c>
      <c r="R57" s="410">
        <f t="shared" ref="R57:R62" si="62">(P57+Q57)*4.19%</f>
        <v>0.58271901250000013</v>
      </c>
      <c r="S57" s="410">
        <f t="shared" si="61"/>
        <v>14.4900940125</v>
      </c>
      <c r="T57" s="412">
        <v>179</v>
      </c>
      <c r="U57" s="410">
        <f t="shared" si="41"/>
        <v>154.31034482758622</v>
      </c>
      <c r="V57" s="413">
        <f t="shared" si="42"/>
        <v>92.58620689655173</v>
      </c>
      <c r="W57" s="414">
        <f t="shared" si="43"/>
        <v>0.1565038087011173</v>
      </c>
      <c r="X57" s="415">
        <f t="shared" si="44"/>
        <v>0.84349619129888276</v>
      </c>
      <c r="Y57" s="416">
        <f t="shared" si="45"/>
        <v>0.4</v>
      </c>
      <c r="Z57" s="417" t="s">
        <v>1373</v>
      </c>
      <c r="AA57" s="418" t="s">
        <v>1374</v>
      </c>
      <c r="AB57" s="406">
        <v>6</v>
      </c>
      <c r="AC57" s="406">
        <v>48</v>
      </c>
      <c r="AD57" s="419">
        <v>46308</v>
      </c>
      <c r="AE57" s="420"/>
      <c r="AG57" s="421">
        <v>119</v>
      </c>
      <c r="AH57" s="422">
        <f t="shared" si="46"/>
        <v>102.58620689655173</v>
      </c>
      <c r="AI57" s="423">
        <f t="shared" si="47"/>
        <v>0.14124797524789914</v>
      </c>
      <c r="AJ57" s="424">
        <f t="shared" si="48"/>
        <v>0.85875202475210088</v>
      </c>
      <c r="AK57" s="425">
        <f t="shared" si="49"/>
        <v>0</v>
      </c>
      <c r="BA57" s="426">
        <v>1</v>
      </c>
      <c r="BB57" s="426">
        <v>1</v>
      </c>
      <c r="BC57" s="426">
        <v>1</v>
      </c>
      <c r="BD57" s="426">
        <v>1</v>
      </c>
      <c r="BE57" s="426">
        <v>1</v>
      </c>
      <c r="BF57" s="435">
        <v>1</v>
      </c>
      <c r="BG57" s="435">
        <v>1</v>
      </c>
      <c r="BH57" s="435"/>
      <c r="BI57" s="435"/>
      <c r="BJ57" s="426">
        <v>8</v>
      </c>
      <c r="BK57" s="426">
        <f t="shared" si="50"/>
        <v>7</v>
      </c>
      <c r="BL57" s="427">
        <f t="shared" si="51"/>
        <v>0.875</v>
      </c>
      <c r="BR57" s="431" t="s">
        <v>1390</v>
      </c>
      <c r="BS57" s="428">
        <f t="shared" si="14"/>
        <v>46308</v>
      </c>
      <c r="BT57" s="429" t="s">
        <v>170</v>
      </c>
      <c r="CJ57" s="430">
        <v>46156</v>
      </c>
      <c r="CK57" s="430">
        <v>46156</v>
      </c>
      <c r="CL57" s="430">
        <f t="shared" ref="CL57:CL62" si="63">CK57+15</f>
        <v>46171</v>
      </c>
      <c r="CM57" s="430"/>
      <c r="CN57" s="430">
        <f t="shared" si="40"/>
        <v>46185</v>
      </c>
      <c r="CO57" s="431"/>
      <c r="CP57" s="430">
        <f t="shared" ref="CP57:CP62" si="64">CN57+45</f>
        <v>46230</v>
      </c>
      <c r="CQ57" s="432"/>
      <c r="CR57" s="433">
        <f t="shared" ref="CR57:CR63" si="65">CP57-12</f>
        <v>46218</v>
      </c>
      <c r="CS57" s="434"/>
      <c r="CT57" s="433">
        <f t="shared" ref="CT57:CT63" si="66">CP57+7</f>
        <v>46237</v>
      </c>
      <c r="CU57" s="434"/>
      <c r="CV57" s="433">
        <f t="shared" ref="CV57:CV63" si="67">CT57+7</f>
        <v>46244</v>
      </c>
      <c r="CW57" s="434"/>
      <c r="CX57" s="433">
        <f t="shared" ref="CX57:CX63" si="68">CV57+44</f>
        <v>46288</v>
      </c>
      <c r="CY57" s="434"/>
      <c r="CZ57" s="433">
        <f t="shared" ref="CZ57:CZ63" si="69">CX57+10</f>
        <v>46298</v>
      </c>
      <c r="DA57" s="434"/>
    </row>
    <row r="58" spans="1:105" ht="69" customHeight="1">
      <c r="A58" s="404">
        <v>42</v>
      </c>
      <c r="B58" s="468">
        <v>46266</v>
      </c>
      <c r="C58" s="468">
        <v>46266</v>
      </c>
      <c r="D58" s="406" t="s">
        <v>163</v>
      </c>
      <c r="E58" s="469">
        <v>7502327992158</v>
      </c>
      <c r="F58" s="406" t="s">
        <v>1466</v>
      </c>
      <c r="G58" s="405" t="s">
        <v>1467</v>
      </c>
      <c r="H58" s="406"/>
      <c r="I58" s="406" t="s">
        <v>510</v>
      </c>
      <c r="J58" s="406" t="s">
        <v>1367</v>
      </c>
      <c r="K58" s="407" t="s">
        <v>1064</v>
      </c>
      <c r="L58" s="408">
        <v>1</v>
      </c>
      <c r="M58" s="436">
        <v>0.97</v>
      </c>
      <c r="N58" s="410" t="s">
        <v>74</v>
      </c>
      <c r="O58" s="411">
        <v>10000</v>
      </c>
      <c r="P58" s="410">
        <f t="shared" si="59"/>
        <v>11.1259</v>
      </c>
      <c r="Q58" s="410">
        <f t="shared" si="60"/>
        <v>2.7814749999999999</v>
      </c>
      <c r="R58" s="410">
        <f t="shared" si="62"/>
        <v>0.58271901250000013</v>
      </c>
      <c r="S58" s="410">
        <f t="shared" si="61"/>
        <v>14.4900940125</v>
      </c>
      <c r="T58" s="412">
        <v>179</v>
      </c>
      <c r="U58" s="410">
        <f t="shared" si="41"/>
        <v>154.31034482758622</v>
      </c>
      <c r="V58" s="413">
        <f t="shared" si="42"/>
        <v>92.58620689655173</v>
      </c>
      <c r="W58" s="414">
        <f t="shared" si="43"/>
        <v>0.1565038087011173</v>
      </c>
      <c r="X58" s="415">
        <f t="shared" si="44"/>
        <v>0.84349619129888276</v>
      </c>
      <c r="Y58" s="416">
        <f t="shared" si="45"/>
        <v>0.4</v>
      </c>
      <c r="Z58" s="417" t="s">
        <v>1373</v>
      </c>
      <c r="AA58" s="418" t="s">
        <v>1374</v>
      </c>
      <c r="AB58" s="406">
        <v>6</v>
      </c>
      <c r="AC58" s="406">
        <v>48</v>
      </c>
      <c r="AD58" s="419">
        <v>46308</v>
      </c>
      <c r="AE58" s="420"/>
      <c r="AG58" s="421">
        <v>119</v>
      </c>
      <c r="AH58" s="422">
        <f t="shared" si="46"/>
        <v>102.58620689655173</v>
      </c>
      <c r="AI58" s="423">
        <f t="shared" si="47"/>
        <v>0.14124797524789914</v>
      </c>
      <c r="AJ58" s="424">
        <f t="shared" si="48"/>
        <v>0.85875202475210088</v>
      </c>
      <c r="AK58" s="425">
        <f t="shared" si="49"/>
        <v>0</v>
      </c>
      <c r="BA58" s="426">
        <v>1</v>
      </c>
      <c r="BB58" s="426">
        <v>1</v>
      </c>
      <c r="BC58" s="426">
        <v>1</v>
      </c>
      <c r="BD58" s="426">
        <v>1</v>
      </c>
      <c r="BE58" s="426">
        <v>1</v>
      </c>
      <c r="BF58" s="435">
        <v>1</v>
      </c>
      <c r="BG58" s="435">
        <v>1</v>
      </c>
      <c r="BH58" s="435"/>
      <c r="BI58" s="435"/>
      <c r="BJ58" s="426">
        <v>8</v>
      </c>
      <c r="BK58" s="426">
        <f t="shared" si="50"/>
        <v>7</v>
      </c>
      <c r="BL58" s="427">
        <f t="shared" si="51"/>
        <v>0.875</v>
      </c>
      <c r="BR58" s="431" t="s">
        <v>1390</v>
      </c>
      <c r="BS58" s="428">
        <f t="shared" si="14"/>
        <v>46308</v>
      </c>
      <c r="BT58" s="429" t="s">
        <v>170</v>
      </c>
      <c r="CJ58" s="430">
        <v>46156</v>
      </c>
      <c r="CK58" s="430">
        <v>46156</v>
      </c>
      <c r="CL58" s="430">
        <f t="shared" si="63"/>
        <v>46171</v>
      </c>
      <c r="CM58" s="430"/>
      <c r="CN58" s="430">
        <f t="shared" si="40"/>
        <v>46185</v>
      </c>
      <c r="CO58" s="431"/>
      <c r="CP58" s="430">
        <f t="shared" si="64"/>
        <v>46230</v>
      </c>
      <c r="CQ58" s="432"/>
      <c r="CR58" s="433">
        <f t="shared" si="65"/>
        <v>46218</v>
      </c>
      <c r="CS58" s="434"/>
      <c r="CT58" s="433">
        <f t="shared" si="66"/>
        <v>46237</v>
      </c>
      <c r="CU58" s="434"/>
      <c r="CV58" s="433">
        <f t="shared" si="67"/>
        <v>46244</v>
      </c>
      <c r="CW58" s="434"/>
      <c r="CX58" s="433">
        <f t="shared" si="68"/>
        <v>46288</v>
      </c>
      <c r="CY58" s="434"/>
      <c r="CZ58" s="433">
        <f t="shared" si="69"/>
        <v>46298</v>
      </c>
      <c r="DA58" s="434"/>
    </row>
    <row r="59" spans="1:105" ht="69" customHeight="1">
      <c r="A59" s="404">
        <v>43</v>
      </c>
      <c r="B59" s="468">
        <v>46266</v>
      </c>
      <c r="C59" s="468">
        <v>46266</v>
      </c>
      <c r="D59" s="406" t="s">
        <v>163</v>
      </c>
      <c r="E59" s="469">
        <v>7502327992165</v>
      </c>
      <c r="F59" s="406" t="s">
        <v>1468</v>
      </c>
      <c r="G59" s="405" t="s">
        <v>1469</v>
      </c>
      <c r="H59" s="406"/>
      <c r="I59" s="406" t="s">
        <v>510</v>
      </c>
      <c r="J59" s="406" t="s">
        <v>1367</v>
      </c>
      <c r="K59" s="407" t="s">
        <v>1064</v>
      </c>
      <c r="L59" s="408">
        <v>1</v>
      </c>
      <c r="M59" s="436">
        <v>0.97</v>
      </c>
      <c r="N59" s="410" t="s">
        <v>74</v>
      </c>
      <c r="O59" s="411">
        <v>10000</v>
      </c>
      <c r="P59" s="410">
        <f t="shared" si="59"/>
        <v>11.1259</v>
      </c>
      <c r="Q59" s="410">
        <f t="shared" si="60"/>
        <v>2.7814749999999999</v>
      </c>
      <c r="R59" s="410">
        <f t="shared" si="62"/>
        <v>0.58271901250000013</v>
      </c>
      <c r="S59" s="410">
        <f t="shared" si="61"/>
        <v>14.4900940125</v>
      </c>
      <c r="T59" s="412">
        <v>179</v>
      </c>
      <c r="U59" s="410">
        <f t="shared" si="41"/>
        <v>154.31034482758622</v>
      </c>
      <c r="V59" s="413">
        <f t="shared" si="42"/>
        <v>92.58620689655173</v>
      </c>
      <c r="W59" s="414">
        <f t="shared" si="43"/>
        <v>0.1565038087011173</v>
      </c>
      <c r="X59" s="415">
        <f t="shared" si="44"/>
        <v>0.84349619129888276</v>
      </c>
      <c r="Y59" s="416">
        <f t="shared" si="45"/>
        <v>0.4</v>
      </c>
      <c r="Z59" s="417" t="s">
        <v>1373</v>
      </c>
      <c r="AA59" s="418" t="s">
        <v>1374</v>
      </c>
      <c r="AB59" s="406">
        <v>6</v>
      </c>
      <c r="AC59" s="406">
        <v>48</v>
      </c>
      <c r="AD59" s="419">
        <v>46308</v>
      </c>
      <c r="AE59" s="420"/>
      <c r="AG59" s="421">
        <v>119</v>
      </c>
      <c r="AH59" s="422">
        <f t="shared" si="46"/>
        <v>102.58620689655173</v>
      </c>
      <c r="AI59" s="423">
        <f t="shared" si="47"/>
        <v>0.14124797524789914</v>
      </c>
      <c r="AJ59" s="424">
        <f t="shared" si="48"/>
        <v>0.85875202475210088</v>
      </c>
      <c r="AK59" s="425">
        <f t="shared" si="49"/>
        <v>0</v>
      </c>
      <c r="BA59" s="426">
        <v>1</v>
      </c>
      <c r="BB59" s="426">
        <v>1</v>
      </c>
      <c r="BC59" s="426">
        <v>1</v>
      </c>
      <c r="BD59" s="426">
        <v>1</v>
      </c>
      <c r="BE59" s="426">
        <v>1</v>
      </c>
      <c r="BF59" s="435">
        <v>1</v>
      </c>
      <c r="BG59" s="435">
        <v>1</v>
      </c>
      <c r="BH59" s="435"/>
      <c r="BI59" s="435"/>
      <c r="BJ59" s="426">
        <v>8</v>
      </c>
      <c r="BK59" s="426">
        <f t="shared" si="50"/>
        <v>7</v>
      </c>
      <c r="BL59" s="427">
        <f t="shared" si="51"/>
        <v>0.875</v>
      </c>
      <c r="BR59" s="431" t="s">
        <v>1390</v>
      </c>
      <c r="BS59" s="428">
        <f t="shared" si="14"/>
        <v>46308</v>
      </c>
      <c r="BT59" s="429" t="s">
        <v>170</v>
      </c>
      <c r="CJ59" s="430">
        <v>46156</v>
      </c>
      <c r="CK59" s="430">
        <v>46156</v>
      </c>
      <c r="CL59" s="430">
        <f t="shared" si="63"/>
        <v>46171</v>
      </c>
      <c r="CM59" s="430"/>
      <c r="CN59" s="430">
        <f t="shared" si="40"/>
        <v>46185</v>
      </c>
      <c r="CO59" s="431"/>
      <c r="CP59" s="430">
        <f t="shared" si="64"/>
        <v>46230</v>
      </c>
      <c r="CQ59" s="432"/>
      <c r="CR59" s="433">
        <f t="shared" si="65"/>
        <v>46218</v>
      </c>
      <c r="CS59" s="434"/>
      <c r="CT59" s="433">
        <f t="shared" si="66"/>
        <v>46237</v>
      </c>
      <c r="CU59" s="434"/>
      <c r="CV59" s="433">
        <f t="shared" si="67"/>
        <v>46244</v>
      </c>
      <c r="CW59" s="434"/>
      <c r="CX59" s="433">
        <f t="shared" si="68"/>
        <v>46288</v>
      </c>
      <c r="CY59" s="434"/>
      <c r="CZ59" s="433">
        <f t="shared" si="69"/>
        <v>46298</v>
      </c>
      <c r="DA59" s="434"/>
    </row>
    <row r="60" spans="1:105" ht="69" customHeight="1">
      <c r="A60" s="404">
        <v>44</v>
      </c>
      <c r="B60" s="468">
        <v>46266</v>
      </c>
      <c r="C60" s="468">
        <v>46266</v>
      </c>
      <c r="D60" s="406" t="s">
        <v>163</v>
      </c>
      <c r="E60" s="469">
        <v>7502327992172</v>
      </c>
      <c r="F60" s="406" t="s">
        <v>1470</v>
      </c>
      <c r="G60" s="405" t="s">
        <v>1471</v>
      </c>
      <c r="H60" s="406"/>
      <c r="I60" s="406" t="s">
        <v>510</v>
      </c>
      <c r="J60" s="406" t="s">
        <v>1367</v>
      </c>
      <c r="K60" s="407" t="s">
        <v>1064</v>
      </c>
      <c r="L60" s="408">
        <v>1</v>
      </c>
      <c r="M60" s="436">
        <v>0.97</v>
      </c>
      <c r="N60" s="410" t="s">
        <v>74</v>
      </c>
      <c r="O60" s="411">
        <v>10000</v>
      </c>
      <c r="P60" s="410">
        <f t="shared" si="59"/>
        <v>11.1259</v>
      </c>
      <c r="Q60" s="410">
        <f t="shared" si="60"/>
        <v>2.7814749999999999</v>
      </c>
      <c r="R60" s="410">
        <f t="shared" si="62"/>
        <v>0.58271901250000013</v>
      </c>
      <c r="S60" s="410">
        <f t="shared" si="61"/>
        <v>14.4900940125</v>
      </c>
      <c r="T60" s="412">
        <v>179</v>
      </c>
      <c r="U60" s="410">
        <f t="shared" si="41"/>
        <v>154.31034482758622</v>
      </c>
      <c r="V60" s="413">
        <f t="shared" si="42"/>
        <v>92.58620689655173</v>
      </c>
      <c r="W60" s="414">
        <f t="shared" si="43"/>
        <v>0.1565038087011173</v>
      </c>
      <c r="X60" s="415">
        <f t="shared" si="44"/>
        <v>0.84349619129888276</v>
      </c>
      <c r="Y60" s="416">
        <f t="shared" si="45"/>
        <v>0.4</v>
      </c>
      <c r="Z60" s="417" t="s">
        <v>1373</v>
      </c>
      <c r="AA60" s="418" t="s">
        <v>1374</v>
      </c>
      <c r="AB60" s="406">
        <v>6</v>
      </c>
      <c r="AC60" s="406">
        <v>48</v>
      </c>
      <c r="AD60" s="419">
        <v>46308</v>
      </c>
      <c r="AE60" s="420"/>
      <c r="AG60" s="421">
        <v>119</v>
      </c>
      <c r="AH60" s="422">
        <f t="shared" si="46"/>
        <v>102.58620689655173</v>
      </c>
      <c r="AI60" s="423">
        <f t="shared" si="47"/>
        <v>0.14124797524789914</v>
      </c>
      <c r="AJ60" s="424">
        <f t="shared" si="48"/>
        <v>0.85875202475210088</v>
      </c>
      <c r="AK60" s="425">
        <f t="shared" si="49"/>
        <v>0</v>
      </c>
      <c r="BA60" s="426">
        <v>1</v>
      </c>
      <c r="BB60" s="426">
        <v>1</v>
      </c>
      <c r="BC60" s="426">
        <v>1</v>
      </c>
      <c r="BD60" s="426">
        <v>1</v>
      </c>
      <c r="BE60" s="426">
        <v>1</v>
      </c>
      <c r="BF60" s="435">
        <v>1</v>
      </c>
      <c r="BG60" s="435">
        <v>1</v>
      </c>
      <c r="BH60" s="435"/>
      <c r="BI60" s="435"/>
      <c r="BJ60" s="426">
        <v>8</v>
      </c>
      <c r="BK60" s="426">
        <f t="shared" si="50"/>
        <v>7</v>
      </c>
      <c r="BL60" s="427">
        <f t="shared" si="51"/>
        <v>0.875</v>
      </c>
      <c r="BR60" s="431" t="s">
        <v>1390</v>
      </c>
      <c r="BS60" s="428">
        <f t="shared" si="14"/>
        <v>46308</v>
      </c>
      <c r="BT60" s="429" t="s">
        <v>170</v>
      </c>
      <c r="CJ60" s="430">
        <v>46156</v>
      </c>
      <c r="CK60" s="430">
        <v>46156</v>
      </c>
      <c r="CL60" s="430">
        <f t="shared" si="63"/>
        <v>46171</v>
      </c>
      <c r="CM60" s="430"/>
      <c r="CN60" s="430">
        <f t="shared" si="40"/>
        <v>46185</v>
      </c>
      <c r="CO60" s="431"/>
      <c r="CP60" s="430">
        <f t="shared" si="64"/>
        <v>46230</v>
      </c>
      <c r="CQ60" s="432"/>
      <c r="CR60" s="433">
        <f t="shared" si="65"/>
        <v>46218</v>
      </c>
      <c r="CS60" s="434"/>
      <c r="CT60" s="433">
        <f t="shared" si="66"/>
        <v>46237</v>
      </c>
      <c r="CU60" s="434"/>
      <c r="CV60" s="433">
        <f t="shared" si="67"/>
        <v>46244</v>
      </c>
      <c r="CW60" s="434"/>
      <c r="CX60" s="433">
        <f t="shared" si="68"/>
        <v>46288</v>
      </c>
      <c r="CY60" s="434"/>
      <c r="CZ60" s="433">
        <f t="shared" si="69"/>
        <v>46298</v>
      </c>
      <c r="DA60" s="434"/>
    </row>
    <row r="61" spans="1:105" ht="69" customHeight="1">
      <c r="A61" s="404">
        <v>45</v>
      </c>
      <c r="B61" s="468">
        <v>46266</v>
      </c>
      <c r="C61" s="468">
        <v>46266</v>
      </c>
      <c r="D61" s="406" t="s">
        <v>163</v>
      </c>
      <c r="E61" s="469"/>
      <c r="F61" s="406" t="s">
        <v>1472</v>
      </c>
      <c r="G61" s="405" t="s">
        <v>1473</v>
      </c>
      <c r="H61" s="406"/>
      <c r="I61" s="406" t="s">
        <v>510</v>
      </c>
      <c r="J61" s="406" t="s">
        <v>1367</v>
      </c>
      <c r="K61" s="407" t="s">
        <v>1064</v>
      </c>
      <c r="L61" s="408">
        <v>1</v>
      </c>
      <c r="M61" s="436">
        <v>0.97</v>
      </c>
      <c r="N61" s="410" t="s">
        <v>74</v>
      </c>
      <c r="O61" s="411">
        <v>10000</v>
      </c>
      <c r="P61" s="410">
        <f t="shared" si="59"/>
        <v>11.1259</v>
      </c>
      <c r="Q61" s="410">
        <f t="shared" si="60"/>
        <v>2.7814749999999999</v>
      </c>
      <c r="R61" s="410">
        <f t="shared" si="62"/>
        <v>0.58271901250000013</v>
      </c>
      <c r="S61" s="410">
        <f t="shared" si="61"/>
        <v>14.4900940125</v>
      </c>
      <c r="T61" s="412">
        <v>179</v>
      </c>
      <c r="U61" s="410">
        <f t="shared" si="41"/>
        <v>154.31034482758622</v>
      </c>
      <c r="V61" s="413">
        <f t="shared" si="42"/>
        <v>92.58620689655173</v>
      </c>
      <c r="W61" s="414">
        <f t="shared" si="43"/>
        <v>0.1565038087011173</v>
      </c>
      <c r="X61" s="415">
        <f t="shared" si="44"/>
        <v>0.84349619129888276</v>
      </c>
      <c r="Y61" s="416">
        <f t="shared" si="45"/>
        <v>0.4</v>
      </c>
      <c r="Z61" s="417" t="s">
        <v>1373</v>
      </c>
      <c r="AA61" s="418" t="s">
        <v>1374</v>
      </c>
      <c r="AB61" s="406">
        <v>6</v>
      </c>
      <c r="AC61" s="406">
        <v>48</v>
      </c>
      <c r="AD61" s="419">
        <v>46308</v>
      </c>
      <c r="AE61" s="420"/>
      <c r="AG61" s="421">
        <v>119</v>
      </c>
      <c r="AH61" s="422">
        <f t="shared" si="46"/>
        <v>102.58620689655173</v>
      </c>
      <c r="AI61" s="423">
        <f t="shared" si="47"/>
        <v>0.14124797524789914</v>
      </c>
      <c r="AJ61" s="424">
        <f t="shared" si="48"/>
        <v>0.85875202475210088</v>
      </c>
      <c r="AK61" s="425">
        <f t="shared" si="49"/>
        <v>0</v>
      </c>
      <c r="BA61" s="426">
        <v>1</v>
      </c>
      <c r="BB61" s="426">
        <v>1</v>
      </c>
      <c r="BC61" s="426">
        <v>1</v>
      </c>
      <c r="BD61" s="426">
        <v>1</v>
      </c>
      <c r="BE61" s="426">
        <v>1</v>
      </c>
      <c r="BF61" s="435">
        <v>1</v>
      </c>
      <c r="BG61" s="435">
        <v>1</v>
      </c>
      <c r="BH61" s="435"/>
      <c r="BI61" s="435"/>
      <c r="BJ61" s="426">
        <v>8</v>
      </c>
      <c r="BK61" s="426">
        <f t="shared" si="50"/>
        <v>7</v>
      </c>
      <c r="BL61" s="427">
        <f t="shared" si="51"/>
        <v>0.875</v>
      </c>
      <c r="BR61" s="431" t="s">
        <v>1390</v>
      </c>
      <c r="BS61" s="428">
        <f t="shared" si="14"/>
        <v>46308</v>
      </c>
      <c r="BT61" s="429" t="s">
        <v>170</v>
      </c>
      <c r="CJ61" s="430">
        <v>46156</v>
      </c>
      <c r="CK61" s="430">
        <v>46156</v>
      </c>
      <c r="CL61" s="430">
        <f t="shared" si="63"/>
        <v>46171</v>
      </c>
      <c r="CM61" s="430"/>
      <c r="CN61" s="430">
        <f t="shared" si="40"/>
        <v>46185</v>
      </c>
      <c r="CO61" s="431"/>
      <c r="CP61" s="430">
        <f t="shared" si="64"/>
        <v>46230</v>
      </c>
      <c r="CQ61" s="432"/>
      <c r="CR61" s="433">
        <f t="shared" si="65"/>
        <v>46218</v>
      </c>
      <c r="CS61" s="434"/>
      <c r="CT61" s="433">
        <f t="shared" si="66"/>
        <v>46237</v>
      </c>
      <c r="CU61" s="434"/>
      <c r="CV61" s="433">
        <f t="shared" si="67"/>
        <v>46244</v>
      </c>
      <c r="CW61" s="434"/>
      <c r="CX61" s="433">
        <f t="shared" si="68"/>
        <v>46288</v>
      </c>
      <c r="CY61" s="434"/>
      <c r="CZ61" s="433">
        <f t="shared" si="69"/>
        <v>46298</v>
      </c>
      <c r="DA61" s="434"/>
    </row>
    <row r="62" spans="1:105" ht="69" customHeight="1">
      <c r="A62" s="404">
        <v>46</v>
      </c>
      <c r="B62" s="468">
        <v>46266</v>
      </c>
      <c r="C62" s="468">
        <v>46266</v>
      </c>
      <c r="D62" s="406" t="s">
        <v>163</v>
      </c>
      <c r="E62" s="469"/>
      <c r="F62" s="406" t="s">
        <v>1474</v>
      </c>
      <c r="G62" s="405" t="s">
        <v>1475</v>
      </c>
      <c r="H62" s="406"/>
      <c r="I62" s="406" t="s">
        <v>510</v>
      </c>
      <c r="J62" s="406" t="s">
        <v>1367</v>
      </c>
      <c r="K62" s="407" t="s">
        <v>1064</v>
      </c>
      <c r="L62" s="408">
        <v>1</v>
      </c>
      <c r="M62" s="436">
        <v>0.97</v>
      </c>
      <c r="N62" s="410" t="s">
        <v>74</v>
      </c>
      <c r="O62" s="411">
        <v>10000</v>
      </c>
      <c r="P62" s="410">
        <f t="shared" si="59"/>
        <v>11.1259</v>
      </c>
      <c r="Q62" s="410">
        <f t="shared" si="60"/>
        <v>2.7814749999999999</v>
      </c>
      <c r="R62" s="410">
        <f t="shared" si="62"/>
        <v>0.58271901250000013</v>
      </c>
      <c r="S62" s="410">
        <f t="shared" si="61"/>
        <v>14.4900940125</v>
      </c>
      <c r="T62" s="412">
        <v>179</v>
      </c>
      <c r="U62" s="410">
        <f t="shared" si="41"/>
        <v>154.31034482758622</v>
      </c>
      <c r="V62" s="413">
        <f t="shared" si="42"/>
        <v>92.58620689655173</v>
      </c>
      <c r="W62" s="414">
        <f t="shared" si="43"/>
        <v>0.1565038087011173</v>
      </c>
      <c r="X62" s="415">
        <f t="shared" si="44"/>
        <v>0.84349619129888276</v>
      </c>
      <c r="Y62" s="416">
        <f t="shared" si="45"/>
        <v>0.4</v>
      </c>
      <c r="Z62" s="417" t="s">
        <v>1373</v>
      </c>
      <c r="AA62" s="418" t="s">
        <v>1374</v>
      </c>
      <c r="AB62" s="406">
        <v>6</v>
      </c>
      <c r="AC62" s="406">
        <v>48</v>
      </c>
      <c r="AD62" s="419">
        <v>46308</v>
      </c>
      <c r="AE62" s="420"/>
      <c r="AG62" s="421">
        <v>119</v>
      </c>
      <c r="AH62" s="422">
        <f t="shared" si="46"/>
        <v>102.58620689655173</v>
      </c>
      <c r="AI62" s="423">
        <f t="shared" si="47"/>
        <v>0.14124797524789914</v>
      </c>
      <c r="AJ62" s="424">
        <f t="shared" si="48"/>
        <v>0.85875202475210088</v>
      </c>
      <c r="AK62" s="425">
        <f t="shared" si="49"/>
        <v>0</v>
      </c>
      <c r="BA62" s="426">
        <v>1</v>
      </c>
      <c r="BB62" s="426">
        <v>1</v>
      </c>
      <c r="BC62" s="426">
        <v>1</v>
      </c>
      <c r="BD62" s="426">
        <v>1</v>
      </c>
      <c r="BE62" s="426">
        <v>1</v>
      </c>
      <c r="BF62" s="435">
        <v>1</v>
      </c>
      <c r="BG62" s="435">
        <v>1</v>
      </c>
      <c r="BH62" s="435"/>
      <c r="BI62" s="435"/>
      <c r="BJ62" s="426">
        <v>8</v>
      </c>
      <c r="BK62" s="426">
        <f t="shared" si="50"/>
        <v>7</v>
      </c>
      <c r="BL62" s="427">
        <f t="shared" si="51"/>
        <v>0.875</v>
      </c>
      <c r="BR62" s="431" t="s">
        <v>1390</v>
      </c>
      <c r="BS62" s="428">
        <f t="shared" si="14"/>
        <v>46308</v>
      </c>
      <c r="BT62" s="429" t="s">
        <v>170</v>
      </c>
      <c r="CJ62" s="430">
        <v>46156</v>
      </c>
      <c r="CK62" s="430">
        <v>46156</v>
      </c>
      <c r="CL62" s="430">
        <f t="shared" si="63"/>
        <v>46171</v>
      </c>
      <c r="CM62" s="430"/>
      <c r="CN62" s="430">
        <f t="shared" si="40"/>
        <v>46185</v>
      </c>
      <c r="CO62" s="431"/>
      <c r="CP62" s="430">
        <f t="shared" si="64"/>
        <v>46230</v>
      </c>
      <c r="CQ62" s="432"/>
      <c r="CR62" s="433">
        <f t="shared" si="65"/>
        <v>46218</v>
      </c>
      <c r="CS62" s="434"/>
      <c r="CT62" s="433">
        <f t="shared" si="66"/>
        <v>46237</v>
      </c>
      <c r="CU62" s="434"/>
      <c r="CV62" s="433">
        <f t="shared" si="67"/>
        <v>46244</v>
      </c>
      <c r="CW62" s="434"/>
      <c r="CX62" s="433">
        <f t="shared" si="68"/>
        <v>46288</v>
      </c>
      <c r="CY62" s="434"/>
      <c r="CZ62" s="433">
        <f t="shared" si="69"/>
        <v>46298</v>
      </c>
      <c r="DA62" s="434"/>
    </row>
    <row r="63" spans="1:105" ht="69" customHeight="1">
      <c r="A63" s="404">
        <v>47</v>
      </c>
      <c r="B63" s="468">
        <v>46266</v>
      </c>
      <c r="C63" s="468">
        <v>46266</v>
      </c>
      <c r="D63" s="406" t="s">
        <v>163</v>
      </c>
      <c r="E63" s="469">
        <v>7502327992196</v>
      </c>
      <c r="F63" s="406" t="s">
        <v>1476</v>
      </c>
      <c r="G63" s="405" t="s">
        <v>1477</v>
      </c>
      <c r="H63" s="406"/>
      <c r="I63" s="406" t="s">
        <v>1094</v>
      </c>
      <c r="J63" s="406" t="s">
        <v>1367</v>
      </c>
      <c r="K63" s="407" t="s">
        <v>1064</v>
      </c>
      <c r="L63" s="408">
        <v>1</v>
      </c>
      <c r="M63" s="436">
        <v>0.47</v>
      </c>
      <c r="N63" s="410" t="s">
        <v>74</v>
      </c>
      <c r="O63" s="411">
        <v>30000</v>
      </c>
      <c r="P63" s="410">
        <f t="shared" si="59"/>
        <v>5.3909000000000002</v>
      </c>
      <c r="Q63" s="410">
        <f t="shared" si="60"/>
        <v>1.3477250000000001</v>
      </c>
      <c r="R63" s="410">
        <f>(P63+Q63)*1.85%</f>
        <v>0.12466456250000003</v>
      </c>
      <c r="S63" s="410">
        <f t="shared" si="61"/>
        <v>6.8632895625000003</v>
      </c>
      <c r="T63" s="412">
        <v>99</v>
      </c>
      <c r="U63" s="410">
        <f t="shared" si="41"/>
        <v>85.344827586206904</v>
      </c>
      <c r="V63" s="413">
        <f t="shared" si="42"/>
        <v>51.206896551724142</v>
      </c>
      <c r="W63" s="414">
        <f t="shared" si="43"/>
        <v>0.13403057058080808</v>
      </c>
      <c r="X63" s="415">
        <f t="shared" si="44"/>
        <v>0.86596942941919197</v>
      </c>
      <c r="Y63" s="416">
        <f t="shared" si="45"/>
        <v>0.4</v>
      </c>
      <c r="Z63" s="417" t="s">
        <v>648</v>
      </c>
      <c r="AA63" s="418" t="s">
        <v>1374</v>
      </c>
      <c r="AB63" s="406">
        <v>40</v>
      </c>
      <c r="AC63" s="406">
        <v>960</v>
      </c>
      <c r="AD63" s="419">
        <v>46306</v>
      </c>
      <c r="AE63" s="420"/>
      <c r="AG63" s="421">
        <v>69</v>
      </c>
      <c r="AH63" s="422">
        <f t="shared" si="46"/>
        <v>59.482758620689658</v>
      </c>
      <c r="AI63" s="423">
        <f t="shared" si="47"/>
        <v>0.11538283902173913</v>
      </c>
      <c r="AJ63" s="424">
        <f t="shared" si="48"/>
        <v>0.88461716097826093</v>
      </c>
      <c r="AK63" s="425">
        <f t="shared" si="49"/>
        <v>0</v>
      </c>
      <c r="BA63" s="426">
        <v>1</v>
      </c>
      <c r="BB63" s="426">
        <v>1</v>
      </c>
      <c r="BC63" s="426">
        <v>1</v>
      </c>
      <c r="BD63" s="426">
        <v>1</v>
      </c>
      <c r="BE63" s="426">
        <v>1</v>
      </c>
      <c r="BF63" s="435">
        <v>1</v>
      </c>
      <c r="BG63" s="435">
        <v>1</v>
      </c>
      <c r="BH63" s="435"/>
      <c r="BI63" s="435"/>
      <c r="BJ63" s="426">
        <v>8</v>
      </c>
      <c r="BK63" s="426">
        <f t="shared" si="50"/>
        <v>7</v>
      </c>
      <c r="BL63" s="427">
        <f t="shared" si="51"/>
        <v>0.875</v>
      </c>
      <c r="BR63" s="431" t="s">
        <v>1390</v>
      </c>
      <c r="BS63" s="428">
        <f t="shared" si="14"/>
        <v>46306</v>
      </c>
      <c r="BT63" s="429" t="s">
        <v>170</v>
      </c>
      <c r="CJ63" s="430">
        <v>46164</v>
      </c>
      <c r="CK63" s="430">
        <v>46164</v>
      </c>
      <c r="CL63" s="430">
        <f>CK63+15</f>
        <v>46179</v>
      </c>
      <c r="CM63" s="430"/>
      <c r="CN63" s="430">
        <f t="shared" si="40"/>
        <v>46193</v>
      </c>
      <c r="CO63" s="431"/>
      <c r="CP63" s="430">
        <f>CN63+45</f>
        <v>46238</v>
      </c>
      <c r="CQ63" s="432"/>
      <c r="CR63" s="433">
        <f t="shared" si="65"/>
        <v>46226</v>
      </c>
      <c r="CS63" s="434"/>
      <c r="CT63" s="433">
        <f t="shared" si="66"/>
        <v>46245</v>
      </c>
      <c r="CU63" s="434"/>
      <c r="CV63" s="433">
        <f t="shared" si="67"/>
        <v>46252</v>
      </c>
      <c r="CW63" s="434"/>
      <c r="CX63" s="433">
        <f t="shared" si="68"/>
        <v>46296</v>
      </c>
      <c r="CY63" s="434"/>
      <c r="CZ63" s="433">
        <f t="shared" si="69"/>
        <v>46306</v>
      </c>
      <c r="DA63" s="434"/>
    </row>
    <row r="64" spans="1:105" ht="69" customHeight="1">
      <c r="A64" s="404">
        <v>48</v>
      </c>
      <c r="B64" s="468">
        <v>46266</v>
      </c>
      <c r="C64" s="468">
        <v>46266</v>
      </c>
      <c r="D64" s="406" t="s">
        <v>163</v>
      </c>
      <c r="E64" s="469">
        <v>7502327992219</v>
      </c>
      <c r="F64" s="406" t="s">
        <v>1478</v>
      </c>
      <c r="G64" s="405" t="s">
        <v>1479</v>
      </c>
      <c r="H64" s="393"/>
      <c r="I64" s="406" t="s">
        <v>1480</v>
      </c>
      <c r="J64" s="407" t="s">
        <v>1367</v>
      </c>
      <c r="K64" s="407" t="s">
        <v>1064</v>
      </c>
      <c r="L64" s="408">
        <v>1</v>
      </c>
      <c r="M64" s="436">
        <v>0.25</v>
      </c>
      <c r="N64" s="410" t="s">
        <v>74</v>
      </c>
      <c r="O64" s="411">
        <v>50000</v>
      </c>
      <c r="P64" s="410">
        <f t="shared" si="59"/>
        <v>2.8675000000000002</v>
      </c>
      <c r="Q64" s="410">
        <f t="shared" si="60"/>
        <v>0.71687500000000004</v>
      </c>
      <c r="R64" s="410">
        <f>(P64+Q64)*48.12%</f>
        <v>1.7248012499999998</v>
      </c>
      <c r="S64" s="410">
        <f t="shared" si="61"/>
        <v>5.3091762500000002</v>
      </c>
      <c r="T64" s="412">
        <v>59</v>
      </c>
      <c r="U64" s="410">
        <f t="shared" si="41"/>
        <v>50.862068965517246</v>
      </c>
      <c r="V64" s="413">
        <f t="shared" si="42"/>
        <v>30.517241379310345</v>
      </c>
      <c r="W64" s="414">
        <f t="shared" si="43"/>
        <v>0.17397300706214688</v>
      </c>
      <c r="X64" s="415">
        <f t="shared" si="44"/>
        <v>0.82602699293785309</v>
      </c>
      <c r="Y64" s="416">
        <f t="shared" si="45"/>
        <v>0.4</v>
      </c>
      <c r="Z64" s="417" t="s">
        <v>648</v>
      </c>
      <c r="AA64" s="418" t="s">
        <v>1374</v>
      </c>
      <c r="AB64" s="406">
        <v>6</v>
      </c>
      <c r="AC64" s="406">
        <v>12</v>
      </c>
      <c r="AD64" s="419">
        <v>46315</v>
      </c>
      <c r="AE64" s="420"/>
      <c r="AG64" s="421">
        <v>39</v>
      </c>
      <c r="AH64" s="422">
        <f t="shared" si="46"/>
        <v>33.620689655172413</v>
      </c>
      <c r="AI64" s="423">
        <f t="shared" si="47"/>
        <v>0.15791396025641027</v>
      </c>
      <c r="AJ64" s="424">
        <f t="shared" si="48"/>
        <v>0.84208603974358975</v>
      </c>
      <c r="AK64" s="425">
        <f t="shared" si="49"/>
        <v>0</v>
      </c>
      <c r="BA64" s="426">
        <v>1</v>
      </c>
      <c r="BB64" s="426">
        <v>1</v>
      </c>
      <c r="BC64" s="426">
        <v>1</v>
      </c>
      <c r="BD64" s="426">
        <v>1</v>
      </c>
      <c r="BE64" s="426">
        <v>1</v>
      </c>
      <c r="BF64" s="435">
        <v>1</v>
      </c>
      <c r="BG64" s="435">
        <v>1</v>
      </c>
      <c r="BH64" s="435"/>
      <c r="BI64" s="435"/>
      <c r="BJ64" s="426">
        <v>8</v>
      </c>
      <c r="BK64" s="426">
        <f t="shared" si="50"/>
        <v>7</v>
      </c>
      <c r="BL64" s="427">
        <f t="shared" si="51"/>
        <v>0.875</v>
      </c>
      <c r="BR64" s="431" t="s">
        <v>1390</v>
      </c>
      <c r="BS64" s="428">
        <f t="shared" si="14"/>
        <v>46315</v>
      </c>
      <c r="BT64" s="429" t="s">
        <v>170</v>
      </c>
      <c r="CJ64" s="430">
        <v>46174</v>
      </c>
      <c r="CK64" s="430">
        <v>46174</v>
      </c>
      <c r="CL64" s="430">
        <f>CK64+15</f>
        <v>46189</v>
      </c>
      <c r="CM64" s="431"/>
      <c r="CN64" s="430">
        <f>CL64+14</f>
        <v>46203</v>
      </c>
      <c r="CO64" s="431"/>
      <c r="CP64" s="432">
        <f>CN64+35</f>
        <v>46238</v>
      </c>
      <c r="CQ64" s="432"/>
      <c r="CR64" s="434"/>
      <c r="CS64" s="434"/>
      <c r="CT64" s="434"/>
      <c r="CU64" s="434"/>
      <c r="CV64" s="434"/>
      <c r="CW64" s="434"/>
      <c r="CX64" s="434"/>
      <c r="CY64" s="434"/>
      <c r="CZ64" s="434"/>
      <c r="DA64" s="434"/>
    </row>
    <row r="65" spans="1:105" ht="69" customHeight="1">
      <c r="A65" s="404">
        <v>49</v>
      </c>
      <c r="B65" s="468">
        <v>46266</v>
      </c>
      <c r="C65" s="468">
        <v>46266</v>
      </c>
      <c r="D65" s="406" t="s">
        <v>163</v>
      </c>
      <c r="E65" s="469">
        <v>7502327992226</v>
      </c>
      <c r="F65" s="406" t="s">
        <v>1481</v>
      </c>
      <c r="G65" s="405" t="s">
        <v>1482</v>
      </c>
      <c r="H65" s="406"/>
      <c r="I65" s="406" t="s">
        <v>1483</v>
      </c>
      <c r="J65" s="406" t="s">
        <v>1367</v>
      </c>
      <c r="K65" s="407" t="s">
        <v>1064</v>
      </c>
      <c r="L65" s="408">
        <v>1</v>
      </c>
      <c r="M65" s="436">
        <v>0.17</v>
      </c>
      <c r="N65" s="410" t="s">
        <v>74</v>
      </c>
      <c r="O65" s="411">
        <v>5000</v>
      </c>
      <c r="P65" s="410">
        <f t="shared" si="59"/>
        <v>1.9499000000000002</v>
      </c>
      <c r="Q65" s="410">
        <f t="shared" si="60"/>
        <v>0.48747500000000005</v>
      </c>
      <c r="R65" s="410">
        <f>(P65+Q65)*9.66%</f>
        <v>0.23545042500000005</v>
      </c>
      <c r="S65" s="410">
        <f t="shared" si="61"/>
        <v>2.6728254250000001</v>
      </c>
      <c r="T65" s="412">
        <v>29</v>
      </c>
      <c r="U65" s="410">
        <f t="shared" si="41"/>
        <v>25</v>
      </c>
      <c r="V65" s="413">
        <f t="shared" si="42"/>
        <v>15</v>
      </c>
      <c r="W65" s="414">
        <f t="shared" si="43"/>
        <v>0.17818836166666668</v>
      </c>
      <c r="X65" s="415">
        <f t="shared" si="44"/>
        <v>0.82181163833333337</v>
      </c>
      <c r="Y65" s="416">
        <f t="shared" si="45"/>
        <v>0.4</v>
      </c>
      <c r="Z65" s="417" t="s">
        <v>648</v>
      </c>
      <c r="AA65" s="418" t="s">
        <v>1374</v>
      </c>
      <c r="AB65" s="406">
        <v>40</v>
      </c>
      <c r="AC65" s="406">
        <v>240</v>
      </c>
      <c r="AD65" s="406"/>
      <c r="AE65" s="420"/>
      <c r="AG65" s="421">
        <v>19</v>
      </c>
      <c r="AH65" s="422">
        <f t="shared" si="46"/>
        <v>16.379310344827587</v>
      </c>
      <c r="AI65" s="423">
        <f t="shared" si="47"/>
        <v>0.16318302594736842</v>
      </c>
      <c r="AJ65" s="424">
        <f t="shared" si="48"/>
        <v>0.83681697405263156</v>
      </c>
      <c r="AK65" s="425">
        <f t="shared" si="49"/>
        <v>0</v>
      </c>
      <c r="BA65" s="426">
        <v>1</v>
      </c>
      <c r="BB65" s="426">
        <v>1</v>
      </c>
      <c r="BC65" s="426">
        <v>1</v>
      </c>
      <c r="BD65" s="426">
        <v>1</v>
      </c>
      <c r="BE65" s="426">
        <v>1</v>
      </c>
      <c r="BF65" s="435">
        <v>1</v>
      </c>
      <c r="BG65" s="435">
        <v>1</v>
      </c>
      <c r="BH65" s="435"/>
      <c r="BI65" s="435"/>
      <c r="BJ65" s="426">
        <v>8</v>
      </c>
      <c r="BK65" s="426">
        <f t="shared" si="50"/>
        <v>7</v>
      </c>
      <c r="BL65" s="427">
        <f t="shared" si="51"/>
        <v>0.875</v>
      </c>
      <c r="BR65" s="431" t="s">
        <v>1390</v>
      </c>
      <c r="BS65" s="428">
        <f t="shared" si="14"/>
        <v>0</v>
      </c>
      <c r="BT65" s="429" t="s">
        <v>170</v>
      </c>
      <c r="CJ65" s="431"/>
      <c r="CK65" s="431"/>
      <c r="CL65" s="431"/>
      <c r="CM65" s="431"/>
      <c r="CN65" s="430"/>
      <c r="CO65" s="431"/>
      <c r="CP65" s="432"/>
      <c r="CQ65" s="432"/>
      <c r="CR65" s="434"/>
      <c r="CS65" s="434"/>
      <c r="CT65" s="434"/>
      <c r="CU65" s="434"/>
      <c r="CV65" s="434"/>
      <c r="CW65" s="434"/>
      <c r="CX65" s="434"/>
      <c r="CY65" s="434"/>
      <c r="CZ65" s="434"/>
      <c r="DA65" s="434"/>
    </row>
    <row r="66" spans="1:105" ht="69" customHeight="1">
      <c r="A66" s="404">
        <v>50</v>
      </c>
      <c r="B66" s="468">
        <v>46266</v>
      </c>
      <c r="C66" s="468">
        <v>46266</v>
      </c>
      <c r="D66" s="406" t="s">
        <v>163</v>
      </c>
      <c r="E66" s="469">
        <v>7502327992240</v>
      </c>
      <c r="F66" s="406" t="s">
        <v>1484</v>
      </c>
      <c r="G66" s="405" t="s">
        <v>1485</v>
      </c>
      <c r="H66" s="406"/>
      <c r="I66" s="406" t="s">
        <v>1486</v>
      </c>
      <c r="J66" s="406" t="s">
        <v>1367</v>
      </c>
      <c r="K66" s="407" t="s">
        <v>1064</v>
      </c>
      <c r="L66" s="408">
        <v>1</v>
      </c>
      <c r="M66" s="436">
        <v>0.6</v>
      </c>
      <c r="N66" s="410" t="s">
        <v>74</v>
      </c>
      <c r="O66" s="411">
        <v>10000</v>
      </c>
      <c r="P66" s="410">
        <f t="shared" si="59"/>
        <v>6.8820000000000006</v>
      </c>
      <c r="Q66" s="410">
        <f t="shared" si="60"/>
        <v>1.7205000000000001</v>
      </c>
      <c r="R66" s="410">
        <f>(P66+Q66)*12%</f>
        <v>1.0323</v>
      </c>
      <c r="S66" s="410">
        <f t="shared" si="61"/>
        <v>9.6348000000000003</v>
      </c>
      <c r="T66" s="412">
        <v>149</v>
      </c>
      <c r="U66" s="410">
        <f t="shared" si="41"/>
        <v>128.44827586206898</v>
      </c>
      <c r="V66" s="413">
        <f t="shared" si="42"/>
        <v>77.068965517241381</v>
      </c>
      <c r="W66" s="414">
        <f t="shared" si="43"/>
        <v>0.12501530201342281</v>
      </c>
      <c r="X66" s="415">
        <f t="shared" si="44"/>
        <v>0.87498469798657719</v>
      </c>
      <c r="Y66" s="416">
        <f t="shared" si="45"/>
        <v>0.4</v>
      </c>
      <c r="Z66" s="417" t="s">
        <v>648</v>
      </c>
      <c r="AA66" s="418" t="s">
        <v>1374</v>
      </c>
      <c r="AB66" s="406">
        <v>4</v>
      </c>
      <c r="AC66" s="406">
        <v>48</v>
      </c>
      <c r="AD66" s="419">
        <v>46332</v>
      </c>
      <c r="AE66" s="420"/>
      <c r="AG66" s="421">
        <v>99</v>
      </c>
      <c r="AH66" s="422">
        <f t="shared" si="46"/>
        <v>85.344827586206904</v>
      </c>
      <c r="AI66" s="423">
        <f t="shared" si="47"/>
        <v>0.11289260606060605</v>
      </c>
      <c r="AJ66" s="424">
        <f t="shared" si="48"/>
        <v>0.88710739393939397</v>
      </c>
      <c r="AK66" s="425">
        <f t="shared" si="49"/>
        <v>0</v>
      </c>
      <c r="BA66" s="426">
        <v>1</v>
      </c>
      <c r="BB66" s="426">
        <v>1</v>
      </c>
      <c r="BC66" s="426">
        <v>1</v>
      </c>
      <c r="BD66" s="426">
        <v>1</v>
      </c>
      <c r="BE66" s="426">
        <v>1</v>
      </c>
      <c r="BF66" s="435">
        <v>1</v>
      </c>
      <c r="BG66" s="435"/>
      <c r="BH66" s="435"/>
      <c r="BI66" s="435"/>
      <c r="BJ66" s="426">
        <v>8</v>
      </c>
      <c r="BK66" s="426">
        <f t="shared" si="50"/>
        <v>6</v>
      </c>
      <c r="BL66" s="427">
        <f t="shared" si="51"/>
        <v>0.75</v>
      </c>
      <c r="BR66" s="431" t="s">
        <v>1487</v>
      </c>
      <c r="BS66" s="428">
        <f t="shared" si="14"/>
        <v>46332</v>
      </c>
      <c r="BT66" s="429" t="s">
        <v>637</v>
      </c>
      <c r="CJ66" s="441"/>
      <c r="CK66" s="441"/>
      <c r="CL66" s="441"/>
      <c r="CM66" s="441"/>
      <c r="CN66" s="430"/>
      <c r="CO66" s="441"/>
      <c r="CP66" s="442"/>
      <c r="CQ66" s="442"/>
      <c r="CR66" s="443"/>
      <c r="CS66" s="443"/>
      <c r="CT66" s="443"/>
      <c r="CU66" s="443"/>
      <c r="CV66" s="443"/>
      <c r="CW66" s="443"/>
      <c r="CX66" s="443"/>
      <c r="CY66" s="443"/>
      <c r="CZ66" s="443"/>
      <c r="DA66" s="443"/>
    </row>
    <row r="67" spans="1:105" ht="69" customHeight="1">
      <c r="A67" s="404">
        <v>51</v>
      </c>
      <c r="B67" s="468">
        <v>46266</v>
      </c>
      <c r="C67" s="468">
        <v>46266</v>
      </c>
      <c r="D67" s="406" t="s">
        <v>163</v>
      </c>
      <c r="E67" s="469">
        <v>7502327992257</v>
      </c>
      <c r="F67" s="406" t="s">
        <v>1488</v>
      </c>
      <c r="G67" s="405" t="s">
        <v>1489</v>
      </c>
      <c r="H67" s="406"/>
      <c r="I67" s="406" t="s">
        <v>1486</v>
      </c>
      <c r="J67" s="406" t="s">
        <v>1367</v>
      </c>
      <c r="K67" s="407" t="s">
        <v>1064</v>
      </c>
      <c r="L67" s="408">
        <v>1</v>
      </c>
      <c r="M67" s="436">
        <v>0.6</v>
      </c>
      <c r="N67" s="410" t="s">
        <v>74</v>
      </c>
      <c r="O67" s="411">
        <v>10000</v>
      </c>
      <c r="P67" s="410">
        <f t="shared" si="59"/>
        <v>6.8820000000000006</v>
      </c>
      <c r="Q67" s="410">
        <f t="shared" si="60"/>
        <v>1.7205000000000001</v>
      </c>
      <c r="R67" s="410">
        <f>(P67+Q67)*12%</f>
        <v>1.0323</v>
      </c>
      <c r="S67" s="410">
        <f t="shared" si="61"/>
        <v>9.6348000000000003</v>
      </c>
      <c r="T67" s="412">
        <v>149</v>
      </c>
      <c r="U67" s="410">
        <f t="shared" si="41"/>
        <v>128.44827586206898</v>
      </c>
      <c r="V67" s="413">
        <f t="shared" si="42"/>
        <v>77.068965517241381</v>
      </c>
      <c r="W67" s="414">
        <f t="shared" si="43"/>
        <v>0.12501530201342281</v>
      </c>
      <c r="X67" s="415">
        <f t="shared" si="44"/>
        <v>0.87498469798657719</v>
      </c>
      <c r="Y67" s="416">
        <f t="shared" si="45"/>
        <v>0.4</v>
      </c>
      <c r="Z67" s="417" t="s">
        <v>648</v>
      </c>
      <c r="AA67" s="418" t="s">
        <v>1374</v>
      </c>
      <c r="AB67" s="406">
        <v>4</v>
      </c>
      <c r="AC67" s="406">
        <v>48</v>
      </c>
      <c r="AD67" s="419">
        <v>46332</v>
      </c>
      <c r="AE67" s="420"/>
      <c r="AG67" s="421">
        <v>99</v>
      </c>
      <c r="AH67" s="422">
        <f t="shared" si="46"/>
        <v>85.344827586206904</v>
      </c>
      <c r="AI67" s="423">
        <f t="shared" si="47"/>
        <v>0.11289260606060605</v>
      </c>
      <c r="AJ67" s="424">
        <f t="shared" si="48"/>
        <v>0.88710739393939397</v>
      </c>
      <c r="AK67" s="425">
        <f t="shared" si="49"/>
        <v>0</v>
      </c>
      <c r="BA67" s="426">
        <v>1</v>
      </c>
      <c r="BB67" s="426">
        <v>1</v>
      </c>
      <c r="BC67" s="426">
        <v>1</v>
      </c>
      <c r="BD67" s="426">
        <v>1</v>
      </c>
      <c r="BE67" s="426">
        <v>1</v>
      </c>
      <c r="BF67" s="435">
        <v>1</v>
      </c>
      <c r="BG67" s="435">
        <v>1</v>
      </c>
      <c r="BH67" s="435"/>
      <c r="BI67" s="435"/>
      <c r="BJ67" s="426">
        <v>8</v>
      </c>
      <c r="BK67" s="426">
        <f t="shared" si="50"/>
        <v>7</v>
      </c>
      <c r="BL67" s="427">
        <f t="shared" si="51"/>
        <v>0.875</v>
      </c>
      <c r="BR67" s="431" t="s">
        <v>1390</v>
      </c>
      <c r="BS67" s="428">
        <f t="shared" si="14"/>
        <v>46332</v>
      </c>
      <c r="BT67" s="429" t="s">
        <v>170</v>
      </c>
      <c r="CJ67" s="444"/>
      <c r="CK67" s="444"/>
      <c r="CL67" s="444"/>
      <c r="CM67" s="444"/>
      <c r="CN67" s="430"/>
      <c r="CO67" s="444"/>
      <c r="CP67" s="445"/>
      <c r="CQ67" s="445"/>
      <c r="CR67" s="446"/>
      <c r="CS67" s="446"/>
      <c r="CT67" s="446"/>
      <c r="CU67" s="446"/>
      <c r="CV67" s="446"/>
      <c r="CW67" s="446"/>
      <c r="CX67" s="446"/>
      <c r="CY67" s="446"/>
      <c r="CZ67" s="446"/>
      <c r="DA67" s="446"/>
    </row>
    <row r="68" spans="1:105" ht="69" customHeight="1">
      <c r="A68" s="404">
        <v>52</v>
      </c>
      <c r="B68" s="468">
        <v>46266</v>
      </c>
      <c r="C68" s="468">
        <v>46266</v>
      </c>
      <c r="D68" s="406" t="s">
        <v>163</v>
      </c>
      <c r="E68" s="469">
        <v>7502327992264</v>
      </c>
      <c r="F68" s="406" t="s">
        <v>1490</v>
      </c>
      <c r="G68" s="405" t="s">
        <v>1491</v>
      </c>
      <c r="H68" s="406"/>
      <c r="I68" s="406">
        <v>1</v>
      </c>
      <c r="J68" s="406" t="s">
        <v>1367</v>
      </c>
      <c r="K68" s="407" t="s">
        <v>1064</v>
      </c>
      <c r="L68" s="408">
        <v>1</v>
      </c>
      <c r="M68" s="436">
        <f t="shared" ref="M68:M75" si="70">1/12</f>
        <v>8.3333333333333329E-2</v>
      </c>
      <c r="N68" s="410" t="s">
        <v>74</v>
      </c>
      <c r="O68" s="411">
        <v>30000</v>
      </c>
      <c r="P68" s="410">
        <f t="shared" si="59"/>
        <v>0.95583333333333331</v>
      </c>
      <c r="Q68" s="410">
        <f t="shared" si="60"/>
        <v>0.23895833333333333</v>
      </c>
      <c r="R68" s="410">
        <f t="shared" ref="R68:R75" si="71">(P68+Q68)*7.79%</f>
        <v>9.3074270833333334E-2</v>
      </c>
      <c r="S68" s="410">
        <f t="shared" si="61"/>
        <v>1.2878659374999999</v>
      </c>
      <c r="T68" s="412">
        <v>19</v>
      </c>
      <c r="U68" s="410">
        <f t="shared" si="41"/>
        <v>16.379310344827587</v>
      </c>
      <c r="V68" s="413">
        <f t="shared" si="42"/>
        <v>9.8275862068965516</v>
      </c>
      <c r="W68" s="414">
        <f t="shared" si="43"/>
        <v>0.13104600767543859</v>
      </c>
      <c r="X68" s="415">
        <f t="shared" si="44"/>
        <v>0.86895399232456139</v>
      </c>
      <c r="Y68" s="416">
        <f t="shared" si="45"/>
        <v>0.4</v>
      </c>
      <c r="Z68" s="417" t="s">
        <v>648</v>
      </c>
      <c r="AA68" s="418" t="s">
        <v>1374</v>
      </c>
      <c r="AB68" s="406">
        <v>12</v>
      </c>
      <c r="AC68" s="406">
        <v>480</v>
      </c>
      <c r="AD68" s="419">
        <v>46282</v>
      </c>
      <c r="AE68" s="420"/>
      <c r="AG68" s="421">
        <v>9</v>
      </c>
      <c r="AH68" s="422">
        <f t="shared" si="46"/>
        <v>7.7586206896551726</v>
      </c>
      <c r="AI68" s="423">
        <f t="shared" si="47"/>
        <v>0.16599160972222221</v>
      </c>
      <c r="AJ68" s="424">
        <f t="shared" si="48"/>
        <v>0.83400839027777773</v>
      </c>
      <c r="AK68" s="425">
        <f t="shared" si="49"/>
        <v>0</v>
      </c>
      <c r="BA68" s="426">
        <v>1</v>
      </c>
      <c r="BB68" s="426">
        <v>1</v>
      </c>
      <c r="BC68" s="426">
        <v>1</v>
      </c>
      <c r="BD68" s="426">
        <v>1</v>
      </c>
      <c r="BE68" s="426">
        <v>1</v>
      </c>
      <c r="BF68" s="435">
        <v>1</v>
      </c>
      <c r="BG68" s="435">
        <v>1</v>
      </c>
      <c r="BH68" s="435"/>
      <c r="BI68" s="435"/>
      <c r="BJ68" s="426">
        <v>8</v>
      </c>
      <c r="BK68" s="426">
        <f t="shared" si="50"/>
        <v>7</v>
      </c>
      <c r="BL68" s="427">
        <f t="shared" si="51"/>
        <v>0.875</v>
      </c>
      <c r="BR68" s="431" t="s">
        <v>1390</v>
      </c>
      <c r="BS68" s="428">
        <f t="shared" si="14"/>
        <v>46282</v>
      </c>
      <c r="BT68" s="429" t="s">
        <v>170</v>
      </c>
      <c r="CJ68" s="430">
        <v>46155</v>
      </c>
      <c r="CK68" s="430">
        <v>46155</v>
      </c>
      <c r="CL68" s="447">
        <f>CK68+15</f>
        <v>46170</v>
      </c>
      <c r="CM68" s="444"/>
      <c r="CN68" s="430">
        <f>CL68+14</f>
        <v>46184</v>
      </c>
      <c r="CO68" s="444"/>
      <c r="CP68" s="430">
        <f>CN68+30</f>
        <v>46214</v>
      </c>
      <c r="CQ68" s="445"/>
      <c r="CR68" s="448">
        <f>CP68-12</f>
        <v>46202</v>
      </c>
      <c r="CS68" s="446"/>
      <c r="CT68" s="448">
        <f>CP68+7</f>
        <v>46221</v>
      </c>
      <c r="CU68" s="446"/>
      <c r="CV68" s="448">
        <f>CT68+7</f>
        <v>46228</v>
      </c>
      <c r="CW68" s="446"/>
      <c r="CX68" s="448">
        <f>CV68+44</f>
        <v>46272</v>
      </c>
      <c r="CY68" s="446"/>
      <c r="CZ68" s="448">
        <f>CX68+10</f>
        <v>46282</v>
      </c>
      <c r="DA68" s="446"/>
    </row>
    <row r="69" spans="1:105" ht="69" customHeight="1">
      <c r="A69" s="404">
        <v>53</v>
      </c>
      <c r="B69" s="468">
        <v>46266</v>
      </c>
      <c r="C69" s="468">
        <v>46266</v>
      </c>
      <c r="D69" s="406" t="s">
        <v>163</v>
      </c>
      <c r="E69" s="469">
        <v>7502327992271</v>
      </c>
      <c r="F69" s="406" t="s">
        <v>1492</v>
      </c>
      <c r="G69" s="405" t="s">
        <v>1493</v>
      </c>
      <c r="H69" s="406"/>
      <c r="I69" s="406">
        <v>1</v>
      </c>
      <c r="J69" s="406" t="s">
        <v>1367</v>
      </c>
      <c r="K69" s="407" t="s">
        <v>1064</v>
      </c>
      <c r="L69" s="408">
        <v>1</v>
      </c>
      <c r="M69" s="436">
        <f t="shared" si="70"/>
        <v>8.3333333333333329E-2</v>
      </c>
      <c r="N69" s="410" t="s">
        <v>74</v>
      </c>
      <c r="O69" s="411">
        <v>30000</v>
      </c>
      <c r="P69" s="410">
        <f t="shared" si="59"/>
        <v>0.95583333333333331</v>
      </c>
      <c r="Q69" s="410">
        <f t="shared" si="60"/>
        <v>0.23895833333333333</v>
      </c>
      <c r="R69" s="410">
        <f t="shared" si="71"/>
        <v>9.3074270833333334E-2</v>
      </c>
      <c r="S69" s="410">
        <f t="shared" si="61"/>
        <v>1.2878659374999999</v>
      </c>
      <c r="T69" s="412">
        <v>19</v>
      </c>
      <c r="U69" s="410">
        <f t="shared" si="41"/>
        <v>16.379310344827587</v>
      </c>
      <c r="V69" s="413">
        <f t="shared" si="42"/>
        <v>9.8275862068965516</v>
      </c>
      <c r="W69" s="414">
        <f t="shared" si="43"/>
        <v>0.13104600767543859</v>
      </c>
      <c r="X69" s="415">
        <f t="shared" si="44"/>
        <v>0.86895399232456139</v>
      </c>
      <c r="Y69" s="416">
        <f t="shared" si="45"/>
        <v>0.4</v>
      </c>
      <c r="Z69" s="417" t="s">
        <v>648</v>
      </c>
      <c r="AA69" s="418" t="s">
        <v>1374</v>
      </c>
      <c r="AB69" s="406">
        <v>12</v>
      </c>
      <c r="AC69" s="406">
        <v>480</v>
      </c>
      <c r="AD69" s="419">
        <v>46282</v>
      </c>
      <c r="AE69" s="420"/>
      <c r="AG69" s="421">
        <v>9</v>
      </c>
      <c r="AH69" s="422">
        <f t="shared" si="46"/>
        <v>7.7586206896551726</v>
      </c>
      <c r="AI69" s="423">
        <f t="shared" si="47"/>
        <v>0.16599160972222221</v>
      </c>
      <c r="AJ69" s="424">
        <f t="shared" si="48"/>
        <v>0.83400839027777773</v>
      </c>
      <c r="AK69" s="425">
        <f t="shared" si="49"/>
        <v>0</v>
      </c>
      <c r="BA69" s="426">
        <v>1</v>
      </c>
      <c r="BB69" s="426">
        <v>1</v>
      </c>
      <c r="BC69" s="426">
        <v>1</v>
      </c>
      <c r="BD69" s="426">
        <v>1</v>
      </c>
      <c r="BE69" s="426">
        <v>1</v>
      </c>
      <c r="BF69" s="435">
        <v>1</v>
      </c>
      <c r="BG69" s="435">
        <v>1</v>
      </c>
      <c r="BH69" s="435"/>
      <c r="BI69" s="435"/>
      <c r="BJ69" s="426">
        <v>8</v>
      </c>
      <c r="BK69" s="426">
        <f t="shared" si="50"/>
        <v>7</v>
      </c>
      <c r="BL69" s="427">
        <f t="shared" si="51"/>
        <v>0.875</v>
      </c>
      <c r="BR69" s="431" t="s">
        <v>1390</v>
      </c>
      <c r="BS69" s="428">
        <f t="shared" si="14"/>
        <v>46282</v>
      </c>
      <c r="BT69" s="429" t="s">
        <v>170</v>
      </c>
      <c r="CJ69" s="449"/>
      <c r="CK69" s="449"/>
      <c r="CL69" s="449"/>
      <c r="CM69" s="449"/>
      <c r="CN69" s="430"/>
      <c r="CO69" s="449"/>
      <c r="CP69" s="450"/>
      <c r="CQ69" s="450"/>
      <c r="CR69" s="450"/>
      <c r="CS69" s="450"/>
      <c r="CT69" s="450"/>
      <c r="CU69" s="450"/>
      <c r="CV69" s="450"/>
      <c r="CW69" s="450"/>
      <c r="CX69" s="450"/>
      <c r="CY69" s="450"/>
      <c r="CZ69" s="450"/>
      <c r="DA69" s="450"/>
    </row>
    <row r="70" spans="1:105" ht="69" customHeight="1">
      <c r="A70" s="404">
        <v>54</v>
      </c>
      <c r="B70" s="468">
        <v>46266</v>
      </c>
      <c r="C70" s="468">
        <v>46266</v>
      </c>
      <c r="D70" s="406" t="s">
        <v>163</v>
      </c>
      <c r="E70" s="469">
        <v>7502327992288</v>
      </c>
      <c r="F70" s="406" t="s">
        <v>1494</v>
      </c>
      <c r="G70" s="405" t="s">
        <v>1495</v>
      </c>
      <c r="H70" s="406"/>
      <c r="I70" s="406">
        <v>1</v>
      </c>
      <c r="J70" s="406" t="s">
        <v>1367</v>
      </c>
      <c r="K70" s="407" t="s">
        <v>1064</v>
      </c>
      <c r="L70" s="408">
        <v>1</v>
      </c>
      <c r="M70" s="436">
        <f t="shared" si="70"/>
        <v>8.3333333333333329E-2</v>
      </c>
      <c r="N70" s="410" t="s">
        <v>74</v>
      </c>
      <c r="O70" s="411">
        <v>30000</v>
      </c>
      <c r="P70" s="410">
        <f t="shared" si="59"/>
        <v>0.95583333333333331</v>
      </c>
      <c r="Q70" s="410">
        <f t="shared" si="60"/>
        <v>0.23895833333333333</v>
      </c>
      <c r="R70" s="410">
        <f t="shared" si="71"/>
        <v>9.3074270833333334E-2</v>
      </c>
      <c r="S70" s="410">
        <f t="shared" si="61"/>
        <v>1.2878659374999999</v>
      </c>
      <c r="T70" s="412">
        <v>19</v>
      </c>
      <c r="U70" s="410">
        <f t="shared" si="41"/>
        <v>16.379310344827587</v>
      </c>
      <c r="V70" s="413">
        <f t="shared" si="42"/>
        <v>9.8275862068965516</v>
      </c>
      <c r="W70" s="414">
        <f t="shared" si="43"/>
        <v>0.13104600767543859</v>
      </c>
      <c r="X70" s="415">
        <f t="shared" si="44"/>
        <v>0.86895399232456139</v>
      </c>
      <c r="Y70" s="416">
        <f t="shared" si="45"/>
        <v>0.4</v>
      </c>
      <c r="Z70" s="417" t="s">
        <v>648</v>
      </c>
      <c r="AA70" s="418" t="s">
        <v>1374</v>
      </c>
      <c r="AB70" s="406">
        <v>12</v>
      </c>
      <c r="AC70" s="406">
        <v>480</v>
      </c>
      <c r="AD70" s="419">
        <v>46282</v>
      </c>
      <c r="AE70" s="420"/>
      <c r="AG70" s="421">
        <v>9</v>
      </c>
      <c r="AH70" s="422">
        <f t="shared" si="46"/>
        <v>7.7586206896551726</v>
      </c>
      <c r="AI70" s="423">
        <f t="shared" si="47"/>
        <v>0.16599160972222221</v>
      </c>
      <c r="AJ70" s="424">
        <f t="shared" si="48"/>
        <v>0.83400839027777773</v>
      </c>
      <c r="AK70" s="425">
        <f t="shared" si="49"/>
        <v>0</v>
      </c>
      <c r="BA70" s="426">
        <v>1</v>
      </c>
      <c r="BB70" s="426">
        <v>1</v>
      </c>
      <c r="BC70" s="426">
        <v>1</v>
      </c>
      <c r="BD70" s="426">
        <v>1</v>
      </c>
      <c r="BE70" s="426">
        <v>1</v>
      </c>
      <c r="BF70" s="435">
        <v>1</v>
      </c>
      <c r="BG70" s="435">
        <v>1</v>
      </c>
      <c r="BH70" s="435"/>
      <c r="BI70" s="435"/>
      <c r="BJ70" s="426">
        <v>8</v>
      </c>
      <c r="BK70" s="426">
        <f t="shared" si="50"/>
        <v>7</v>
      </c>
      <c r="BL70" s="427">
        <f t="shared" si="51"/>
        <v>0.875</v>
      </c>
      <c r="BR70" s="431" t="s">
        <v>1390</v>
      </c>
      <c r="BS70" s="428">
        <f t="shared" si="14"/>
        <v>46282</v>
      </c>
      <c r="BT70" s="429" t="s">
        <v>170</v>
      </c>
      <c r="CJ70" s="449"/>
      <c r="CK70" s="449"/>
      <c r="CL70" s="449"/>
      <c r="CM70" s="449"/>
      <c r="CN70" s="430"/>
      <c r="CO70" s="449"/>
      <c r="CP70" s="450"/>
      <c r="CQ70" s="450"/>
      <c r="CR70" s="450"/>
      <c r="CS70" s="450"/>
      <c r="CT70" s="450"/>
      <c r="CU70" s="450"/>
      <c r="CV70" s="450"/>
      <c r="CW70" s="450"/>
      <c r="CX70" s="450"/>
      <c r="CY70" s="450"/>
      <c r="CZ70" s="450"/>
      <c r="DA70" s="450"/>
    </row>
    <row r="71" spans="1:105" ht="69" customHeight="1">
      <c r="A71" s="404">
        <v>55</v>
      </c>
      <c r="B71" s="468">
        <v>46266</v>
      </c>
      <c r="C71" s="468">
        <v>46266</v>
      </c>
      <c r="D71" s="406" t="s">
        <v>163</v>
      </c>
      <c r="E71" s="469">
        <v>7502327992295</v>
      </c>
      <c r="F71" s="406" t="s">
        <v>1496</v>
      </c>
      <c r="G71" s="405" t="s">
        <v>1497</v>
      </c>
      <c r="H71" s="406"/>
      <c r="I71" s="406">
        <v>1</v>
      </c>
      <c r="J71" s="406" t="s">
        <v>1367</v>
      </c>
      <c r="K71" s="407" t="s">
        <v>1064</v>
      </c>
      <c r="L71" s="408">
        <v>1</v>
      </c>
      <c r="M71" s="436">
        <f t="shared" si="70"/>
        <v>8.3333333333333329E-2</v>
      </c>
      <c r="N71" s="410" t="s">
        <v>74</v>
      </c>
      <c r="O71" s="411">
        <v>30000</v>
      </c>
      <c r="P71" s="410">
        <f t="shared" si="59"/>
        <v>0.95583333333333331</v>
      </c>
      <c r="Q71" s="410">
        <f t="shared" si="60"/>
        <v>0.23895833333333333</v>
      </c>
      <c r="R71" s="410">
        <f t="shared" si="71"/>
        <v>9.3074270833333334E-2</v>
      </c>
      <c r="S71" s="410">
        <f t="shared" si="61"/>
        <v>1.2878659374999999</v>
      </c>
      <c r="T71" s="412">
        <v>19</v>
      </c>
      <c r="U71" s="410">
        <f t="shared" si="41"/>
        <v>16.379310344827587</v>
      </c>
      <c r="V71" s="413">
        <f t="shared" si="42"/>
        <v>9.8275862068965516</v>
      </c>
      <c r="W71" s="414">
        <f t="shared" si="43"/>
        <v>0.13104600767543859</v>
      </c>
      <c r="X71" s="415">
        <f t="shared" si="44"/>
        <v>0.86895399232456139</v>
      </c>
      <c r="Y71" s="416">
        <f t="shared" si="45"/>
        <v>0.4</v>
      </c>
      <c r="Z71" s="417" t="s">
        <v>648</v>
      </c>
      <c r="AA71" s="418" t="s">
        <v>1374</v>
      </c>
      <c r="AB71" s="406">
        <v>12</v>
      </c>
      <c r="AC71" s="406">
        <v>480</v>
      </c>
      <c r="AD71" s="419">
        <v>46282</v>
      </c>
      <c r="AE71" s="420"/>
      <c r="AG71" s="421">
        <v>9</v>
      </c>
      <c r="AH71" s="422">
        <f t="shared" si="46"/>
        <v>7.7586206896551726</v>
      </c>
      <c r="AI71" s="423">
        <f t="shared" si="47"/>
        <v>0.16599160972222221</v>
      </c>
      <c r="AJ71" s="424">
        <f t="shared" si="48"/>
        <v>0.83400839027777773</v>
      </c>
      <c r="AK71" s="425">
        <f t="shared" si="49"/>
        <v>0</v>
      </c>
      <c r="BA71" s="426">
        <v>1</v>
      </c>
      <c r="BB71" s="426">
        <v>1</v>
      </c>
      <c r="BC71" s="426">
        <v>1</v>
      </c>
      <c r="BD71" s="426">
        <v>1</v>
      </c>
      <c r="BE71" s="426">
        <v>1</v>
      </c>
      <c r="BF71" s="435">
        <v>1</v>
      </c>
      <c r="BG71" s="435">
        <v>1</v>
      </c>
      <c r="BH71" s="435"/>
      <c r="BI71" s="435"/>
      <c r="BJ71" s="426">
        <v>8</v>
      </c>
      <c r="BK71" s="426">
        <f t="shared" si="50"/>
        <v>7</v>
      </c>
      <c r="BL71" s="427">
        <f t="shared" si="51"/>
        <v>0.875</v>
      </c>
      <c r="BR71" s="431" t="s">
        <v>1390</v>
      </c>
      <c r="BS71" s="428">
        <f t="shared" si="14"/>
        <v>46282</v>
      </c>
      <c r="BT71" s="429" t="s">
        <v>170</v>
      </c>
      <c r="CJ71" s="449"/>
      <c r="CK71" s="449"/>
      <c r="CL71" s="449"/>
      <c r="CM71" s="449"/>
      <c r="CN71" s="430"/>
      <c r="CO71" s="449"/>
      <c r="CP71" s="450"/>
      <c r="CQ71" s="450"/>
      <c r="CR71" s="450"/>
      <c r="CS71" s="450"/>
      <c r="CT71" s="450"/>
      <c r="CU71" s="450"/>
      <c r="CV71" s="450"/>
      <c r="CW71" s="450"/>
      <c r="CX71" s="450"/>
      <c r="CY71" s="450"/>
      <c r="CZ71" s="450"/>
      <c r="DA71" s="450"/>
    </row>
    <row r="72" spans="1:105" ht="69" customHeight="1">
      <c r="A72" s="404">
        <v>56</v>
      </c>
      <c r="B72" s="468">
        <v>46266</v>
      </c>
      <c r="C72" s="468">
        <v>46266</v>
      </c>
      <c r="D72" s="406" t="s">
        <v>163</v>
      </c>
      <c r="E72" s="469">
        <v>7502327992301</v>
      </c>
      <c r="F72" s="406" t="s">
        <v>1498</v>
      </c>
      <c r="G72" s="405" t="s">
        <v>1499</v>
      </c>
      <c r="H72" s="406"/>
      <c r="I72" s="406">
        <v>1</v>
      </c>
      <c r="J72" s="406" t="s">
        <v>1367</v>
      </c>
      <c r="K72" s="407" t="s">
        <v>1064</v>
      </c>
      <c r="L72" s="408">
        <v>1</v>
      </c>
      <c r="M72" s="436">
        <f t="shared" si="70"/>
        <v>8.3333333333333329E-2</v>
      </c>
      <c r="N72" s="410" t="s">
        <v>74</v>
      </c>
      <c r="O72" s="411">
        <v>30000</v>
      </c>
      <c r="P72" s="410">
        <f t="shared" si="59"/>
        <v>0.95583333333333331</v>
      </c>
      <c r="Q72" s="410">
        <f t="shared" si="60"/>
        <v>0.23895833333333333</v>
      </c>
      <c r="R72" s="410">
        <f t="shared" si="71"/>
        <v>9.3074270833333334E-2</v>
      </c>
      <c r="S72" s="410">
        <f t="shared" si="61"/>
        <v>1.2878659374999999</v>
      </c>
      <c r="T72" s="412">
        <v>19</v>
      </c>
      <c r="U72" s="410">
        <f t="shared" si="41"/>
        <v>16.379310344827587</v>
      </c>
      <c r="V72" s="413">
        <f t="shared" si="42"/>
        <v>9.8275862068965516</v>
      </c>
      <c r="W72" s="414">
        <f t="shared" si="43"/>
        <v>0.13104600767543859</v>
      </c>
      <c r="X72" s="415">
        <f t="shared" si="44"/>
        <v>0.86895399232456139</v>
      </c>
      <c r="Y72" s="416">
        <f t="shared" si="45"/>
        <v>0.4</v>
      </c>
      <c r="Z72" s="417" t="s">
        <v>648</v>
      </c>
      <c r="AA72" s="418" t="s">
        <v>1374</v>
      </c>
      <c r="AB72" s="406">
        <v>12</v>
      </c>
      <c r="AC72" s="406">
        <v>480</v>
      </c>
      <c r="AD72" s="419">
        <v>46282</v>
      </c>
      <c r="AE72" s="420"/>
      <c r="AG72" s="421">
        <v>9</v>
      </c>
      <c r="AH72" s="422">
        <f t="shared" si="46"/>
        <v>7.7586206896551726</v>
      </c>
      <c r="AI72" s="423">
        <f t="shared" si="47"/>
        <v>0.16599160972222221</v>
      </c>
      <c r="AJ72" s="424">
        <f t="shared" si="48"/>
        <v>0.83400839027777773</v>
      </c>
      <c r="AK72" s="425">
        <f t="shared" si="49"/>
        <v>0</v>
      </c>
      <c r="BA72" s="426">
        <v>1</v>
      </c>
      <c r="BB72" s="426">
        <v>1</v>
      </c>
      <c r="BC72" s="426">
        <v>1</v>
      </c>
      <c r="BD72" s="426">
        <v>1</v>
      </c>
      <c r="BE72" s="426">
        <v>1</v>
      </c>
      <c r="BF72" s="435">
        <v>1</v>
      </c>
      <c r="BG72" s="435">
        <v>1</v>
      </c>
      <c r="BH72" s="435"/>
      <c r="BI72" s="435"/>
      <c r="BJ72" s="426">
        <v>8</v>
      </c>
      <c r="BK72" s="426">
        <f t="shared" si="50"/>
        <v>7</v>
      </c>
      <c r="BL72" s="427">
        <f t="shared" si="51"/>
        <v>0.875</v>
      </c>
      <c r="BR72" s="431" t="s">
        <v>1390</v>
      </c>
      <c r="BS72" s="428">
        <f t="shared" si="14"/>
        <v>46282</v>
      </c>
      <c r="BT72" s="429" t="s">
        <v>170</v>
      </c>
      <c r="CJ72" s="449"/>
      <c r="CK72" s="449"/>
      <c r="CL72" s="449"/>
      <c r="CM72" s="449"/>
      <c r="CN72" s="449"/>
      <c r="CO72" s="449"/>
      <c r="CP72" s="450"/>
      <c r="CQ72" s="450"/>
      <c r="CR72" s="450"/>
      <c r="CS72" s="450"/>
      <c r="CT72" s="450"/>
      <c r="CU72" s="450"/>
      <c r="CV72" s="450"/>
      <c r="CW72" s="450"/>
      <c r="CX72" s="450"/>
      <c r="CY72" s="450"/>
      <c r="CZ72" s="450"/>
      <c r="DA72" s="450"/>
    </row>
    <row r="73" spans="1:105" ht="69" customHeight="1">
      <c r="A73" s="404">
        <v>57</v>
      </c>
      <c r="B73" s="468">
        <v>46266</v>
      </c>
      <c r="C73" s="468">
        <v>46266</v>
      </c>
      <c r="D73" s="406" t="s">
        <v>163</v>
      </c>
      <c r="E73" s="469">
        <v>7502327992318</v>
      </c>
      <c r="F73" s="406" t="s">
        <v>1500</v>
      </c>
      <c r="G73" s="405" t="s">
        <v>1501</v>
      </c>
      <c r="H73" s="406"/>
      <c r="I73" s="406">
        <v>1</v>
      </c>
      <c r="J73" s="406" t="s">
        <v>1367</v>
      </c>
      <c r="K73" s="407" t="s">
        <v>1064</v>
      </c>
      <c r="L73" s="408">
        <v>1</v>
      </c>
      <c r="M73" s="436">
        <f t="shared" si="70"/>
        <v>8.3333333333333329E-2</v>
      </c>
      <c r="N73" s="410" t="s">
        <v>74</v>
      </c>
      <c r="O73" s="411">
        <v>30000</v>
      </c>
      <c r="P73" s="410">
        <f t="shared" si="59"/>
        <v>0.95583333333333331</v>
      </c>
      <c r="Q73" s="410">
        <f t="shared" si="60"/>
        <v>0.23895833333333333</v>
      </c>
      <c r="R73" s="410">
        <f t="shared" si="71"/>
        <v>9.3074270833333334E-2</v>
      </c>
      <c r="S73" s="410">
        <f t="shared" si="61"/>
        <v>1.2878659374999999</v>
      </c>
      <c r="T73" s="412">
        <v>19</v>
      </c>
      <c r="U73" s="410">
        <f t="shared" si="41"/>
        <v>16.379310344827587</v>
      </c>
      <c r="V73" s="413">
        <f t="shared" si="42"/>
        <v>9.8275862068965516</v>
      </c>
      <c r="W73" s="414">
        <f t="shared" si="43"/>
        <v>0.13104600767543859</v>
      </c>
      <c r="X73" s="415">
        <f t="shared" si="44"/>
        <v>0.86895399232456139</v>
      </c>
      <c r="Y73" s="416">
        <f t="shared" si="45"/>
        <v>0.4</v>
      </c>
      <c r="Z73" s="417" t="s">
        <v>648</v>
      </c>
      <c r="AA73" s="418" t="s">
        <v>1374</v>
      </c>
      <c r="AB73" s="406">
        <v>12</v>
      </c>
      <c r="AC73" s="406">
        <v>480</v>
      </c>
      <c r="AD73" s="419">
        <v>46282</v>
      </c>
      <c r="AE73" s="420"/>
      <c r="AG73" s="421">
        <v>9</v>
      </c>
      <c r="AH73" s="422">
        <f t="shared" si="46"/>
        <v>7.7586206896551726</v>
      </c>
      <c r="AI73" s="423">
        <f t="shared" si="47"/>
        <v>0.16599160972222221</v>
      </c>
      <c r="AJ73" s="424">
        <f t="shared" si="48"/>
        <v>0.83400839027777773</v>
      </c>
      <c r="AK73" s="425">
        <f t="shared" si="49"/>
        <v>0</v>
      </c>
      <c r="BA73" s="426">
        <v>1</v>
      </c>
      <c r="BB73" s="426">
        <v>1</v>
      </c>
      <c r="BC73" s="426">
        <v>1</v>
      </c>
      <c r="BD73" s="426">
        <v>1</v>
      </c>
      <c r="BE73" s="426">
        <v>1</v>
      </c>
      <c r="BF73" s="435">
        <v>1</v>
      </c>
      <c r="BG73" s="435">
        <v>1</v>
      </c>
      <c r="BH73" s="435"/>
      <c r="BI73" s="435"/>
      <c r="BJ73" s="426">
        <v>8</v>
      </c>
      <c r="BK73" s="426">
        <f t="shared" si="50"/>
        <v>7</v>
      </c>
      <c r="BL73" s="427">
        <f t="shared" si="51"/>
        <v>0.875</v>
      </c>
      <c r="BR73" s="431" t="s">
        <v>1390</v>
      </c>
      <c r="BS73" s="428">
        <f t="shared" si="14"/>
        <v>46282</v>
      </c>
      <c r="BT73" s="429" t="s">
        <v>170</v>
      </c>
      <c r="CJ73" s="449"/>
      <c r="CK73" s="449"/>
      <c r="CL73" s="449"/>
      <c r="CM73" s="449"/>
      <c r="CN73" s="449"/>
      <c r="CO73" s="449"/>
      <c r="CP73" s="450"/>
      <c r="CQ73" s="450"/>
      <c r="CR73" s="450"/>
      <c r="CS73" s="450"/>
      <c r="CT73" s="450"/>
      <c r="CU73" s="450"/>
      <c r="CV73" s="450"/>
      <c r="CW73" s="450"/>
      <c r="CX73" s="450"/>
      <c r="CY73" s="450"/>
      <c r="CZ73" s="450"/>
      <c r="DA73" s="450"/>
    </row>
    <row r="74" spans="1:105" ht="69" customHeight="1">
      <c r="A74" s="404">
        <v>58</v>
      </c>
      <c r="B74" s="468">
        <v>46266</v>
      </c>
      <c r="C74" s="468">
        <v>46266</v>
      </c>
      <c r="D74" s="406" t="s">
        <v>163</v>
      </c>
      <c r="E74" s="469">
        <v>7502327992325</v>
      </c>
      <c r="F74" s="406" t="s">
        <v>1502</v>
      </c>
      <c r="G74" s="405" t="s">
        <v>1503</v>
      </c>
      <c r="H74" s="406"/>
      <c r="I74" s="406">
        <v>1</v>
      </c>
      <c r="J74" s="406" t="s">
        <v>1367</v>
      </c>
      <c r="K74" s="407" t="s">
        <v>1064</v>
      </c>
      <c r="L74" s="408">
        <v>1</v>
      </c>
      <c r="M74" s="436">
        <f t="shared" si="70"/>
        <v>8.3333333333333329E-2</v>
      </c>
      <c r="N74" s="410" t="s">
        <v>74</v>
      </c>
      <c r="O74" s="411">
        <v>30000</v>
      </c>
      <c r="P74" s="410">
        <f t="shared" si="59"/>
        <v>0.95583333333333331</v>
      </c>
      <c r="Q74" s="410">
        <f t="shared" si="60"/>
        <v>0.23895833333333333</v>
      </c>
      <c r="R74" s="410">
        <f t="shared" si="71"/>
        <v>9.3074270833333334E-2</v>
      </c>
      <c r="S74" s="410">
        <f t="shared" si="61"/>
        <v>1.2878659374999999</v>
      </c>
      <c r="T74" s="412">
        <v>19</v>
      </c>
      <c r="U74" s="410">
        <f t="shared" si="41"/>
        <v>16.379310344827587</v>
      </c>
      <c r="V74" s="413">
        <f t="shared" si="42"/>
        <v>9.8275862068965516</v>
      </c>
      <c r="W74" s="414">
        <f t="shared" si="43"/>
        <v>0.13104600767543859</v>
      </c>
      <c r="X74" s="415">
        <f t="shared" si="44"/>
        <v>0.86895399232456139</v>
      </c>
      <c r="Y74" s="416">
        <f t="shared" si="45"/>
        <v>0.4</v>
      </c>
      <c r="Z74" s="417" t="s">
        <v>648</v>
      </c>
      <c r="AA74" s="418" t="s">
        <v>1374</v>
      </c>
      <c r="AB74" s="406">
        <v>12</v>
      </c>
      <c r="AC74" s="406">
        <v>480</v>
      </c>
      <c r="AD74" s="419">
        <v>46282</v>
      </c>
      <c r="AE74" s="420"/>
      <c r="AG74" s="421">
        <v>9</v>
      </c>
      <c r="AH74" s="422">
        <f t="shared" si="46"/>
        <v>7.7586206896551726</v>
      </c>
      <c r="AI74" s="423">
        <f t="shared" si="47"/>
        <v>0.16599160972222221</v>
      </c>
      <c r="AJ74" s="424">
        <f t="shared" si="48"/>
        <v>0.83400839027777773</v>
      </c>
      <c r="AK74" s="425">
        <f t="shared" si="49"/>
        <v>0</v>
      </c>
      <c r="BA74" s="426">
        <v>1</v>
      </c>
      <c r="BB74" s="426">
        <v>1</v>
      </c>
      <c r="BC74" s="426">
        <v>1</v>
      </c>
      <c r="BD74" s="426">
        <v>1</v>
      </c>
      <c r="BE74" s="426">
        <v>1</v>
      </c>
      <c r="BF74" s="435">
        <v>1</v>
      </c>
      <c r="BG74" s="435">
        <v>1</v>
      </c>
      <c r="BH74" s="435"/>
      <c r="BI74" s="435"/>
      <c r="BJ74" s="426">
        <v>8</v>
      </c>
      <c r="BK74" s="426">
        <f t="shared" si="50"/>
        <v>7</v>
      </c>
      <c r="BL74" s="427">
        <f t="shared" si="51"/>
        <v>0.875</v>
      </c>
      <c r="BR74" s="431" t="s">
        <v>1390</v>
      </c>
      <c r="BS74" s="428">
        <f t="shared" si="14"/>
        <v>46282</v>
      </c>
      <c r="BT74" s="429" t="s">
        <v>170</v>
      </c>
      <c r="CJ74" s="449"/>
      <c r="CK74" s="449"/>
      <c r="CL74" s="449"/>
      <c r="CM74" s="449"/>
      <c r="CN74" s="449"/>
      <c r="CO74" s="449"/>
      <c r="CP74" s="450"/>
      <c r="CQ74" s="450"/>
      <c r="CR74" s="450"/>
      <c r="CS74" s="450"/>
      <c r="CT74" s="450"/>
      <c r="CU74" s="450"/>
      <c r="CV74" s="450"/>
      <c r="CW74" s="450"/>
      <c r="CX74" s="450"/>
      <c r="CY74" s="450"/>
      <c r="CZ74" s="450"/>
      <c r="DA74" s="450"/>
    </row>
    <row r="75" spans="1:105" ht="69" customHeight="1">
      <c r="A75" s="404">
        <v>59</v>
      </c>
      <c r="B75" s="468">
        <v>46266</v>
      </c>
      <c r="C75" s="468">
        <v>46266</v>
      </c>
      <c r="D75" s="406" t="s">
        <v>163</v>
      </c>
      <c r="E75" s="469">
        <v>7502327992349</v>
      </c>
      <c r="F75" s="406" t="s">
        <v>1504</v>
      </c>
      <c r="G75" s="405" t="s">
        <v>1505</v>
      </c>
      <c r="H75" s="406"/>
      <c r="I75" s="406">
        <v>1</v>
      </c>
      <c r="J75" s="406" t="s">
        <v>1367</v>
      </c>
      <c r="K75" s="407" t="s">
        <v>1064</v>
      </c>
      <c r="L75" s="408">
        <v>1</v>
      </c>
      <c r="M75" s="436">
        <f t="shared" si="70"/>
        <v>8.3333333333333329E-2</v>
      </c>
      <c r="N75" s="410" t="s">
        <v>74</v>
      </c>
      <c r="O75" s="411">
        <v>30000</v>
      </c>
      <c r="P75" s="410">
        <f t="shared" si="59"/>
        <v>0.95583333333333331</v>
      </c>
      <c r="Q75" s="410">
        <f t="shared" si="60"/>
        <v>0.23895833333333333</v>
      </c>
      <c r="R75" s="410">
        <f t="shared" si="71"/>
        <v>9.3074270833333334E-2</v>
      </c>
      <c r="S75" s="410">
        <f t="shared" si="61"/>
        <v>1.2878659374999999</v>
      </c>
      <c r="T75" s="412">
        <v>19</v>
      </c>
      <c r="U75" s="410">
        <f t="shared" si="41"/>
        <v>16.379310344827587</v>
      </c>
      <c r="V75" s="413">
        <f t="shared" si="42"/>
        <v>9.8275862068965516</v>
      </c>
      <c r="W75" s="414">
        <f t="shared" si="43"/>
        <v>0.13104600767543859</v>
      </c>
      <c r="X75" s="415">
        <f t="shared" si="44"/>
        <v>0.86895399232456139</v>
      </c>
      <c r="Y75" s="416">
        <f t="shared" si="45"/>
        <v>0.4</v>
      </c>
      <c r="Z75" s="417" t="s">
        <v>648</v>
      </c>
      <c r="AA75" s="418" t="s">
        <v>1374</v>
      </c>
      <c r="AB75" s="406">
        <v>12</v>
      </c>
      <c r="AC75" s="406">
        <v>480</v>
      </c>
      <c r="AD75" s="419">
        <v>46282</v>
      </c>
      <c r="AE75" s="420"/>
      <c r="AG75" s="421">
        <v>9</v>
      </c>
      <c r="AH75" s="422">
        <f t="shared" si="46"/>
        <v>7.7586206896551726</v>
      </c>
      <c r="AI75" s="423">
        <f t="shared" si="47"/>
        <v>0.16599160972222221</v>
      </c>
      <c r="AJ75" s="424">
        <f t="shared" si="48"/>
        <v>0.83400839027777773</v>
      </c>
      <c r="AK75" s="425">
        <f t="shared" si="49"/>
        <v>0</v>
      </c>
      <c r="BA75" s="426">
        <v>1</v>
      </c>
      <c r="BB75" s="426">
        <v>1</v>
      </c>
      <c r="BC75" s="426">
        <v>1</v>
      </c>
      <c r="BD75" s="426">
        <v>1</v>
      </c>
      <c r="BE75" s="426">
        <v>1</v>
      </c>
      <c r="BF75" s="435">
        <v>1</v>
      </c>
      <c r="BG75" s="435">
        <v>1</v>
      </c>
      <c r="BH75" s="435"/>
      <c r="BI75" s="435"/>
      <c r="BJ75" s="426">
        <v>8</v>
      </c>
      <c r="BK75" s="426">
        <f t="shared" si="50"/>
        <v>7</v>
      </c>
      <c r="BL75" s="427">
        <f t="shared" si="51"/>
        <v>0.875</v>
      </c>
      <c r="BR75" s="431" t="s">
        <v>1390</v>
      </c>
      <c r="BS75" s="428">
        <f t="shared" si="14"/>
        <v>46282</v>
      </c>
      <c r="BT75" s="429" t="s">
        <v>170</v>
      </c>
      <c r="CJ75" s="449"/>
      <c r="CK75" s="449"/>
      <c r="CL75" s="449"/>
      <c r="CM75" s="449"/>
      <c r="CN75" s="449"/>
      <c r="CO75" s="449"/>
      <c r="CP75" s="450"/>
      <c r="CQ75" s="450"/>
      <c r="CR75" s="450"/>
      <c r="CS75" s="450"/>
      <c r="CT75" s="450"/>
      <c r="CU75" s="450"/>
      <c r="CV75" s="450"/>
      <c r="CW75" s="450"/>
      <c r="CX75" s="450"/>
      <c r="CY75" s="450"/>
      <c r="CZ75" s="450"/>
      <c r="DA75" s="450"/>
    </row>
    <row r="76" spans="1:105" ht="69" customHeight="1">
      <c r="A76" s="404">
        <v>60</v>
      </c>
      <c r="B76" s="468">
        <v>46266</v>
      </c>
      <c r="C76" s="468">
        <v>46266</v>
      </c>
      <c r="D76" s="406" t="s">
        <v>163</v>
      </c>
      <c r="E76" s="469">
        <v>7502327992356</v>
      </c>
      <c r="F76" s="406" t="s">
        <v>1506</v>
      </c>
      <c r="G76" s="405" t="s">
        <v>1507</v>
      </c>
      <c r="H76" s="406"/>
      <c r="I76" s="406">
        <v>12</v>
      </c>
      <c r="J76" s="406" t="s">
        <v>1367</v>
      </c>
      <c r="K76" s="407" t="s">
        <v>1064</v>
      </c>
      <c r="L76" s="408">
        <v>1</v>
      </c>
      <c r="M76" s="436">
        <v>0.85</v>
      </c>
      <c r="N76" s="410" t="s">
        <v>74</v>
      </c>
      <c r="O76" s="411">
        <v>10000</v>
      </c>
      <c r="P76" s="410">
        <f t="shared" si="59"/>
        <v>9.7495000000000012</v>
      </c>
      <c r="Q76" s="410">
        <f>P76*0.07</f>
        <v>0.6824650000000001</v>
      </c>
      <c r="R76" s="410">
        <f>(P76+Q76)*32.35%</f>
        <v>3.3747406775000006</v>
      </c>
      <c r="S76" s="410">
        <f t="shared" si="61"/>
        <v>13.806705677500002</v>
      </c>
      <c r="T76" s="412">
        <v>139</v>
      </c>
      <c r="U76" s="410">
        <f t="shared" si="41"/>
        <v>119.82758620689656</v>
      </c>
      <c r="V76" s="413">
        <f t="shared" si="42"/>
        <v>71.896551724137936</v>
      </c>
      <c r="W76" s="414">
        <f t="shared" si="43"/>
        <v>0.19203571445923262</v>
      </c>
      <c r="X76" s="415">
        <f t="shared" si="44"/>
        <v>0.80796428554076738</v>
      </c>
      <c r="Y76" s="416">
        <f t="shared" si="45"/>
        <v>0.4</v>
      </c>
      <c r="Z76" s="417" t="s">
        <v>1508</v>
      </c>
      <c r="AA76" s="418" t="s">
        <v>1374</v>
      </c>
      <c r="AB76" s="406"/>
      <c r="AC76" s="406"/>
      <c r="AD76" s="419">
        <v>46272</v>
      </c>
      <c r="AE76" s="420"/>
      <c r="AG76" s="421">
        <v>99</v>
      </c>
      <c r="AH76" s="422">
        <f t="shared" si="46"/>
        <v>85.344827586206904</v>
      </c>
      <c r="AI76" s="423">
        <f t="shared" si="47"/>
        <v>0.16177554127171717</v>
      </c>
      <c r="AJ76" s="424">
        <f t="shared" si="48"/>
        <v>0.83822445872828277</v>
      </c>
      <c r="AK76" s="425">
        <f t="shared" si="49"/>
        <v>0</v>
      </c>
      <c r="BA76" s="426">
        <v>1</v>
      </c>
      <c r="BB76" s="426">
        <v>1</v>
      </c>
      <c r="BC76" s="426">
        <v>1</v>
      </c>
      <c r="BD76" s="426">
        <v>1</v>
      </c>
      <c r="BE76" s="426">
        <v>1</v>
      </c>
      <c r="BF76" s="435">
        <v>1</v>
      </c>
      <c r="BG76" s="435">
        <v>1</v>
      </c>
      <c r="BH76" s="435"/>
      <c r="BI76" s="435"/>
      <c r="BJ76" s="426">
        <v>8</v>
      </c>
      <c r="BK76" s="426">
        <f t="shared" si="50"/>
        <v>7</v>
      </c>
      <c r="BL76" s="427">
        <f t="shared" si="51"/>
        <v>0.875</v>
      </c>
      <c r="BR76" s="431" t="s">
        <v>1390</v>
      </c>
      <c r="BS76" s="428">
        <f t="shared" si="14"/>
        <v>46272</v>
      </c>
      <c r="BT76" s="429" t="s">
        <v>170</v>
      </c>
      <c r="CJ76" s="449"/>
      <c r="CK76" s="449"/>
      <c r="CL76" s="449"/>
      <c r="CM76" s="449"/>
      <c r="CN76" s="449"/>
      <c r="CO76" s="449"/>
      <c r="CP76" s="450"/>
      <c r="CQ76" s="450"/>
      <c r="CR76" s="450"/>
      <c r="CS76" s="450"/>
      <c r="CT76" s="450"/>
      <c r="CU76" s="450"/>
      <c r="CV76" s="450"/>
      <c r="CW76" s="450"/>
      <c r="CX76" s="450"/>
      <c r="CY76" s="450"/>
      <c r="CZ76" s="450"/>
      <c r="DA76" s="450"/>
    </row>
    <row r="77" spans="1:105" ht="69" customHeight="1">
      <c r="A77" s="404">
        <v>61</v>
      </c>
      <c r="B77" s="468">
        <v>46266</v>
      </c>
      <c r="C77" s="468">
        <v>46266</v>
      </c>
      <c r="D77" s="406" t="s">
        <v>163</v>
      </c>
      <c r="E77" s="469">
        <v>7502327992363</v>
      </c>
      <c r="F77" s="406" t="s">
        <v>1509</v>
      </c>
      <c r="G77" s="405" t="s">
        <v>1510</v>
      </c>
      <c r="H77" s="393"/>
      <c r="I77" s="406">
        <v>30</v>
      </c>
      <c r="J77" s="407" t="s">
        <v>1367</v>
      </c>
      <c r="K77" s="407" t="s">
        <v>1064</v>
      </c>
      <c r="L77" s="408">
        <v>1</v>
      </c>
      <c r="M77" s="436">
        <v>0.7</v>
      </c>
      <c r="N77" s="410" t="s">
        <v>74</v>
      </c>
      <c r="O77" s="411">
        <v>10000</v>
      </c>
      <c r="P77" s="410">
        <f t="shared" si="59"/>
        <v>8.0289999999999999</v>
      </c>
      <c r="Q77" s="410">
        <f>P77*0.25</f>
        <v>2.00725</v>
      </c>
      <c r="R77" s="410">
        <f>(P77+Q77)*14.8%</f>
        <v>1.485365</v>
      </c>
      <c r="S77" s="410">
        <f t="shared" si="61"/>
        <v>11.521615000000001</v>
      </c>
      <c r="T77" s="412">
        <v>149</v>
      </c>
      <c r="U77" s="410">
        <f t="shared" si="41"/>
        <v>128.44827586206898</v>
      </c>
      <c r="V77" s="413">
        <f t="shared" si="42"/>
        <v>77.068965517241381</v>
      </c>
      <c r="W77" s="414">
        <f t="shared" si="43"/>
        <v>0.14949746532438479</v>
      </c>
      <c r="X77" s="415">
        <f t="shared" si="44"/>
        <v>0.85050253467561521</v>
      </c>
      <c r="Y77" s="416">
        <f t="shared" si="45"/>
        <v>0.4</v>
      </c>
      <c r="Z77" s="417" t="s">
        <v>648</v>
      </c>
      <c r="AA77" s="418" t="s">
        <v>1374</v>
      </c>
      <c r="AB77" s="406">
        <v>6</v>
      </c>
      <c r="AC77" s="406">
        <v>6</v>
      </c>
      <c r="AD77" s="419">
        <v>46341</v>
      </c>
      <c r="AE77" s="420"/>
      <c r="AG77" s="421">
        <v>99</v>
      </c>
      <c r="AH77" s="422">
        <f t="shared" si="46"/>
        <v>85.344827586206904</v>
      </c>
      <c r="AI77" s="423">
        <f t="shared" si="47"/>
        <v>0.13500074141414142</v>
      </c>
      <c r="AJ77" s="424">
        <f t="shared" si="48"/>
        <v>0.86499925858585858</v>
      </c>
      <c r="AK77" s="425">
        <f t="shared" si="49"/>
        <v>0</v>
      </c>
      <c r="BA77" s="426">
        <v>1</v>
      </c>
      <c r="BB77" s="426">
        <v>1</v>
      </c>
      <c r="BC77" s="426">
        <v>1</v>
      </c>
      <c r="BD77" s="426">
        <v>1</v>
      </c>
      <c r="BE77" s="426">
        <v>1</v>
      </c>
      <c r="BF77" s="435">
        <v>1</v>
      </c>
      <c r="BG77" s="435">
        <v>1</v>
      </c>
      <c r="BH77" s="435"/>
      <c r="BI77" s="435"/>
      <c r="BJ77" s="426">
        <v>8</v>
      </c>
      <c r="BK77" s="426">
        <f t="shared" si="50"/>
        <v>7</v>
      </c>
      <c r="BL77" s="427">
        <f t="shared" si="51"/>
        <v>0.875</v>
      </c>
      <c r="BR77" s="431" t="s">
        <v>1390</v>
      </c>
      <c r="BS77" s="428">
        <f t="shared" si="14"/>
        <v>46341</v>
      </c>
      <c r="BT77" s="429" t="s">
        <v>170</v>
      </c>
      <c r="CJ77" s="449"/>
      <c r="CK77" s="449"/>
      <c r="CL77" s="449"/>
      <c r="CM77" s="449"/>
      <c r="CN77" s="449"/>
      <c r="CO77" s="449"/>
      <c r="CP77" s="450"/>
      <c r="CQ77" s="450"/>
      <c r="CR77" s="450"/>
      <c r="CS77" s="450"/>
      <c r="CT77" s="450"/>
      <c r="CU77" s="450"/>
      <c r="CV77" s="450"/>
      <c r="CW77" s="450"/>
      <c r="CX77" s="450"/>
      <c r="CY77" s="450"/>
      <c r="CZ77" s="450"/>
      <c r="DA77" s="450"/>
    </row>
    <row r="78" spans="1:105" ht="69" customHeight="1">
      <c r="A78" s="404">
        <v>62</v>
      </c>
      <c r="B78" s="468">
        <v>46266</v>
      </c>
      <c r="C78" s="468">
        <v>46266</v>
      </c>
      <c r="D78" s="406" t="s">
        <v>163</v>
      </c>
      <c r="E78" s="469">
        <v>7502327992370</v>
      </c>
      <c r="F78" s="406" t="s">
        <v>1511</v>
      </c>
      <c r="G78" s="405" t="s">
        <v>1512</v>
      </c>
      <c r="H78" s="393"/>
      <c r="I78" s="406">
        <v>6</v>
      </c>
      <c r="J78" s="407" t="s">
        <v>1367</v>
      </c>
      <c r="K78" s="407" t="s">
        <v>1064</v>
      </c>
      <c r="L78" s="408">
        <v>1</v>
      </c>
      <c r="M78" s="436">
        <v>0.05</v>
      </c>
      <c r="N78" s="410" t="s">
        <v>74</v>
      </c>
      <c r="O78" s="411">
        <v>40000</v>
      </c>
      <c r="P78" s="410">
        <f t="shared" si="59"/>
        <v>0.57350000000000001</v>
      </c>
      <c r="Q78" s="410">
        <f>P78*0.25</f>
        <v>0.143375</v>
      </c>
      <c r="R78" s="410">
        <f>(P78+Q78)*14.94%</f>
        <v>0.10710112500000001</v>
      </c>
      <c r="S78" s="410">
        <f t="shared" si="61"/>
        <v>0.82397612499999995</v>
      </c>
      <c r="T78" s="412">
        <v>39</v>
      </c>
      <c r="U78" s="410">
        <f t="shared" si="41"/>
        <v>33.620689655172413</v>
      </c>
      <c r="V78" s="413">
        <f t="shared" si="42"/>
        <v>20.172413793103448</v>
      </c>
      <c r="W78" s="414">
        <f t="shared" si="43"/>
        <v>4.0846679700854698E-2</v>
      </c>
      <c r="X78" s="415">
        <f t="shared" si="44"/>
        <v>0.95915332029914535</v>
      </c>
      <c r="Y78" s="416">
        <f t="shared" si="45"/>
        <v>0.4</v>
      </c>
      <c r="Z78" s="417" t="s">
        <v>648</v>
      </c>
      <c r="AA78" s="418" t="s">
        <v>1374</v>
      </c>
      <c r="AB78" s="406"/>
      <c r="AC78" s="406"/>
      <c r="AD78" s="419">
        <v>46341</v>
      </c>
      <c r="AE78" s="420"/>
      <c r="AG78" s="421">
        <v>29</v>
      </c>
      <c r="AH78" s="422">
        <f t="shared" si="46"/>
        <v>25</v>
      </c>
      <c r="AI78" s="423">
        <f t="shared" si="47"/>
        <v>3.2959044999999999E-2</v>
      </c>
      <c r="AJ78" s="424">
        <f t="shared" si="48"/>
        <v>0.96704095499999998</v>
      </c>
      <c r="AK78" s="425">
        <f t="shared" si="49"/>
        <v>0</v>
      </c>
      <c r="BA78" s="426">
        <v>1</v>
      </c>
      <c r="BB78" s="426">
        <v>1</v>
      </c>
      <c r="BC78" s="426">
        <v>1</v>
      </c>
      <c r="BD78" s="426">
        <v>1</v>
      </c>
      <c r="BE78" s="426">
        <v>1</v>
      </c>
      <c r="BF78" s="435">
        <v>1</v>
      </c>
      <c r="BG78" s="435"/>
      <c r="BH78" s="435"/>
      <c r="BI78" s="435"/>
      <c r="BJ78" s="426">
        <v>8</v>
      </c>
      <c r="BK78" s="426">
        <f t="shared" si="50"/>
        <v>6</v>
      </c>
      <c r="BL78" s="427">
        <f t="shared" si="51"/>
        <v>0.75</v>
      </c>
      <c r="BR78" s="431" t="s">
        <v>1513</v>
      </c>
      <c r="BS78" s="428">
        <f t="shared" si="14"/>
        <v>46341</v>
      </c>
      <c r="BT78" s="429" t="s">
        <v>211</v>
      </c>
      <c r="CJ78" s="449"/>
      <c r="CK78" s="449"/>
      <c r="CL78" s="449"/>
      <c r="CM78" s="449"/>
      <c r="CN78" s="449"/>
      <c r="CO78" s="449"/>
      <c r="CP78" s="450"/>
      <c r="CQ78" s="450"/>
      <c r="CR78" s="450"/>
      <c r="CS78" s="450"/>
      <c r="CT78" s="450"/>
      <c r="CU78" s="450"/>
      <c r="CV78" s="450"/>
      <c r="CW78" s="450"/>
      <c r="CX78" s="450"/>
      <c r="CY78" s="450"/>
      <c r="CZ78" s="450"/>
      <c r="DA78" s="450"/>
    </row>
    <row r="79" spans="1:105" ht="69" customHeight="1">
      <c r="A79" s="404">
        <v>64</v>
      </c>
      <c r="B79" s="468">
        <v>46266</v>
      </c>
      <c r="C79" s="468">
        <v>46266</v>
      </c>
      <c r="D79" s="406" t="s">
        <v>163</v>
      </c>
      <c r="E79" s="469">
        <v>7502327992394</v>
      </c>
      <c r="F79" s="406" t="s">
        <v>1514</v>
      </c>
      <c r="G79" s="405" t="s">
        <v>1515</v>
      </c>
      <c r="H79" s="406"/>
      <c r="I79" s="406">
        <v>2</v>
      </c>
      <c r="J79" s="406" t="s">
        <v>1367</v>
      </c>
      <c r="K79" s="407" t="s">
        <v>1064</v>
      </c>
      <c r="L79" s="408">
        <v>1</v>
      </c>
      <c r="M79" s="436">
        <v>0.39</v>
      </c>
      <c r="N79" s="410" t="s">
        <v>74</v>
      </c>
      <c r="O79" s="411">
        <v>5000</v>
      </c>
      <c r="P79" s="410">
        <f t="shared" si="59"/>
        <v>4.4733000000000001</v>
      </c>
      <c r="Q79" s="410">
        <f>P79*0.25</f>
        <v>1.118325</v>
      </c>
      <c r="R79" s="451">
        <f>(P79+Q79)*0.08</f>
        <v>0.44733000000000006</v>
      </c>
      <c r="S79" s="410">
        <f t="shared" si="61"/>
        <v>6.0389549999999996</v>
      </c>
      <c r="T79" s="412">
        <v>99</v>
      </c>
      <c r="U79" s="410">
        <f t="shared" si="41"/>
        <v>85.344827586206904</v>
      </c>
      <c r="V79" s="413">
        <f t="shared" si="42"/>
        <v>51.206896551724142</v>
      </c>
      <c r="W79" s="414">
        <f t="shared" si="43"/>
        <v>0.11793245454545453</v>
      </c>
      <c r="X79" s="415">
        <f t="shared" si="44"/>
        <v>0.88206754545454547</v>
      </c>
      <c r="Y79" s="416">
        <f t="shared" si="45"/>
        <v>0.4</v>
      </c>
      <c r="Z79" s="417" t="s">
        <v>1508</v>
      </c>
      <c r="AA79" s="418" t="s">
        <v>1374</v>
      </c>
      <c r="AB79" s="406"/>
      <c r="AC79" s="406"/>
      <c r="AD79" s="419">
        <v>46330</v>
      </c>
      <c r="AE79" s="420"/>
      <c r="AG79" s="421">
        <v>69</v>
      </c>
      <c r="AH79" s="422">
        <f t="shared" si="46"/>
        <v>59.482758620689658</v>
      </c>
      <c r="AI79" s="423">
        <f t="shared" si="47"/>
        <v>0.10152446086956521</v>
      </c>
      <c r="AJ79" s="424">
        <f t="shared" si="48"/>
        <v>0.89847553913043476</v>
      </c>
      <c r="AK79" s="425">
        <f t="shared" si="49"/>
        <v>0</v>
      </c>
      <c r="BA79" s="426">
        <v>1</v>
      </c>
      <c r="BB79" s="426">
        <v>1</v>
      </c>
      <c r="BC79" s="426">
        <v>1</v>
      </c>
      <c r="BD79" s="426">
        <v>1</v>
      </c>
      <c r="BE79" s="426">
        <v>1</v>
      </c>
      <c r="BF79" s="435">
        <v>1</v>
      </c>
      <c r="BG79" s="435">
        <v>1</v>
      </c>
      <c r="BH79" s="435"/>
      <c r="BI79" s="435"/>
      <c r="BJ79" s="426">
        <v>8</v>
      </c>
      <c r="BK79" s="426">
        <f t="shared" si="50"/>
        <v>7</v>
      </c>
      <c r="BL79" s="427">
        <f t="shared" si="51"/>
        <v>0.875</v>
      </c>
      <c r="BR79" s="431" t="s">
        <v>1390</v>
      </c>
      <c r="BS79" s="428">
        <f t="shared" si="14"/>
        <v>46330</v>
      </c>
      <c r="BT79" s="429" t="s">
        <v>170</v>
      </c>
      <c r="CJ79" s="449"/>
      <c r="CK79" s="449"/>
      <c r="CL79" s="449"/>
      <c r="CM79" s="449"/>
      <c r="CN79" s="449"/>
      <c r="CO79" s="449"/>
      <c r="CP79" s="450"/>
      <c r="CQ79" s="450"/>
      <c r="CR79" s="450"/>
      <c r="CS79" s="450"/>
      <c r="CT79" s="450"/>
      <c r="CU79" s="450"/>
      <c r="CV79" s="450"/>
      <c r="CW79" s="450"/>
      <c r="CX79" s="450"/>
      <c r="CY79" s="450"/>
      <c r="CZ79" s="450"/>
      <c r="DA79" s="450"/>
    </row>
    <row r="80" spans="1:105" ht="69" customHeight="1">
      <c r="A80" s="404">
        <v>65</v>
      </c>
      <c r="B80" s="468">
        <v>46266</v>
      </c>
      <c r="C80" s="468">
        <v>46266</v>
      </c>
      <c r="D80" s="406" t="s">
        <v>163</v>
      </c>
      <c r="E80" s="469">
        <v>7502327992400</v>
      </c>
      <c r="F80" s="406" t="s">
        <v>1516</v>
      </c>
      <c r="G80" s="405" t="s">
        <v>1517</v>
      </c>
      <c r="H80" s="406"/>
      <c r="I80" s="406">
        <v>10</v>
      </c>
      <c r="J80" s="406" t="s">
        <v>1367</v>
      </c>
      <c r="K80" s="407" t="s">
        <v>1064</v>
      </c>
      <c r="L80" s="408">
        <v>1</v>
      </c>
      <c r="M80" s="436">
        <v>0.17</v>
      </c>
      <c r="N80" s="410" t="s">
        <v>74</v>
      </c>
      <c r="O80" s="411">
        <v>5000</v>
      </c>
      <c r="P80" s="410">
        <f t="shared" si="59"/>
        <v>1.9499000000000002</v>
      </c>
      <c r="Q80" s="410">
        <f>P80*0.25</f>
        <v>0.48747500000000005</v>
      </c>
      <c r="R80" s="451">
        <f>(P80+Q80)*0.08</f>
        <v>0.19499000000000002</v>
      </c>
      <c r="S80" s="410">
        <f t="shared" si="61"/>
        <v>2.6323650000000001</v>
      </c>
      <c r="T80" s="412">
        <v>49</v>
      </c>
      <c r="U80" s="410">
        <f t="shared" si="41"/>
        <v>42.241379310344833</v>
      </c>
      <c r="V80" s="413">
        <f t="shared" si="42"/>
        <v>25.3448275862069</v>
      </c>
      <c r="W80" s="414">
        <f t="shared" si="43"/>
        <v>0.10386202040816325</v>
      </c>
      <c r="X80" s="415">
        <f t="shared" si="44"/>
        <v>0.89613797959183672</v>
      </c>
      <c r="Y80" s="416">
        <f t="shared" si="45"/>
        <v>0.4</v>
      </c>
      <c r="Z80" s="417" t="s">
        <v>1508</v>
      </c>
      <c r="AA80" s="418" t="s">
        <v>1374</v>
      </c>
      <c r="AB80" s="406"/>
      <c r="AC80" s="406"/>
      <c r="AD80" s="419">
        <v>46330</v>
      </c>
      <c r="AE80" s="420"/>
      <c r="AG80" s="421">
        <v>39</v>
      </c>
      <c r="AH80" s="422">
        <f t="shared" si="46"/>
        <v>33.620689655172413</v>
      </c>
      <c r="AI80" s="423">
        <f t="shared" si="47"/>
        <v>7.8295984615384617E-2</v>
      </c>
      <c r="AJ80" s="424">
        <f t="shared" si="48"/>
        <v>0.92170401538461544</v>
      </c>
      <c r="AK80" s="425">
        <f t="shared" si="49"/>
        <v>0</v>
      </c>
      <c r="BA80" s="426">
        <v>1</v>
      </c>
      <c r="BB80" s="426">
        <v>1</v>
      </c>
      <c r="BC80" s="426">
        <v>1</v>
      </c>
      <c r="BD80" s="426">
        <v>1</v>
      </c>
      <c r="BE80" s="426">
        <v>1</v>
      </c>
      <c r="BF80" s="435">
        <v>1</v>
      </c>
      <c r="BG80" s="435">
        <v>1</v>
      </c>
      <c r="BH80" s="435"/>
      <c r="BI80" s="435"/>
      <c r="BJ80" s="426">
        <v>8</v>
      </c>
      <c r="BK80" s="426">
        <f t="shared" si="50"/>
        <v>7</v>
      </c>
      <c r="BL80" s="427">
        <f t="shared" si="51"/>
        <v>0.875</v>
      </c>
      <c r="BR80" s="431" t="s">
        <v>1390</v>
      </c>
      <c r="BS80" s="428">
        <f t="shared" si="14"/>
        <v>46330</v>
      </c>
      <c r="BT80" s="429" t="s">
        <v>170</v>
      </c>
      <c r="CJ80" s="449"/>
      <c r="CK80" s="449"/>
      <c r="CL80" s="449"/>
      <c r="CM80" s="449"/>
      <c r="CN80" s="449"/>
      <c r="CO80" s="449"/>
      <c r="CP80" s="450"/>
      <c r="CQ80" s="450"/>
      <c r="CR80" s="450"/>
      <c r="CS80" s="450"/>
      <c r="CT80" s="450"/>
      <c r="CU80" s="450"/>
      <c r="CV80" s="450"/>
      <c r="CW80" s="450"/>
      <c r="CX80" s="450"/>
      <c r="CY80" s="450"/>
      <c r="CZ80" s="450"/>
      <c r="DA80" s="450"/>
    </row>
    <row r="81" spans="1:105" ht="69" customHeight="1">
      <c r="A81" s="404">
        <v>66</v>
      </c>
      <c r="B81" s="468">
        <v>46266</v>
      </c>
      <c r="C81" s="468">
        <v>46266</v>
      </c>
      <c r="D81" s="406" t="s">
        <v>163</v>
      </c>
      <c r="E81" s="469">
        <v>7502327992417</v>
      </c>
      <c r="F81" s="406" t="s">
        <v>1518</v>
      </c>
      <c r="G81" s="405" t="s">
        <v>1519</v>
      </c>
      <c r="H81" s="406"/>
      <c r="I81" s="404">
        <v>1</v>
      </c>
      <c r="J81" s="406" t="s">
        <v>1367</v>
      </c>
      <c r="K81" s="407" t="s">
        <v>1064</v>
      </c>
      <c r="L81" s="408">
        <v>1</v>
      </c>
      <c r="M81" s="436">
        <v>0.52</v>
      </c>
      <c r="N81" s="410" t="s">
        <v>74</v>
      </c>
      <c r="O81" s="411">
        <v>10000</v>
      </c>
      <c r="P81" s="410">
        <f t="shared" si="59"/>
        <v>5.9644000000000004</v>
      </c>
      <c r="Q81" s="410">
        <f>P81*0.15</f>
        <v>0.89466000000000001</v>
      </c>
      <c r="R81" s="410">
        <f>(P81+Q81)*16.52%</f>
        <v>1.1331167119999999</v>
      </c>
      <c r="S81" s="410">
        <f t="shared" si="61"/>
        <v>7.992176712</v>
      </c>
      <c r="T81" s="412">
        <v>129</v>
      </c>
      <c r="U81" s="410">
        <f t="shared" ref="U81:U85" si="72">+T81/1.16</f>
        <v>111.20689655172414</v>
      </c>
      <c r="V81" s="413">
        <f t="shared" ref="V81:V85" si="73">+U81*0.6</f>
        <v>66.724137931034477</v>
      </c>
      <c r="W81" s="414">
        <f t="shared" ref="W81:W85" si="74">+S81/V81</f>
        <v>0.11977939258294575</v>
      </c>
      <c r="X81" s="415">
        <f t="shared" si="44"/>
        <v>0.88022060741705421</v>
      </c>
      <c r="Y81" s="416">
        <f t="shared" si="45"/>
        <v>0.4</v>
      </c>
      <c r="Z81" s="417" t="s">
        <v>1508</v>
      </c>
      <c r="AA81" s="418" t="s">
        <v>1374</v>
      </c>
      <c r="AB81" s="406">
        <v>6</v>
      </c>
      <c r="AC81" s="406">
        <v>144</v>
      </c>
      <c r="AD81" s="419">
        <v>46308</v>
      </c>
      <c r="AE81" s="420"/>
      <c r="AG81" s="421">
        <v>89</v>
      </c>
      <c r="AH81" s="422">
        <f t="shared" ref="AH81:AH85" si="75">AG81/1.16</f>
        <v>76.724137931034491</v>
      </c>
      <c r="AI81" s="423">
        <f t="shared" ref="AI81:AI85" si="76">+S81/AH81</f>
        <v>0.10416769647101122</v>
      </c>
      <c r="AJ81" s="424">
        <f t="shared" si="48"/>
        <v>0.89583230352898879</v>
      </c>
      <c r="AK81" s="425">
        <f t="shared" si="49"/>
        <v>0</v>
      </c>
      <c r="BA81" s="426">
        <v>1</v>
      </c>
      <c r="BB81" s="426">
        <v>1</v>
      </c>
      <c r="BC81" s="426">
        <v>1</v>
      </c>
      <c r="BD81" s="426">
        <v>1</v>
      </c>
      <c r="BE81" s="426">
        <v>1</v>
      </c>
      <c r="BF81" s="435">
        <v>1</v>
      </c>
      <c r="BG81" s="435">
        <v>1</v>
      </c>
      <c r="BH81" s="435"/>
      <c r="BI81" s="435"/>
      <c r="BJ81" s="426">
        <v>8</v>
      </c>
      <c r="BK81" s="426">
        <f t="shared" si="50"/>
        <v>7</v>
      </c>
      <c r="BL81" s="427">
        <f t="shared" ref="BL81:BL85" si="77">+BK81/BJ81</f>
        <v>0.875</v>
      </c>
      <c r="BR81" s="431" t="s">
        <v>1390</v>
      </c>
      <c r="BS81" s="428">
        <f t="shared" si="14"/>
        <v>46308</v>
      </c>
      <c r="BT81" s="429" t="s">
        <v>170</v>
      </c>
      <c r="CJ81" s="430">
        <v>46156</v>
      </c>
      <c r="CK81" s="430">
        <v>46156</v>
      </c>
      <c r="CL81" s="430">
        <f t="shared" ref="CL81" si="78">CK81+15</f>
        <v>46171</v>
      </c>
      <c r="CM81" s="430">
        <v>46188</v>
      </c>
      <c r="CN81" s="430">
        <f t="shared" ref="CN81" si="79">CM81+14</f>
        <v>46202</v>
      </c>
      <c r="CO81" s="431"/>
      <c r="CP81" s="430">
        <f t="shared" ref="CP81" si="80">CN81+45</f>
        <v>46247</v>
      </c>
      <c r="CQ81" s="432"/>
      <c r="CR81" s="433">
        <f t="shared" ref="CR81" si="81">CP81-12</f>
        <v>46235</v>
      </c>
      <c r="CS81" s="434"/>
      <c r="CT81" s="433">
        <f t="shared" ref="CT81" si="82">CP81+7</f>
        <v>46254</v>
      </c>
      <c r="CU81" s="434"/>
      <c r="CV81" s="433">
        <f t="shared" ref="CV81" si="83">CT81+7</f>
        <v>46261</v>
      </c>
      <c r="CW81" s="434"/>
      <c r="CX81" s="433">
        <f t="shared" ref="CX81" si="84">CV81+44</f>
        <v>46305</v>
      </c>
      <c r="CY81" s="434"/>
      <c r="CZ81" s="433">
        <f t="shared" ref="CZ81" si="85">CX81+10</f>
        <v>46315</v>
      </c>
      <c r="DA81" s="450"/>
    </row>
    <row r="82" spans="1:105" ht="69" customHeight="1">
      <c r="A82" s="404">
        <v>67</v>
      </c>
      <c r="B82" s="468">
        <v>46266</v>
      </c>
      <c r="C82" s="468">
        <v>46266</v>
      </c>
      <c r="D82" s="406" t="s">
        <v>163</v>
      </c>
      <c r="E82" s="469">
        <v>7502327992424</v>
      </c>
      <c r="F82" s="406" t="s">
        <v>1520</v>
      </c>
      <c r="G82" s="405" t="s">
        <v>1521</v>
      </c>
      <c r="H82" s="406"/>
      <c r="I82" s="404">
        <v>2</v>
      </c>
      <c r="J82" s="406" t="s">
        <v>1367</v>
      </c>
      <c r="K82" s="407" t="s">
        <v>1064</v>
      </c>
      <c r="L82" s="408">
        <v>1</v>
      </c>
      <c r="M82" s="436">
        <v>0.4</v>
      </c>
      <c r="N82" s="410" t="s">
        <v>74</v>
      </c>
      <c r="O82" s="411">
        <v>5000</v>
      </c>
      <c r="P82" s="410">
        <f t="shared" si="59"/>
        <v>4.5880000000000001</v>
      </c>
      <c r="Q82" s="410">
        <f>P82*0.25</f>
        <v>1.147</v>
      </c>
      <c r="R82" s="451">
        <f>(P82+Q82)*0.08</f>
        <v>0.45880000000000004</v>
      </c>
      <c r="S82" s="410">
        <f t="shared" si="61"/>
        <v>6.1938000000000004</v>
      </c>
      <c r="T82" s="412">
        <v>99</v>
      </c>
      <c r="U82" s="410">
        <f t="shared" si="72"/>
        <v>85.344827586206904</v>
      </c>
      <c r="V82" s="413">
        <f t="shared" si="73"/>
        <v>51.206896551724142</v>
      </c>
      <c r="W82" s="414">
        <f t="shared" si="74"/>
        <v>0.12095636363636364</v>
      </c>
      <c r="X82" s="415">
        <f t="shared" si="44"/>
        <v>0.87904363636363636</v>
      </c>
      <c r="Y82" s="416">
        <f t="shared" si="45"/>
        <v>0.4</v>
      </c>
      <c r="Z82" s="417" t="s">
        <v>1508</v>
      </c>
      <c r="AA82" s="418" t="s">
        <v>1374</v>
      </c>
      <c r="AB82" s="406"/>
      <c r="AC82" s="406"/>
      <c r="AD82" s="419">
        <v>46330</v>
      </c>
      <c r="AE82" s="420"/>
      <c r="AG82" s="421">
        <v>69</v>
      </c>
      <c r="AH82" s="422">
        <f t="shared" si="75"/>
        <v>59.482758620689658</v>
      </c>
      <c r="AI82" s="423">
        <f t="shared" si="76"/>
        <v>0.10412765217391305</v>
      </c>
      <c r="AJ82" s="424">
        <f t="shared" si="48"/>
        <v>0.89587234782608693</v>
      </c>
      <c r="AK82" s="425">
        <f t="shared" si="49"/>
        <v>0</v>
      </c>
      <c r="BA82" s="426">
        <v>1</v>
      </c>
      <c r="BB82" s="426">
        <v>1</v>
      </c>
      <c r="BC82" s="426">
        <v>1</v>
      </c>
      <c r="BD82" s="426">
        <v>1</v>
      </c>
      <c r="BE82" s="426">
        <v>1</v>
      </c>
      <c r="BF82" s="435">
        <v>1</v>
      </c>
      <c r="BG82" s="435">
        <v>1</v>
      </c>
      <c r="BH82" s="435"/>
      <c r="BI82" s="435"/>
      <c r="BJ82" s="426">
        <v>8</v>
      </c>
      <c r="BK82" s="426">
        <f t="shared" si="50"/>
        <v>7</v>
      </c>
      <c r="BL82" s="427">
        <f t="shared" si="77"/>
        <v>0.875</v>
      </c>
      <c r="BR82" s="431" t="s">
        <v>1390</v>
      </c>
      <c r="BS82" s="428">
        <f t="shared" ref="BS82:BS85" si="86">AD82</f>
        <v>46330</v>
      </c>
      <c r="BT82" s="429" t="s">
        <v>170</v>
      </c>
      <c r="CJ82" s="449"/>
      <c r="CK82" s="449"/>
      <c r="CL82" s="449"/>
      <c r="CM82" s="449"/>
      <c r="CN82" s="449"/>
      <c r="CO82" s="449"/>
      <c r="CP82" s="450"/>
      <c r="CQ82" s="450"/>
      <c r="CR82" s="450"/>
      <c r="CS82" s="450"/>
      <c r="CT82" s="450"/>
      <c r="CU82" s="450"/>
      <c r="CV82" s="450"/>
      <c r="CW82" s="450"/>
      <c r="CX82" s="450"/>
      <c r="CY82" s="450"/>
      <c r="CZ82" s="450"/>
      <c r="DA82" s="450"/>
    </row>
    <row r="83" spans="1:105" ht="69" customHeight="1">
      <c r="A83" s="404">
        <v>68</v>
      </c>
      <c r="B83" s="468">
        <v>46266</v>
      </c>
      <c r="C83" s="468">
        <v>46266</v>
      </c>
      <c r="D83" s="406" t="s">
        <v>163</v>
      </c>
      <c r="E83" s="469">
        <v>7502327992448</v>
      </c>
      <c r="F83" s="406" t="s">
        <v>1522</v>
      </c>
      <c r="G83" s="405" t="s">
        <v>1523</v>
      </c>
      <c r="H83" s="406"/>
      <c r="I83" s="404">
        <v>1</v>
      </c>
      <c r="J83" s="406" t="s">
        <v>1367</v>
      </c>
      <c r="K83" s="407" t="s">
        <v>1064</v>
      </c>
      <c r="L83" s="408">
        <v>1</v>
      </c>
      <c r="M83" s="436">
        <v>0.97</v>
      </c>
      <c r="N83" s="410" t="s">
        <v>74</v>
      </c>
      <c r="O83" s="411">
        <v>10000</v>
      </c>
      <c r="P83" s="410">
        <f t="shared" si="59"/>
        <v>11.1259</v>
      </c>
      <c r="Q83" s="410">
        <f>+P83*0.15</f>
        <v>1.668885</v>
      </c>
      <c r="R83" s="410">
        <f>(P83+Q83)*38.76%</f>
        <v>4.9592586659999993</v>
      </c>
      <c r="S83" s="410">
        <f t="shared" si="61"/>
        <v>17.754043666000001</v>
      </c>
      <c r="T83" s="412">
        <v>179</v>
      </c>
      <c r="U83" s="410">
        <f t="shared" si="72"/>
        <v>154.31034482758622</v>
      </c>
      <c r="V83" s="413">
        <f t="shared" si="73"/>
        <v>92.58620689655173</v>
      </c>
      <c r="W83" s="414">
        <f t="shared" si="74"/>
        <v>0.19175689620633146</v>
      </c>
      <c r="X83" s="415">
        <f t="shared" si="44"/>
        <v>0.80824310379366859</v>
      </c>
      <c r="Y83" s="416">
        <f t="shared" si="45"/>
        <v>0.4</v>
      </c>
      <c r="Z83" s="417" t="s">
        <v>1508</v>
      </c>
      <c r="AA83" s="418" t="s">
        <v>1374</v>
      </c>
      <c r="AB83" s="406">
        <v>6</v>
      </c>
      <c r="AC83" s="406">
        <v>48</v>
      </c>
      <c r="AD83" s="419">
        <v>46330</v>
      </c>
      <c r="AE83" s="420"/>
      <c r="AG83" s="421">
        <v>119</v>
      </c>
      <c r="AH83" s="422">
        <f t="shared" si="75"/>
        <v>102.58620689655173</v>
      </c>
      <c r="AI83" s="423">
        <f t="shared" si="76"/>
        <v>0.17306462733243697</v>
      </c>
      <c r="AJ83" s="424">
        <f t="shared" si="48"/>
        <v>0.82693537266756301</v>
      </c>
      <c r="AK83" s="425">
        <f t="shared" si="49"/>
        <v>0</v>
      </c>
      <c r="BA83" s="426">
        <v>1</v>
      </c>
      <c r="BB83" s="426">
        <v>1</v>
      </c>
      <c r="BC83" s="426">
        <v>1</v>
      </c>
      <c r="BD83" s="426">
        <v>1</v>
      </c>
      <c r="BE83" s="426">
        <v>1</v>
      </c>
      <c r="BF83" s="435">
        <v>1</v>
      </c>
      <c r="BG83" s="435">
        <v>1</v>
      </c>
      <c r="BH83" s="435"/>
      <c r="BI83" s="435"/>
      <c r="BJ83" s="426">
        <v>8</v>
      </c>
      <c r="BK83" s="426">
        <f t="shared" si="50"/>
        <v>7</v>
      </c>
      <c r="BL83" s="427">
        <f t="shared" si="77"/>
        <v>0.875</v>
      </c>
      <c r="BR83" s="431" t="s">
        <v>1390</v>
      </c>
      <c r="BS83" s="428">
        <f t="shared" si="86"/>
        <v>46330</v>
      </c>
      <c r="BT83" s="429" t="s">
        <v>170</v>
      </c>
      <c r="CJ83" s="449"/>
      <c r="CK83" s="449"/>
      <c r="CL83" s="449"/>
      <c r="CM83" s="449"/>
      <c r="CN83" s="449"/>
      <c r="CO83" s="449"/>
      <c r="CP83" s="450"/>
      <c r="CQ83" s="450"/>
      <c r="CR83" s="450"/>
      <c r="CS83" s="450"/>
      <c r="CT83" s="450"/>
      <c r="CU83" s="450"/>
      <c r="CV83" s="450"/>
      <c r="CW83" s="450"/>
      <c r="CX83" s="450"/>
      <c r="CY83" s="450"/>
      <c r="CZ83" s="450"/>
      <c r="DA83" s="450"/>
    </row>
    <row r="84" spans="1:105" ht="69" customHeight="1">
      <c r="A84" s="404">
        <v>69</v>
      </c>
      <c r="B84" s="468">
        <v>46266</v>
      </c>
      <c r="C84" s="468">
        <v>46266</v>
      </c>
      <c r="D84" s="406" t="s">
        <v>163</v>
      </c>
      <c r="E84" s="469">
        <v>7502327992462</v>
      </c>
      <c r="F84" s="406" t="s">
        <v>1524</v>
      </c>
      <c r="G84" s="405" t="s">
        <v>1525</v>
      </c>
      <c r="H84" s="406"/>
      <c r="I84" s="404">
        <v>1</v>
      </c>
      <c r="J84" s="406" t="s">
        <v>1367</v>
      </c>
      <c r="K84" s="407" t="s">
        <v>1064</v>
      </c>
      <c r="L84" s="408">
        <v>1</v>
      </c>
      <c r="M84" s="436">
        <v>3.75</v>
      </c>
      <c r="N84" s="410" t="s">
        <v>74</v>
      </c>
      <c r="O84" s="411">
        <v>5000</v>
      </c>
      <c r="P84" s="410">
        <f t="shared" si="59"/>
        <v>43.012500000000003</v>
      </c>
      <c r="Q84" s="410">
        <f>+P84*0.15</f>
        <v>6.4518750000000002</v>
      </c>
      <c r="R84" s="451">
        <f>(P84+Q84)*0.08</f>
        <v>3.9571500000000004</v>
      </c>
      <c r="S84" s="410">
        <f t="shared" si="61"/>
        <v>53.421525000000003</v>
      </c>
      <c r="T84" s="412">
        <v>599</v>
      </c>
      <c r="U84" s="410">
        <f t="shared" si="72"/>
        <v>516.37931034482767</v>
      </c>
      <c r="V84" s="413">
        <f t="shared" si="73"/>
        <v>309.82758620689657</v>
      </c>
      <c r="W84" s="414">
        <f t="shared" si="74"/>
        <v>0.17242339732888146</v>
      </c>
      <c r="X84" s="415">
        <f t="shared" si="44"/>
        <v>0.82757660267111854</v>
      </c>
      <c r="Y84" s="416">
        <f t="shared" si="45"/>
        <v>0.4</v>
      </c>
      <c r="Z84" s="417" t="s">
        <v>1508</v>
      </c>
      <c r="AA84" s="418" t="s">
        <v>1374</v>
      </c>
      <c r="AB84" s="406"/>
      <c r="AC84" s="406"/>
      <c r="AD84" s="419">
        <v>46310</v>
      </c>
      <c r="AE84" s="420"/>
      <c r="AG84" s="421">
        <v>419</v>
      </c>
      <c r="AH84" s="422">
        <f t="shared" si="75"/>
        <v>361.20689655172418</v>
      </c>
      <c r="AI84" s="423">
        <f t="shared" si="76"/>
        <v>0.14789730071599044</v>
      </c>
      <c r="AJ84" s="424">
        <f t="shared" si="48"/>
        <v>0.8521026992840095</v>
      </c>
      <c r="AK84" s="425">
        <f t="shared" si="49"/>
        <v>0</v>
      </c>
      <c r="BA84" s="426">
        <v>1</v>
      </c>
      <c r="BB84" s="426">
        <v>1</v>
      </c>
      <c r="BC84" s="426">
        <v>1</v>
      </c>
      <c r="BD84" s="426">
        <v>1</v>
      </c>
      <c r="BE84" s="426">
        <v>1</v>
      </c>
      <c r="BF84" s="435">
        <v>1</v>
      </c>
      <c r="BG84" s="435">
        <v>1</v>
      </c>
      <c r="BH84" s="435"/>
      <c r="BI84" s="435"/>
      <c r="BJ84" s="426">
        <v>8</v>
      </c>
      <c r="BK84" s="426">
        <f t="shared" si="50"/>
        <v>7</v>
      </c>
      <c r="BL84" s="427">
        <f t="shared" si="77"/>
        <v>0.875</v>
      </c>
      <c r="BR84" s="431" t="s">
        <v>1526</v>
      </c>
      <c r="BS84" s="428">
        <f t="shared" si="86"/>
        <v>46310</v>
      </c>
      <c r="BT84" s="429" t="s">
        <v>1527</v>
      </c>
      <c r="CJ84" s="430">
        <v>46168</v>
      </c>
      <c r="CK84" s="430">
        <v>46168</v>
      </c>
      <c r="CL84" s="452">
        <f>CK84+15</f>
        <v>46183</v>
      </c>
      <c r="CM84" s="449"/>
      <c r="CN84" s="452">
        <f>CL84+14</f>
        <v>46197</v>
      </c>
      <c r="CO84" s="449"/>
      <c r="CP84" s="453">
        <f>CN84+45</f>
        <v>46242</v>
      </c>
      <c r="CQ84" s="450"/>
      <c r="CR84" s="453">
        <f>CP84-12</f>
        <v>46230</v>
      </c>
      <c r="CS84" s="450"/>
      <c r="CT84" s="453">
        <f>CP84+7</f>
        <v>46249</v>
      </c>
      <c r="CU84" s="450"/>
      <c r="CV84" s="453">
        <f>CT84+7</f>
        <v>46256</v>
      </c>
      <c r="CW84" s="450"/>
      <c r="CX84" s="453">
        <f>CV84+44</f>
        <v>46300</v>
      </c>
      <c r="CY84" s="450"/>
      <c r="CZ84" s="450"/>
      <c r="DA84" s="450"/>
    </row>
    <row r="85" spans="1:105" ht="69" customHeight="1">
      <c r="A85" s="404">
        <v>70</v>
      </c>
      <c r="B85" s="468">
        <v>46266</v>
      </c>
      <c r="C85" s="468">
        <v>46266</v>
      </c>
      <c r="D85" s="406" t="s">
        <v>163</v>
      </c>
      <c r="E85" s="469">
        <v>7502327992479</v>
      </c>
      <c r="F85" s="406" t="s">
        <v>1528</v>
      </c>
      <c r="G85" s="405" t="s">
        <v>1529</v>
      </c>
      <c r="H85" s="406"/>
      <c r="I85" s="404">
        <v>1</v>
      </c>
      <c r="J85" s="406" t="s">
        <v>1367</v>
      </c>
      <c r="K85" s="407" t="s">
        <v>1064</v>
      </c>
      <c r="L85" s="408">
        <v>1</v>
      </c>
      <c r="M85" s="436">
        <v>4.2</v>
      </c>
      <c r="N85" s="410" t="s">
        <v>74</v>
      </c>
      <c r="O85" s="411">
        <v>5000</v>
      </c>
      <c r="P85" s="410">
        <f t="shared" si="59"/>
        <v>48.174000000000007</v>
      </c>
      <c r="Q85" s="410">
        <f>+P85*0.15</f>
        <v>7.2261000000000006</v>
      </c>
      <c r="R85" s="451">
        <f>(P85+Q85)*0.08</f>
        <v>4.4320080000000006</v>
      </c>
      <c r="S85" s="410">
        <f t="shared" si="61"/>
        <v>59.832108000000005</v>
      </c>
      <c r="T85" s="412">
        <v>599</v>
      </c>
      <c r="U85" s="410">
        <f t="shared" si="72"/>
        <v>516.37931034482767</v>
      </c>
      <c r="V85" s="413">
        <f t="shared" si="73"/>
        <v>309.82758620689657</v>
      </c>
      <c r="W85" s="414">
        <f t="shared" si="74"/>
        <v>0.19311420500834725</v>
      </c>
      <c r="X85" s="415">
        <f t="shared" si="44"/>
        <v>0.8068857949916528</v>
      </c>
      <c r="Y85" s="416">
        <f t="shared" si="45"/>
        <v>0.4</v>
      </c>
      <c r="Z85" s="417" t="s">
        <v>1508</v>
      </c>
      <c r="AA85" s="418" t="s">
        <v>1374</v>
      </c>
      <c r="AB85" s="406"/>
      <c r="AC85" s="406"/>
      <c r="AD85" s="419">
        <v>46310</v>
      </c>
      <c r="AE85" s="420"/>
      <c r="AG85" s="421">
        <v>419</v>
      </c>
      <c r="AH85" s="422">
        <f t="shared" si="75"/>
        <v>361.20689655172418</v>
      </c>
      <c r="AI85" s="423">
        <f t="shared" si="76"/>
        <v>0.16564497680190929</v>
      </c>
      <c r="AJ85" s="424">
        <f t="shared" si="48"/>
        <v>0.83435502319809074</v>
      </c>
      <c r="AK85" s="425">
        <f t="shared" si="49"/>
        <v>0</v>
      </c>
      <c r="BA85" s="426">
        <v>1</v>
      </c>
      <c r="BB85" s="426">
        <v>1</v>
      </c>
      <c r="BC85" s="426">
        <v>1</v>
      </c>
      <c r="BD85" s="426">
        <v>1</v>
      </c>
      <c r="BE85" s="426">
        <v>1</v>
      </c>
      <c r="BF85" s="435">
        <v>1</v>
      </c>
      <c r="BG85" s="435">
        <v>1</v>
      </c>
      <c r="BH85" s="435"/>
      <c r="BI85" s="435"/>
      <c r="BJ85" s="426">
        <v>8</v>
      </c>
      <c r="BK85" s="426">
        <f t="shared" si="50"/>
        <v>7</v>
      </c>
      <c r="BL85" s="427">
        <f t="shared" si="77"/>
        <v>0.875</v>
      </c>
      <c r="BR85" s="431" t="s">
        <v>1526</v>
      </c>
      <c r="BS85" s="428">
        <f t="shared" si="86"/>
        <v>46310</v>
      </c>
      <c r="BT85" s="429" t="s">
        <v>1527</v>
      </c>
      <c r="CJ85" s="449"/>
      <c r="CK85" s="449"/>
      <c r="CL85" s="449"/>
      <c r="CM85" s="449"/>
      <c r="CN85" s="449"/>
      <c r="CO85" s="449"/>
      <c r="CP85" s="450"/>
      <c r="CQ85" s="450"/>
      <c r="CR85" s="450"/>
      <c r="CS85" s="450"/>
      <c r="CT85" s="450"/>
      <c r="CU85" s="450"/>
      <c r="CV85" s="450"/>
      <c r="CW85" s="450"/>
      <c r="CX85" s="450"/>
      <c r="CY85" s="450"/>
      <c r="CZ85" s="450"/>
      <c r="DA85" s="450"/>
    </row>
    <row r="86" spans="1:105">
      <c r="BL86" s="454">
        <f>AVERAGE(BL17:BL85)</f>
        <v>0.82332516339869288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F18" activePane="bottomRight" state="frozen"/>
      <selection pane="topRight" activeCell="F2" sqref="F2"/>
      <selection pane="bottomLeft" activeCell="A18" sqref="A18"/>
      <selection pane="bottomRight" activeCell="F18" sqref="F18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62" customWidth="1"/>
    <col min="94" max="105" width="35.453125" style="153" customWidth="1"/>
  </cols>
  <sheetData>
    <row r="1" spans="1:105" s="124" customFormat="1" ht="28">
      <c r="A1" s="8"/>
      <c r="B1" s="9" t="s">
        <v>13</v>
      </c>
      <c r="C1" s="125" t="s">
        <v>276</v>
      </c>
      <c r="D1" s="121"/>
      <c r="E1" s="121"/>
      <c r="F1" s="121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</row>
    <row r="2" spans="1:105" s="124" customFormat="1" ht="28.5">
      <c r="A2" s="530" t="s">
        <v>1530</v>
      </c>
      <c r="B2" s="530"/>
      <c r="C2" s="187"/>
      <c r="D2" s="121"/>
      <c r="E2" s="121"/>
      <c r="F2" s="121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21"/>
      <c r="BL2" s="121"/>
      <c r="CJ2" s="121"/>
      <c r="CK2" s="121"/>
      <c r="CL2" s="121"/>
      <c r="CM2" s="121"/>
      <c r="CN2" s="121"/>
      <c r="CO2" s="121"/>
      <c r="CP2" s="121"/>
      <c r="CQ2" s="121"/>
      <c r="CR2" s="121"/>
      <c r="CS2" s="121"/>
      <c r="CT2" s="121"/>
      <c r="CU2" s="121"/>
      <c r="CV2" s="121"/>
      <c r="CW2" s="121"/>
      <c r="CX2" s="121"/>
      <c r="CY2" s="121"/>
      <c r="CZ2" s="121"/>
      <c r="DA2" s="121"/>
    </row>
    <row r="3" spans="1:105" s="124" customFormat="1" ht="28.5">
      <c r="A3" s="188" t="s">
        <v>282</v>
      </c>
      <c r="B3" s="194"/>
      <c r="C3" s="190"/>
      <c r="D3" s="121"/>
      <c r="E3" s="121"/>
      <c r="F3" s="121"/>
      <c r="BA3" s="121"/>
      <c r="BB3" s="121"/>
      <c r="BC3" s="121"/>
      <c r="BD3" s="121"/>
      <c r="BE3" s="121"/>
      <c r="BF3" s="121"/>
      <c r="BG3" s="121"/>
      <c r="BH3" s="121"/>
      <c r="BI3" s="121"/>
      <c r="BJ3" s="121"/>
      <c r="BK3" s="121"/>
      <c r="BL3" s="121"/>
      <c r="CJ3" s="121"/>
      <c r="CK3" s="121"/>
      <c r="CL3" s="121"/>
      <c r="CM3" s="121"/>
      <c r="CN3" s="121"/>
      <c r="CO3" s="121"/>
      <c r="CP3" s="121"/>
      <c r="CQ3" s="121"/>
      <c r="CR3" s="121"/>
      <c r="CS3" s="121"/>
      <c r="CT3" s="121"/>
      <c r="CU3" s="121"/>
      <c r="CV3" s="121"/>
      <c r="CW3" s="121"/>
      <c r="CX3" s="121"/>
      <c r="CY3" s="121"/>
      <c r="CZ3" s="121"/>
      <c r="DA3" s="121"/>
    </row>
    <row r="4" spans="1:105" s="124" customFormat="1" ht="28.5">
      <c r="A4" s="195" t="s">
        <v>1048</v>
      </c>
      <c r="B4" s="196"/>
      <c r="C4" s="197"/>
      <c r="D4" s="121"/>
      <c r="E4" s="121"/>
      <c r="F4" s="121"/>
      <c r="BA4" s="121"/>
      <c r="BB4" s="121"/>
      <c r="BC4" s="121"/>
      <c r="BD4" s="121"/>
      <c r="BE4" s="121"/>
      <c r="BF4" s="121"/>
      <c r="BG4" s="121"/>
      <c r="BH4" s="121"/>
      <c r="BI4" s="121"/>
      <c r="BJ4" s="121"/>
      <c r="BK4" s="121"/>
      <c r="BL4" s="121"/>
      <c r="CJ4" s="121"/>
      <c r="CK4" s="121"/>
      <c r="CL4" s="121"/>
      <c r="CM4" s="121"/>
      <c r="CN4" s="121"/>
      <c r="CO4" s="121"/>
      <c r="CP4" s="121"/>
      <c r="CQ4" s="121"/>
      <c r="CR4" s="121"/>
      <c r="CS4" s="121"/>
      <c r="CT4" s="121"/>
      <c r="CU4" s="121"/>
      <c r="CV4" s="121"/>
      <c r="CW4" s="121"/>
      <c r="CX4" s="121"/>
      <c r="CY4" s="121"/>
      <c r="CZ4" s="121"/>
      <c r="DA4" s="121"/>
    </row>
    <row r="5" spans="1:105" s="124" customFormat="1" ht="28.5">
      <c r="A5" s="188" t="s">
        <v>284</v>
      </c>
      <c r="B5" s="189"/>
      <c r="C5" s="190"/>
      <c r="D5" s="121"/>
      <c r="E5" s="121"/>
      <c r="F5" s="121"/>
      <c r="BA5" s="121"/>
      <c r="BB5" s="121"/>
      <c r="BC5" s="121"/>
      <c r="BD5" s="121"/>
      <c r="BE5" s="121"/>
      <c r="BF5" s="121"/>
      <c r="BG5" s="121"/>
      <c r="BH5" s="121"/>
      <c r="BI5" s="121"/>
      <c r="BJ5" s="121"/>
      <c r="BK5" s="121"/>
      <c r="BL5" s="121"/>
      <c r="CJ5" s="121"/>
      <c r="CK5" s="121"/>
      <c r="CL5" s="121"/>
      <c r="CM5" s="121"/>
      <c r="CN5" s="121"/>
      <c r="CO5" s="121"/>
      <c r="CP5" s="121"/>
      <c r="CQ5" s="121"/>
      <c r="CR5" s="121"/>
      <c r="CS5" s="121"/>
      <c r="CT5" s="121"/>
      <c r="CU5" s="121"/>
      <c r="CV5" s="121"/>
      <c r="CW5" s="121"/>
      <c r="CX5" s="121"/>
      <c r="CY5" s="121"/>
      <c r="CZ5" s="121"/>
      <c r="DA5" s="121"/>
    </row>
    <row r="6" spans="1:105" s="124" customFormat="1" ht="28.5">
      <c r="A6" s="188" t="s">
        <v>283</v>
      </c>
      <c r="B6" s="189"/>
      <c r="C6" s="190"/>
      <c r="D6" s="121"/>
      <c r="E6" s="121"/>
      <c r="F6" s="121"/>
      <c r="BA6" s="121"/>
      <c r="BB6" s="121"/>
      <c r="BC6" s="121"/>
      <c r="BD6" s="121"/>
      <c r="BE6" s="121"/>
      <c r="BF6" s="121"/>
      <c r="BG6" s="121"/>
      <c r="BH6" s="121"/>
      <c r="BI6" s="121"/>
      <c r="BJ6" s="121"/>
      <c r="BK6" s="121"/>
      <c r="BL6" s="121"/>
      <c r="CJ6" s="121"/>
      <c r="CK6" s="121"/>
      <c r="CL6" s="121"/>
      <c r="CM6" s="121"/>
      <c r="CN6" s="121"/>
      <c r="CO6" s="121"/>
      <c r="CP6" s="121"/>
      <c r="CQ6" s="121"/>
      <c r="CR6" s="121"/>
      <c r="CS6" s="121"/>
      <c r="CT6" s="121"/>
      <c r="CU6" s="121"/>
      <c r="CV6" s="121"/>
      <c r="CW6" s="121"/>
      <c r="CX6" s="121"/>
      <c r="CY6" s="121"/>
      <c r="CZ6" s="121"/>
      <c r="DA6" s="121"/>
    </row>
    <row r="7" spans="1:105" s="124" customFormat="1" ht="28.5">
      <c r="A7" s="188" t="s">
        <v>285</v>
      </c>
      <c r="B7" s="189"/>
      <c r="C7" s="190"/>
      <c r="D7" s="121"/>
      <c r="E7" s="121"/>
      <c r="F7" s="121"/>
      <c r="BA7" s="121"/>
      <c r="BB7" s="121"/>
      <c r="BC7" s="121"/>
      <c r="BD7" s="121"/>
      <c r="BE7" s="121"/>
      <c r="BF7" s="121"/>
      <c r="BG7" s="121"/>
      <c r="BH7" s="121"/>
      <c r="BI7" s="121"/>
      <c r="BJ7" s="121"/>
      <c r="BK7" s="121"/>
      <c r="BL7" s="121"/>
      <c r="CJ7" s="121"/>
      <c r="CK7" s="121"/>
      <c r="CL7" s="121"/>
      <c r="CM7" s="121"/>
      <c r="CN7" s="121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</row>
    <row r="8" spans="1:105" s="124" customFormat="1" ht="28.5">
      <c r="A8" s="191" t="s">
        <v>286</v>
      </c>
      <c r="B8" s="192"/>
      <c r="C8" s="198"/>
      <c r="D8" s="121"/>
      <c r="E8" s="121"/>
      <c r="F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</row>
    <row r="9" spans="1:105" s="146" customFormat="1" ht="28">
      <c r="A9" s="121"/>
      <c r="B9" s="121"/>
      <c r="C9" s="121"/>
      <c r="D9" s="121"/>
      <c r="E9" s="121"/>
      <c r="F9" s="121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1"/>
      <c r="CY9" s="121"/>
      <c r="CZ9" s="121"/>
      <c r="DA9" s="121"/>
    </row>
    <row r="10" spans="1:105" s="146" customFormat="1" ht="28">
      <c r="A10" s="121"/>
      <c r="B10" s="121"/>
      <c r="C10" s="121"/>
      <c r="D10" s="121"/>
      <c r="E10" s="121"/>
      <c r="F10" s="121"/>
      <c r="BA10" s="121"/>
      <c r="BB10" s="121"/>
      <c r="BC10" s="121"/>
      <c r="BD10" s="121"/>
      <c r="BE10" s="121"/>
      <c r="BF10" s="121"/>
      <c r="BG10" s="121"/>
      <c r="BH10" s="121"/>
      <c r="BI10" s="121"/>
      <c r="BJ10" s="121"/>
      <c r="BK10" s="121"/>
      <c r="BL10" s="121"/>
      <c r="CJ10" s="121"/>
      <c r="CK10" s="121"/>
      <c r="CL10" s="121"/>
      <c r="CM10" s="121"/>
      <c r="CN10" s="121"/>
      <c r="CO10" s="121"/>
      <c r="CP10" s="121"/>
      <c r="CQ10" s="121"/>
      <c r="CR10" s="121"/>
      <c r="CS10" s="121"/>
      <c r="CT10" s="121"/>
      <c r="CU10" s="121"/>
      <c r="CV10" s="121"/>
      <c r="CW10" s="121"/>
      <c r="CX10" s="121"/>
      <c r="CY10" s="121"/>
      <c r="CZ10" s="121"/>
      <c r="DA10" s="121"/>
    </row>
    <row r="11" spans="1:105" s="146" customFormat="1" ht="28">
      <c r="A11" s="121"/>
      <c r="B11" s="121"/>
      <c r="C11" s="121"/>
      <c r="D11" s="121"/>
      <c r="E11" s="121"/>
      <c r="F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1"/>
      <c r="CY11" s="121"/>
      <c r="CZ11" s="121"/>
      <c r="DA11" s="121"/>
    </row>
    <row r="12" spans="1:105" s="146" customFormat="1" ht="28">
      <c r="A12" s="121"/>
      <c r="B12" s="121"/>
      <c r="C12" s="121"/>
      <c r="D12" s="121"/>
      <c r="E12" s="121"/>
      <c r="F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</row>
    <row r="13" spans="1:105" s="146" customFormat="1" ht="28">
      <c r="A13" s="121"/>
      <c r="B13" s="121"/>
      <c r="C13" s="121"/>
      <c r="D13" s="121"/>
      <c r="E13" s="121"/>
      <c r="F13" s="121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  <c r="CJ13" s="124"/>
      <c r="CK13" s="124"/>
      <c r="CL13" s="124"/>
      <c r="CM13" s="124"/>
      <c r="CN13" s="124"/>
      <c r="CO13" s="124"/>
      <c r="CP13" s="124"/>
      <c r="CQ13" s="124"/>
      <c r="CR13" s="124"/>
      <c r="CS13" s="124"/>
      <c r="CT13" s="124"/>
      <c r="CU13" s="124"/>
      <c r="CV13" s="124"/>
      <c r="CW13" s="124"/>
      <c r="CX13" s="124"/>
      <c r="CY13" s="124"/>
      <c r="CZ13" s="124"/>
      <c r="DA13" s="124"/>
    </row>
    <row r="14" spans="1:105" s="146" customFormat="1" ht="35.15" customHeight="1">
      <c r="A14" s="121"/>
      <c r="B14" s="121"/>
      <c r="C14" s="121"/>
      <c r="D14" s="121"/>
      <c r="E14" s="121"/>
      <c r="F14" s="121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CJ14" s="523" t="s">
        <v>0</v>
      </c>
      <c r="CK14" s="524"/>
      <c r="CL14" s="524"/>
      <c r="CM14" s="524"/>
      <c r="CN14" s="524"/>
      <c r="CO14" s="524"/>
      <c r="CP14" s="524"/>
      <c r="CQ14" s="524"/>
      <c r="CR14" s="524"/>
      <c r="CS14" s="524"/>
      <c r="CT14" s="524"/>
      <c r="CU14" s="524"/>
      <c r="CV14" s="524"/>
      <c r="CW14" s="524"/>
      <c r="CX14" s="524"/>
      <c r="CY14" s="524"/>
      <c r="CZ14" s="524"/>
      <c r="DA14" s="524"/>
    </row>
    <row r="15" spans="1:105" s="146" customFormat="1" ht="56">
      <c r="A15" s="121"/>
      <c r="B15" s="121"/>
      <c r="C15" s="121"/>
      <c r="D15" s="121"/>
      <c r="E15" s="121"/>
      <c r="F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CJ15" s="206" t="s">
        <v>1</v>
      </c>
      <c r="CK15" s="206"/>
      <c r="CL15" s="206" t="s">
        <v>2</v>
      </c>
      <c r="CM15" s="206"/>
      <c r="CN15" s="206" t="s">
        <v>3</v>
      </c>
      <c r="CO15" s="206"/>
      <c r="CP15" s="206" t="s">
        <v>4</v>
      </c>
      <c r="CQ15" s="206"/>
      <c r="CR15" s="206" t="s">
        <v>5</v>
      </c>
      <c r="CS15" s="206"/>
      <c r="CT15" s="206" t="s">
        <v>6</v>
      </c>
      <c r="CU15" s="206"/>
      <c r="CV15" s="206" t="s">
        <v>7</v>
      </c>
      <c r="CW15" s="206"/>
      <c r="CX15" s="206" t="s">
        <v>8</v>
      </c>
      <c r="CY15" s="206"/>
      <c r="CZ15" s="206" t="s">
        <v>9</v>
      </c>
      <c r="DA15" s="206"/>
    </row>
    <row r="16" spans="1:105" s="146" customFormat="1" ht="56">
      <c r="A16" s="118" t="s">
        <v>10</v>
      </c>
      <c r="B16" s="118" t="s">
        <v>1531</v>
      </c>
      <c r="C16" s="118" t="s">
        <v>1532</v>
      </c>
      <c r="D16" s="118" t="s">
        <v>1533</v>
      </c>
      <c r="E16" s="118" t="s">
        <v>1534</v>
      </c>
      <c r="F16" s="118" t="s">
        <v>1535</v>
      </c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18" t="s">
        <v>39</v>
      </c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18" t="s">
        <v>40</v>
      </c>
      <c r="BB16" s="118" t="s">
        <v>41</v>
      </c>
      <c r="BC16" s="118" t="s">
        <v>42</v>
      </c>
      <c r="BD16" s="118" t="s">
        <v>43</v>
      </c>
      <c r="BE16" s="118" t="s">
        <v>44</v>
      </c>
      <c r="BF16" s="118" t="s">
        <v>45</v>
      </c>
      <c r="BG16" s="118" t="s">
        <v>46</v>
      </c>
      <c r="BH16" s="1" t="s">
        <v>47</v>
      </c>
      <c r="BI16" s="118" t="s">
        <v>48</v>
      </c>
      <c r="BJ16" s="118" t="s">
        <v>49</v>
      </c>
      <c r="BK16" s="118" t="s">
        <v>13</v>
      </c>
      <c r="BL16" s="118" t="s">
        <v>50</v>
      </c>
      <c r="BM16" s="145"/>
      <c r="BN16" s="145"/>
      <c r="BO16" s="145"/>
      <c r="BP16" s="145"/>
      <c r="BQ16" s="193" t="s">
        <v>38</v>
      </c>
      <c r="BR16" s="193" t="s">
        <v>39</v>
      </c>
      <c r="BS16" s="193" t="s">
        <v>53</v>
      </c>
      <c r="CJ16" s="207" t="s">
        <v>54</v>
      </c>
      <c r="CK16" s="207" t="s">
        <v>55</v>
      </c>
      <c r="CL16" s="207" t="s">
        <v>54</v>
      </c>
      <c r="CM16" s="207" t="s">
        <v>55</v>
      </c>
      <c r="CN16" s="207" t="s">
        <v>54</v>
      </c>
      <c r="CO16" s="207" t="s">
        <v>55</v>
      </c>
      <c r="CP16" s="207" t="s">
        <v>54</v>
      </c>
      <c r="CQ16" s="207" t="s">
        <v>55</v>
      </c>
      <c r="CR16" s="207" t="s">
        <v>54</v>
      </c>
      <c r="CS16" s="207" t="s">
        <v>55</v>
      </c>
      <c r="CT16" s="207" t="s">
        <v>54</v>
      </c>
      <c r="CU16" s="207" t="s">
        <v>55</v>
      </c>
      <c r="CV16" s="207" t="s">
        <v>54</v>
      </c>
      <c r="CW16" s="207" t="s">
        <v>55</v>
      </c>
      <c r="CX16" s="207" t="s">
        <v>54</v>
      </c>
      <c r="CY16" s="207" t="s">
        <v>55</v>
      </c>
      <c r="CZ16" s="207" t="s">
        <v>54</v>
      </c>
      <c r="DA16" s="207" t="s">
        <v>55</v>
      </c>
    </row>
    <row r="17" spans="1:105" s="145" customFormat="1" ht="162.5">
      <c r="A17" s="3">
        <v>2</v>
      </c>
      <c r="B17" s="3" t="s">
        <v>1536</v>
      </c>
      <c r="C17" s="3">
        <v>7502327990741</v>
      </c>
      <c r="D17" s="3" t="s">
        <v>1537</v>
      </c>
      <c r="E17" s="3" t="s">
        <v>1538</v>
      </c>
      <c r="F17" s="3" t="s">
        <v>1539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28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4</v>
      </c>
      <c r="BL17" s="4">
        <f t="shared" ref="BL17:BL55" si="1">+BK17/BJ17</f>
        <v>0.5</v>
      </c>
      <c r="BM17"/>
      <c r="BN17"/>
      <c r="BO17"/>
      <c r="BP17"/>
      <c r="BQ17" s="52" t="s">
        <v>1540</v>
      </c>
      <c r="BR17" s="117">
        <f>AD17</f>
        <v>46381</v>
      </c>
      <c r="BS17" s="52" t="s">
        <v>70</v>
      </c>
      <c r="CJ17" s="208">
        <v>45809</v>
      </c>
      <c r="CK17" s="208">
        <v>45809</v>
      </c>
      <c r="CL17" s="161"/>
      <c r="CM17" s="161"/>
      <c r="CN17" s="161"/>
      <c r="CO17" s="161"/>
      <c r="CP17" s="155"/>
      <c r="CQ17" s="155"/>
      <c r="CR17" s="154"/>
      <c r="CS17" s="154"/>
      <c r="CT17" s="154"/>
      <c r="CU17" s="154"/>
      <c r="CV17" s="154"/>
      <c r="CW17" s="154"/>
      <c r="CX17" s="154"/>
      <c r="CY17" s="154"/>
      <c r="CZ17" s="154"/>
      <c r="DA17" s="154"/>
    </row>
    <row r="18" spans="1:105" ht="65">
      <c r="A18" s="3">
        <v>3</v>
      </c>
      <c r="B18" s="3" t="s">
        <v>1536</v>
      </c>
      <c r="C18" s="3" t="s">
        <v>57</v>
      </c>
      <c r="D18" s="3" t="s">
        <v>1541</v>
      </c>
      <c r="E18" s="3" t="s">
        <v>1542</v>
      </c>
      <c r="F18" s="3" t="s">
        <v>1543</v>
      </c>
      <c r="AD18" s="228">
        <v>46381</v>
      </c>
      <c r="BA18" s="3">
        <v>1</v>
      </c>
      <c r="BB18" s="3">
        <v>1</v>
      </c>
      <c r="BC18" s="3">
        <v>1</v>
      </c>
      <c r="BD18" s="3">
        <v>1</v>
      </c>
      <c r="BE18" s="94"/>
      <c r="BF18" s="94"/>
      <c r="BG18" s="94"/>
      <c r="BH18" s="94"/>
      <c r="BI18" s="94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1544</v>
      </c>
      <c r="BR18" s="117">
        <f t="shared" ref="BR18:BR55" si="2">AD18</f>
        <v>46381</v>
      </c>
      <c r="BS18" s="52" t="s">
        <v>290</v>
      </c>
      <c r="CJ18" s="161"/>
      <c r="CK18" s="161"/>
      <c r="CL18" s="161"/>
      <c r="CM18" s="161"/>
      <c r="CN18" s="161"/>
      <c r="CO18" s="161"/>
      <c r="CP18" s="155"/>
      <c r="CQ18" s="155"/>
      <c r="CR18" s="154"/>
      <c r="CS18" s="154"/>
      <c r="CT18" s="154"/>
      <c r="CU18" s="154"/>
      <c r="CV18" s="154"/>
      <c r="CW18" s="154"/>
      <c r="CX18" s="154"/>
      <c r="CY18" s="154"/>
      <c r="CZ18" s="154"/>
      <c r="DA18" s="154"/>
    </row>
    <row r="19" spans="1:105" ht="65">
      <c r="A19" s="3">
        <v>4</v>
      </c>
      <c r="B19" s="3" t="s">
        <v>1536</v>
      </c>
      <c r="C19" s="3" t="s">
        <v>57</v>
      </c>
      <c r="D19" s="3" t="s">
        <v>1545</v>
      </c>
      <c r="E19" s="3" t="s">
        <v>1542</v>
      </c>
      <c r="F19" s="3" t="s">
        <v>1546</v>
      </c>
      <c r="AD19" s="228">
        <v>46381</v>
      </c>
      <c r="BA19" s="3">
        <v>1</v>
      </c>
      <c r="BB19" s="3">
        <v>1</v>
      </c>
      <c r="BC19" s="3">
        <v>1</v>
      </c>
      <c r="BD19" s="3">
        <v>1</v>
      </c>
      <c r="BE19" s="94"/>
      <c r="BF19" s="94"/>
      <c r="BG19" s="94"/>
      <c r="BH19" s="94"/>
      <c r="BI19" s="94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1544</v>
      </c>
      <c r="BR19" s="117">
        <f t="shared" si="2"/>
        <v>46381</v>
      </c>
      <c r="BS19" s="52" t="s">
        <v>290</v>
      </c>
      <c r="CJ19" s="161"/>
      <c r="CK19" s="161"/>
      <c r="CL19" s="161"/>
      <c r="CM19" s="161"/>
      <c r="CN19" s="161"/>
      <c r="CO19" s="161"/>
      <c r="CP19" s="155"/>
      <c r="CQ19" s="155"/>
      <c r="CR19" s="154"/>
      <c r="CS19" s="154"/>
      <c r="CT19" s="154"/>
      <c r="CU19" s="154"/>
      <c r="CV19" s="154"/>
      <c r="CW19" s="154"/>
      <c r="CX19" s="154"/>
      <c r="CY19" s="154"/>
      <c r="CZ19" s="154"/>
      <c r="DA19" s="154"/>
    </row>
    <row r="20" spans="1:105" ht="65">
      <c r="A20" s="3">
        <v>5</v>
      </c>
      <c r="B20" s="3" t="s">
        <v>1536</v>
      </c>
      <c r="C20" s="3" t="s">
        <v>57</v>
      </c>
      <c r="D20" s="3" t="s">
        <v>1547</v>
      </c>
      <c r="E20" s="3" t="s">
        <v>1542</v>
      </c>
      <c r="F20" s="3" t="s">
        <v>1548</v>
      </c>
      <c r="AD20" s="228">
        <v>46381</v>
      </c>
      <c r="BA20" s="3">
        <v>1</v>
      </c>
      <c r="BB20" s="3">
        <v>1</v>
      </c>
      <c r="BC20" s="3">
        <v>1</v>
      </c>
      <c r="BD20" s="3">
        <v>1</v>
      </c>
      <c r="BE20" s="94"/>
      <c r="BF20" s="94"/>
      <c r="BG20" s="94"/>
      <c r="BH20" s="94"/>
      <c r="BI20" s="94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1544</v>
      </c>
      <c r="BR20" s="117">
        <f t="shared" si="2"/>
        <v>46381</v>
      </c>
      <c r="BS20" s="52" t="s">
        <v>290</v>
      </c>
      <c r="CJ20" s="161"/>
      <c r="CK20" s="161"/>
      <c r="CL20" s="161"/>
      <c r="CM20" s="161"/>
      <c r="CN20" s="161"/>
      <c r="CO20" s="161"/>
      <c r="CP20" s="155"/>
      <c r="CQ20" s="155"/>
      <c r="CR20" s="154"/>
      <c r="CS20" s="154"/>
      <c r="CT20" s="154"/>
      <c r="CU20" s="154"/>
      <c r="CV20" s="154"/>
      <c r="CW20" s="154"/>
      <c r="CX20" s="154"/>
      <c r="CY20" s="154"/>
      <c r="CZ20" s="154"/>
      <c r="DA20" s="154"/>
    </row>
    <row r="21" spans="1:105" ht="97.5">
      <c r="A21" s="3">
        <v>7</v>
      </c>
      <c r="B21" s="3" t="s">
        <v>1536</v>
      </c>
      <c r="C21" s="3" t="s">
        <v>57</v>
      </c>
      <c r="D21" s="3" t="s">
        <v>1549</v>
      </c>
      <c r="E21" s="3" t="s">
        <v>1550</v>
      </c>
      <c r="F21" s="3" t="s">
        <v>1551</v>
      </c>
      <c r="AD21" s="228">
        <v>46381</v>
      </c>
      <c r="BA21" s="3">
        <v>1</v>
      </c>
      <c r="BB21" s="3">
        <v>1</v>
      </c>
      <c r="BC21" s="3">
        <v>1</v>
      </c>
      <c r="BD21" s="3">
        <v>1</v>
      </c>
      <c r="BE21" s="94"/>
      <c r="BF21" s="94"/>
      <c r="BG21" s="94"/>
      <c r="BH21" s="94"/>
      <c r="BI21" s="94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1552</v>
      </c>
      <c r="BR21" s="117">
        <f t="shared" si="2"/>
        <v>46381</v>
      </c>
      <c r="BS21" s="52" t="s">
        <v>1443</v>
      </c>
      <c r="CJ21" s="161"/>
      <c r="CK21" s="161"/>
      <c r="CL21" s="161"/>
      <c r="CM21" s="161"/>
      <c r="CN21" s="161"/>
      <c r="CO21" s="161"/>
      <c r="CP21" s="155"/>
      <c r="CQ21" s="155"/>
      <c r="CR21" s="154"/>
      <c r="CS21" s="154"/>
      <c r="CT21" s="154"/>
      <c r="CU21" s="154"/>
      <c r="CV21" s="154"/>
      <c r="CW21" s="154"/>
      <c r="CX21" s="154"/>
      <c r="CY21" s="154"/>
      <c r="CZ21" s="154"/>
      <c r="DA21" s="154"/>
    </row>
    <row r="22" spans="1:105" ht="97.5">
      <c r="A22" s="3">
        <v>8</v>
      </c>
      <c r="B22" s="3" t="s">
        <v>1536</v>
      </c>
      <c r="C22" s="3" t="s">
        <v>57</v>
      </c>
      <c r="D22" s="3" t="s">
        <v>1553</v>
      </c>
      <c r="E22" s="3" t="s">
        <v>1550</v>
      </c>
      <c r="F22" s="3" t="s">
        <v>1554</v>
      </c>
      <c r="AD22" s="228">
        <v>46381</v>
      </c>
      <c r="BA22" s="3">
        <v>1</v>
      </c>
      <c r="BB22" s="3">
        <v>1</v>
      </c>
      <c r="BC22" s="3">
        <v>1</v>
      </c>
      <c r="BD22" s="3">
        <v>1</v>
      </c>
      <c r="BE22" s="94"/>
      <c r="BF22" s="94"/>
      <c r="BG22" s="94"/>
      <c r="BH22" s="94"/>
      <c r="BI22" s="94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1552</v>
      </c>
      <c r="BR22" s="117">
        <f t="shared" si="2"/>
        <v>46381</v>
      </c>
      <c r="BS22" s="52" t="s">
        <v>1443</v>
      </c>
      <c r="CJ22" s="161"/>
      <c r="CK22" s="161"/>
      <c r="CL22" s="161"/>
      <c r="CM22" s="161"/>
      <c r="CN22" s="161"/>
      <c r="CO22" s="161"/>
      <c r="CP22" s="155"/>
      <c r="CQ22" s="155"/>
      <c r="CR22" s="154"/>
      <c r="CS22" s="154"/>
      <c r="CT22" s="154"/>
      <c r="CU22" s="154"/>
      <c r="CV22" s="154"/>
      <c r="CW22" s="154"/>
      <c r="CX22" s="154"/>
      <c r="CY22" s="154"/>
      <c r="CZ22" s="154"/>
      <c r="DA22" s="154"/>
    </row>
    <row r="23" spans="1:105" ht="97.5">
      <c r="A23" s="3">
        <v>9</v>
      </c>
      <c r="B23" s="3" t="s">
        <v>1536</v>
      </c>
      <c r="C23" s="3" t="s">
        <v>57</v>
      </c>
      <c r="D23" s="3" t="s">
        <v>1555</v>
      </c>
      <c r="E23" s="3" t="s">
        <v>1550</v>
      </c>
      <c r="F23" s="3" t="s">
        <v>1556</v>
      </c>
      <c r="AD23" s="228">
        <v>46381</v>
      </c>
      <c r="BA23" s="3">
        <v>1</v>
      </c>
      <c r="BB23" s="3">
        <v>1</v>
      </c>
      <c r="BC23" s="3">
        <v>1</v>
      </c>
      <c r="BD23" s="3">
        <v>1</v>
      </c>
      <c r="BE23" s="94"/>
      <c r="BF23" s="94"/>
      <c r="BG23" s="94"/>
      <c r="BH23" s="94"/>
      <c r="BI23" s="94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1552</v>
      </c>
      <c r="BR23" s="117">
        <f t="shared" si="2"/>
        <v>46381</v>
      </c>
      <c r="BS23" s="52" t="s">
        <v>1443</v>
      </c>
      <c r="CJ23" s="161"/>
      <c r="CK23" s="161"/>
      <c r="CL23" s="161"/>
      <c r="CM23" s="161"/>
      <c r="CN23" s="161"/>
      <c r="CO23" s="161"/>
      <c r="CP23" s="155"/>
      <c r="CQ23" s="155"/>
      <c r="CR23" s="154"/>
      <c r="CS23" s="154"/>
      <c r="CT23" s="154"/>
      <c r="CU23" s="154"/>
      <c r="CV23" s="154"/>
      <c r="CW23" s="154"/>
      <c r="CX23" s="154"/>
      <c r="CY23" s="154"/>
      <c r="CZ23" s="154"/>
      <c r="DA23" s="154"/>
    </row>
    <row r="24" spans="1:105" ht="97.5">
      <c r="A24" s="3">
        <v>10</v>
      </c>
      <c r="B24" s="3" t="s">
        <v>1536</v>
      </c>
      <c r="C24" s="3" t="s">
        <v>57</v>
      </c>
      <c r="D24" s="3" t="s">
        <v>1557</v>
      </c>
      <c r="E24" s="3" t="s">
        <v>1550</v>
      </c>
      <c r="F24" s="3" t="s">
        <v>1558</v>
      </c>
      <c r="AD24" s="228">
        <v>46381</v>
      </c>
      <c r="BA24" s="3">
        <v>1</v>
      </c>
      <c r="BB24" s="3">
        <v>1</v>
      </c>
      <c r="BC24" s="3">
        <v>1</v>
      </c>
      <c r="BD24" s="3">
        <v>1</v>
      </c>
      <c r="BE24" s="94"/>
      <c r="BF24" s="94"/>
      <c r="BG24" s="94"/>
      <c r="BH24" s="94"/>
      <c r="BI24" s="94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1552</v>
      </c>
      <c r="BR24" s="117">
        <f t="shared" si="2"/>
        <v>46381</v>
      </c>
      <c r="BS24" s="52" t="s">
        <v>290</v>
      </c>
      <c r="CJ24" s="161"/>
      <c r="CK24" s="161"/>
      <c r="CL24" s="161"/>
      <c r="CM24" s="161"/>
      <c r="CN24" s="161"/>
      <c r="CO24" s="161"/>
      <c r="CP24" s="155"/>
      <c r="CQ24" s="155"/>
      <c r="CR24" s="154"/>
      <c r="CS24" s="154"/>
      <c r="CT24" s="154"/>
      <c r="CU24" s="154"/>
      <c r="CV24" s="154"/>
      <c r="CW24" s="154"/>
      <c r="CX24" s="154"/>
      <c r="CY24" s="154"/>
      <c r="CZ24" s="154"/>
      <c r="DA24" s="154"/>
    </row>
    <row r="25" spans="1:105" ht="65">
      <c r="A25" s="3">
        <v>11</v>
      </c>
      <c r="B25" s="3" t="s">
        <v>1536</v>
      </c>
      <c r="C25" s="3" t="s">
        <v>57</v>
      </c>
      <c r="D25" s="3" t="s">
        <v>1559</v>
      </c>
      <c r="E25" s="3" t="s">
        <v>1560</v>
      </c>
      <c r="F25" s="3" t="s">
        <v>1561</v>
      </c>
      <c r="AD25" s="228">
        <v>46381</v>
      </c>
      <c r="BA25" s="3">
        <v>1</v>
      </c>
      <c r="BB25" s="3">
        <v>1</v>
      </c>
      <c r="BC25" s="3">
        <v>1</v>
      </c>
      <c r="BD25" s="3">
        <v>1</v>
      </c>
      <c r="BE25" s="94"/>
      <c r="BF25" s="94"/>
      <c r="BG25" s="94"/>
      <c r="BH25" s="94"/>
      <c r="BI25" s="94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1544</v>
      </c>
      <c r="BR25" s="117">
        <f t="shared" si="2"/>
        <v>46381</v>
      </c>
      <c r="BS25" s="52" t="s">
        <v>290</v>
      </c>
      <c r="CJ25" s="161"/>
      <c r="CK25" s="161"/>
      <c r="CL25" s="161"/>
      <c r="CM25" s="161"/>
      <c r="CN25" s="161"/>
      <c r="CO25" s="161"/>
      <c r="CP25" s="155"/>
      <c r="CQ25" s="155"/>
      <c r="CR25" s="154"/>
      <c r="CS25" s="154"/>
      <c r="CT25" s="154"/>
      <c r="CU25" s="154"/>
      <c r="CV25" s="154"/>
      <c r="CW25" s="154"/>
      <c r="CX25" s="154"/>
      <c r="CY25" s="154"/>
      <c r="CZ25" s="154"/>
      <c r="DA25" s="154"/>
    </row>
    <row r="26" spans="1:105" ht="65">
      <c r="A26" s="3">
        <v>12</v>
      </c>
      <c r="B26" s="3" t="s">
        <v>1536</v>
      </c>
      <c r="C26" s="3" t="s">
        <v>57</v>
      </c>
      <c r="D26" s="3" t="s">
        <v>1562</v>
      </c>
      <c r="E26" s="3" t="s">
        <v>1563</v>
      </c>
      <c r="F26" s="3" t="s">
        <v>1564</v>
      </c>
      <c r="AD26" s="228">
        <v>46381</v>
      </c>
      <c r="BA26" s="3">
        <v>1</v>
      </c>
      <c r="BB26" s="3">
        <v>1</v>
      </c>
      <c r="BC26" s="3">
        <v>1</v>
      </c>
      <c r="BD26" s="3">
        <v>1</v>
      </c>
      <c r="BE26" s="94"/>
      <c r="BF26" s="94"/>
      <c r="BG26" s="94"/>
      <c r="BH26" s="94"/>
      <c r="BI26" s="94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1544</v>
      </c>
      <c r="BR26" s="117">
        <f t="shared" si="2"/>
        <v>46381</v>
      </c>
      <c r="BS26" s="52" t="s">
        <v>290</v>
      </c>
      <c r="CJ26" s="161"/>
      <c r="CK26" s="161"/>
      <c r="CL26" s="161"/>
      <c r="CM26" s="161"/>
      <c r="CN26" s="161"/>
      <c r="CO26" s="161"/>
      <c r="CP26" s="155"/>
      <c r="CQ26" s="155"/>
      <c r="CR26" s="154"/>
      <c r="CS26" s="154"/>
      <c r="CT26" s="154"/>
      <c r="CU26" s="154"/>
      <c r="CV26" s="154"/>
      <c r="CW26" s="154"/>
      <c r="CX26" s="154"/>
      <c r="CY26" s="154"/>
      <c r="CZ26" s="154"/>
      <c r="DA26" s="154"/>
    </row>
    <row r="27" spans="1:105" ht="97.5">
      <c r="A27" s="3">
        <v>13</v>
      </c>
      <c r="B27" s="3" t="s">
        <v>1536</v>
      </c>
      <c r="C27" s="3" t="s">
        <v>57</v>
      </c>
      <c r="D27" s="3" t="s">
        <v>1565</v>
      </c>
      <c r="E27" s="3" t="s">
        <v>1566</v>
      </c>
      <c r="F27" s="3" t="s">
        <v>1567</v>
      </c>
      <c r="AD27" s="228">
        <v>46381</v>
      </c>
      <c r="BA27" s="3">
        <v>1</v>
      </c>
      <c r="BB27" s="3">
        <v>1</v>
      </c>
      <c r="BC27" s="3">
        <v>1</v>
      </c>
      <c r="BD27" s="3">
        <v>1</v>
      </c>
      <c r="BE27" s="94"/>
      <c r="BF27" s="94"/>
      <c r="BG27" s="94"/>
      <c r="BH27" s="94"/>
      <c r="BI27" s="94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1552</v>
      </c>
      <c r="BR27" s="117">
        <f t="shared" si="2"/>
        <v>46381</v>
      </c>
      <c r="BS27" s="52" t="s">
        <v>1443</v>
      </c>
      <c r="CJ27" s="161"/>
      <c r="CK27" s="161"/>
      <c r="CL27" s="161"/>
      <c r="CM27" s="161"/>
      <c r="CN27" s="161"/>
      <c r="CO27" s="161"/>
      <c r="CP27" s="155"/>
      <c r="CQ27" s="155"/>
      <c r="CR27" s="154"/>
      <c r="CS27" s="154"/>
      <c r="CT27" s="154"/>
      <c r="CU27" s="154"/>
      <c r="CV27" s="154"/>
      <c r="CW27" s="154"/>
      <c r="CX27" s="154"/>
      <c r="CY27" s="154"/>
      <c r="CZ27" s="154"/>
      <c r="DA27" s="154"/>
    </row>
    <row r="28" spans="1:105" ht="97.5">
      <c r="A28" s="3">
        <v>14</v>
      </c>
      <c r="B28" s="3" t="s">
        <v>1536</v>
      </c>
      <c r="C28" s="3" t="s">
        <v>57</v>
      </c>
      <c r="D28" s="3" t="s">
        <v>1568</v>
      </c>
      <c r="E28" s="3" t="s">
        <v>1566</v>
      </c>
      <c r="F28" s="3" t="s">
        <v>1569</v>
      </c>
      <c r="AD28" s="228">
        <v>46381</v>
      </c>
      <c r="BA28" s="3">
        <v>1</v>
      </c>
      <c r="BB28" s="3">
        <v>1</v>
      </c>
      <c r="BC28" s="3">
        <v>1</v>
      </c>
      <c r="BD28" s="3">
        <v>1</v>
      </c>
      <c r="BE28" s="94"/>
      <c r="BF28" s="94"/>
      <c r="BG28" s="94"/>
      <c r="BH28" s="94"/>
      <c r="BI28" s="94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1552</v>
      </c>
      <c r="BR28" s="117">
        <f t="shared" si="2"/>
        <v>46381</v>
      </c>
      <c r="BS28" s="52" t="s">
        <v>1443</v>
      </c>
      <c r="CJ28" s="161"/>
      <c r="CK28" s="161"/>
      <c r="CL28" s="161"/>
      <c r="CM28" s="161"/>
      <c r="CN28" s="161"/>
      <c r="CO28" s="161"/>
      <c r="CP28" s="155"/>
      <c r="CQ28" s="155"/>
      <c r="CR28" s="154"/>
      <c r="CS28" s="154"/>
      <c r="CT28" s="154"/>
      <c r="CU28" s="154"/>
      <c r="CV28" s="154"/>
      <c r="CW28" s="154"/>
      <c r="CX28" s="154"/>
      <c r="CY28" s="154"/>
      <c r="CZ28" s="154"/>
      <c r="DA28" s="154"/>
    </row>
    <row r="29" spans="1:105" ht="97.5">
      <c r="A29" s="3">
        <v>15</v>
      </c>
      <c r="B29" s="3" t="s">
        <v>1536</v>
      </c>
      <c r="C29" s="3" t="s">
        <v>57</v>
      </c>
      <c r="D29" s="3" t="s">
        <v>1570</v>
      </c>
      <c r="E29" s="3" t="s">
        <v>1566</v>
      </c>
      <c r="F29" s="3" t="s">
        <v>1571</v>
      </c>
      <c r="AD29" s="228">
        <v>46381</v>
      </c>
      <c r="BA29" s="3">
        <v>1</v>
      </c>
      <c r="BB29" s="3">
        <v>1</v>
      </c>
      <c r="BC29" s="3">
        <v>1</v>
      </c>
      <c r="BD29" s="3">
        <v>1</v>
      </c>
      <c r="BE29" s="94"/>
      <c r="BF29" s="94"/>
      <c r="BG29" s="94"/>
      <c r="BH29" s="94"/>
      <c r="BI29" s="94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1552</v>
      </c>
      <c r="BR29" s="117">
        <f t="shared" si="2"/>
        <v>46381</v>
      </c>
      <c r="BS29" s="52" t="s">
        <v>1443</v>
      </c>
      <c r="CJ29" s="161"/>
      <c r="CK29" s="161"/>
      <c r="CL29" s="161"/>
      <c r="CM29" s="161"/>
      <c r="CN29" s="161"/>
      <c r="CO29" s="161"/>
      <c r="CP29" s="155"/>
      <c r="CQ29" s="155"/>
      <c r="CR29" s="154"/>
      <c r="CS29" s="154"/>
      <c r="CT29" s="154"/>
      <c r="CU29" s="154"/>
      <c r="CV29" s="154"/>
      <c r="CW29" s="154"/>
      <c r="CX29" s="154"/>
      <c r="CY29" s="154"/>
      <c r="CZ29" s="154"/>
      <c r="DA29" s="154"/>
    </row>
    <row r="30" spans="1:105" ht="65">
      <c r="A30" s="3">
        <v>16</v>
      </c>
      <c r="B30" s="3" t="s">
        <v>1536</v>
      </c>
      <c r="C30" s="3" t="s">
        <v>57</v>
      </c>
      <c r="D30" s="3" t="s">
        <v>1572</v>
      </c>
      <c r="E30" s="3" t="s">
        <v>1573</v>
      </c>
      <c r="F30" s="3" t="s">
        <v>1574</v>
      </c>
      <c r="AD30" s="228">
        <v>46381</v>
      </c>
      <c r="BA30" s="3">
        <v>1</v>
      </c>
      <c r="BB30" s="3">
        <v>1</v>
      </c>
      <c r="BC30" s="3">
        <v>1</v>
      </c>
      <c r="BD30" s="3">
        <v>1</v>
      </c>
      <c r="BE30" s="94"/>
      <c r="BF30" s="94"/>
      <c r="BG30" s="94"/>
      <c r="BH30" s="94"/>
      <c r="BI30" s="94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1544</v>
      </c>
      <c r="BR30" s="117">
        <f t="shared" si="2"/>
        <v>46381</v>
      </c>
      <c r="BS30" s="52" t="s">
        <v>290</v>
      </c>
      <c r="CJ30" s="161"/>
      <c r="CK30" s="161"/>
      <c r="CL30" s="161"/>
      <c r="CM30" s="161"/>
      <c r="CN30" s="161"/>
      <c r="CO30" s="161"/>
      <c r="CP30" s="155"/>
      <c r="CQ30" s="155"/>
      <c r="CR30" s="154"/>
      <c r="CS30" s="154"/>
      <c r="CT30" s="154"/>
      <c r="CU30" s="154"/>
      <c r="CV30" s="154"/>
      <c r="CW30" s="154"/>
      <c r="CX30" s="154"/>
      <c r="CY30" s="154"/>
      <c r="CZ30" s="154"/>
      <c r="DA30" s="154"/>
    </row>
    <row r="31" spans="1:105" ht="97.5">
      <c r="A31" s="3">
        <v>17</v>
      </c>
      <c r="B31" s="3" t="s">
        <v>1536</v>
      </c>
      <c r="C31" s="3" t="s">
        <v>57</v>
      </c>
      <c r="D31" s="3" t="s">
        <v>1575</v>
      </c>
      <c r="E31" s="3" t="s">
        <v>1576</v>
      </c>
      <c r="F31" s="3" t="s">
        <v>1577</v>
      </c>
      <c r="AD31" s="228">
        <v>46381</v>
      </c>
      <c r="BA31" s="3">
        <v>1</v>
      </c>
      <c r="BB31" s="3">
        <v>1</v>
      </c>
      <c r="BC31" s="3">
        <v>1</v>
      </c>
      <c r="BD31" s="3">
        <v>1</v>
      </c>
      <c r="BE31" s="94"/>
      <c r="BF31" s="94"/>
      <c r="BG31" s="94"/>
      <c r="BH31" s="94"/>
      <c r="BI31" s="94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1552</v>
      </c>
      <c r="BR31" s="117">
        <f t="shared" si="2"/>
        <v>46381</v>
      </c>
      <c r="BS31" s="52" t="s">
        <v>1443</v>
      </c>
      <c r="CJ31" s="161"/>
      <c r="CK31" s="161"/>
      <c r="CL31" s="161"/>
      <c r="CM31" s="161"/>
      <c r="CN31" s="161"/>
      <c r="CO31" s="161"/>
      <c r="CP31" s="155"/>
      <c r="CQ31" s="155"/>
      <c r="CR31" s="154"/>
      <c r="CS31" s="154"/>
      <c r="CT31" s="154"/>
      <c r="CU31" s="154"/>
      <c r="CV31" s="154"/>
      <c r="CW31" s="154"/>
      <c r="CX31" s="154"/>
      <c r="CY31" s="154"/>
      <c r="CZ31" s="154"/>
      <c r="DA31" s="154"/>
    </row>
    <row r="32" spans="1:105" ht="97.5">
      <c r="A32" s="3">
        <v>18</v>
      </c>
      <c r="B32" s="3" t="s">
        <v>1536</v>
      </c>
      <c r="C32" s="3" t="s">
        <v>57</v>
      </c>
      <c r="D32" s="3" t="s">
        <v>1578</v>
      </c>
      <c r="E32" s="3" t="s">
        <v>1576</v>
      </c>
      <c r="F32" s="3" t="s">
        <v>1579</v>
      </c>
      <c r="AD32" s="228">
        <v>46381</v>
      </c>
      <c r="BA32" s="3">
        <v>1</v>
      </c>
      <c r="BB32" s="3">
        <v>1</v>
      </c>
      <c r="BC32" s="3">
        <v>1</v>
      </c>
      <c r="BD32" s="3">
        <v>1</v>
      </c>
      <c r="BE32" s="94"/>
      <c r="BF32" s="94"/>
      <c r="BG32" s="94"/>
      <c r="BH32" s="94"/>
      <c r="BI32" s="94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1552</v>
      </c>
      <c r="BR32" s="117">
        <f t="shared" si="2"/>
        <v>46381</v>
      </c>
      <c r="BS32" s="52" t="s">
        <v>1443</v>
      </c>
      <c r="CJ32" s="161"/>
      <c r="CK32" s="161"/>
      <c r="CL32" s="161"/>
      <c r="CM32" s="161"/>
      <c r="CN32" s="161"/>
      <c r="CO32" s="161"/>
      <c r="CP32" s="155"/>
      <c r="CQ32" s="155"/>
      <c r="CR32" s="154"/>
      <c r="CS32" s="154"/>
      <c r="CT32" s="154"/>
      <c r="CU32" s="154"/>
      <c r="CV32" s="154"/>
      <c r="CW32" s="154"/>
      <c r="CX32" s="154"/>
      <c r="CY32" s="154"/>
      <c r="CZ32" s="154"/>
      <c r="DA32" s="154"/>
    </row>
    <row r="33" spans="1:105" ht="97.5">
      <c r="A33" s="3">
        <v>19</v>
      </c>
      <c r="B33" s="3" t="s">
        <v>1536</v>
      </c>
      <c r="C33" s="3" t="s">
        <v>57</v>
      </c>
      <c r="D33" s="3" t="s">
        <v>1580</v>
      </c>
      <c r="E33" s="3" t="s">
        <v>1576</v>
      </c>
      <c r="F33" s="3" t="s">
        <v>1581</v>
      </c>
      <c r="AD33" s="228">
        <v>46381</v>
      </c>
      <c r="BA33" s="3">
        <v>1</v>
      </c>
      <c r="BB33" s="3">
        <v>1</v>
      </c>
      <c r="BC33" s="3">
        <v>1</v>
      </c>
      <c r="BD33" s="3">
        <v>1</v>
      </c>
      <c r="BE33" s="94"/>
      <c r="BF33" s="94"/>
      <c r="BG33" s="94"/>
      <c r="BH33" s="94"/>
      <c r="BI33" s="94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1552</v>
      </c>
      <c r="BR33" s="117">
        <f t="shared" si="2"/>
        <v>46381</v>
      </c>
      <c r="BS33" s="52" t="s">
        <v>1443</v>
      </c>
      <c r="CJ33" s="161"/>
      <c r="CK33" s="161"/>
      <c r="CL33" s="161"/>
      <c r="CM33" s="161"/>
      <c r="CN33" s="161"/>
      <c r="CO33" s="161"/>
      <c r="CP33" s="155"/>
      <c r="CQ33" s="155"/>
      <c r="CR33" s="154"/>
      <c r="CS33" s="154"/>
      <c r="CT33" s="154"/>
      <c r="CU33" s="154"/>
      <c r="CV33" s="154"/>
      <c r="CW33" s="154"/>
      <c r="CX33" s="154"/>
      <c r="CY33" s="154"/>
      <c r="CZ33" s="154"/>
      <c r="DA33" s="154"/>
    </row>
    <row r="34" spans="1:105" ht="34.5">
      <c r="A34" s="3">
        <v>20</v>
      </c>
      <c r="B34" s="3" t="s">
        <v>1536</v>
      </c>
      <c r="C34" s="3" t="s">
        <v>57</v>
      </c>
      <c r="D34" s="3" t="s">
        <v>1582</v>
      </c>
      <c r="E34" s="3" t="s">
        <v>1583</v>
      </c>
      <c r="F34" s="3" t="s">
        <v>1584</v>
      </c>
      <c r="AD34" s="228">
        <v>46381</v>
      </c>
      <c r="BA34" s="3">
        <v>1</v>
      </c>
      <c r="BB34" s="3">
        <v>1</v>
      </c>
      <c r="BC34" s="3">
        <v>1</v>
      </c>
      <c r="BD34" s="3">
        <v>1</v>
      </c>
      <c r="BE34" s="94"/>
      <c r="BF34" s="94"/>
      <c r="BG34" s="94"/>
      <c r="BH34" s="94"/>
      <c r="BI34" s="94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1585</v>
      </c>
      <c r="BR34" s="117">
        <f t="shared" si="2"/>
        <v>46381</v>
      </c>
      <c r="BS34" s="52" t="s">
        <v>290</v>
      </c>
      <c r="CJ34" s="161"/>
      <c r="CK34" s="161"/>
      <c r="CL34" s="161"/>
      <c r="CM34" s="161"/>
      <c r="CN34" s="161"/>
      <c r="CO34" s="161"/>
      <c r="CP34" s="155"/>
      <c r="CQ34" s="155"/>
      <c r="CR34" s="154"/>
      <c r="CS34" s="154"/>
      <c r="CT34" s="154"/>
      <c r="CU34" s="154"/>
      <c r="CV34" s="154"/>
      <c r="CW34" s="154"/>
      <c r="CX34" s="154"/>
      <c r="CY34" s="154"/>
      <c r="CZ34" s="154"/>
      <c r="DA34" s="154"/>
    </row>
    <row r="35" spans="1:105" ht="65">
      <c r="A35" s="3">
        <v>21</v>
      </c>
      <c r="B35" s="3" t="s">
        <v>1536</v>
      </c>
      <c r="C35" s="3" t="s">
        <v>57</v>
      </c>
      <c r="D35" s="3" t="s">
        <v>1586</v>
      </c>
      <c r="E35" s="3" t="s">
        <v>1587</v>
      </c>
      <c r="F35" s="3" t="s">
        <v>1588</v>
      </c>
      <c r="AD35" s="228">
        <v>46381</v>
      </c>
      <c r="BA35" s="3">
        <v>1</v>
      </c>
      <c r="BB35" s="3">
        <v>1</v>
      </c>
      <c r="BC35" s="3">
        <v>1</v>
      </c>
      <c r="BD35" s="3">
        <v>1</v>
      </c>
      <c r="BE35" s="94"/>
      <c r="BF35" s="94"/>
      <c r="BG35" s="94"/>
      <c r="BH35" s="94"/>
      <c r="BI35" s="94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1544</v>
      </c>
      <c r="BR35" s="117">
        <f t="shared" si="2"/>
        <v>46381</v>
      </c>
      <c r="BS35" s="52" t="s">
        <v>290</v>
      </c>
      <c r="CJ35" s="161"/>
      <c r="CK35" s="161"/>
      <c r="CL35" s="161"/>
      <c r="CM35" s="161"/>
      <c r="CN35" s="161"/>
      <c r="CO35" s="161"/>
      <c r="CP35" s="155"/>
      <c r="CQ35" s="155"/>
      <c r="CR35" s="154"/>
      <c r="CS35" s="154"/>
      <c r="CT35" s="154"/>
      <c r="CU35" s="154"/>
      <c r="CV35" s="154"/>
      <c r="CW35" s="154"/>
      <c r="CX35" s="154"/>
      <c r="CY35" s="154"/>
      <c r="CZ35" s="154"/>
      <c r="DA35" s="154"/>
    </row>
    <row r="36" spans="1:105" ht="65">
      <c r="A36" s="3">
        <v>22</v>
      </c>
      <c r="B36" s="3" t="s">
        <v>1536</v>
      </c>
      <c r="C36" s="3" t="s">
        <v>57</v>
      </c>
      <c r="D36" s="3" t="s">
        <v>1589</v>
      </c>
      <c r="E36" s="3" t="s">
        <v>1587</v>
      </c>
      <c r="F36" s="3" t="s">
        <v>1590</v>
      </c>
      <c r="AD36" s="228">
        <v>46381</v>
      </c>
      <c r="BA36" s="3">
        <v>1</v>
      </c>
      <c r="BB36" s="3">
        <v>1</v>
      </c>
      <c r="BC36" s="3">
        <v>1</v>
      </c>
      <c r="BD36" s="3">
        <v>1</v>
      </c>
      <c r="BE36" s="94"/>
      <c r="BF36" s="94"/>
      <c r="BG36" s="94"/>
      <c r="BH36" s="94"/>
      <c r="BI36" s="94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1544</v>
      </c>
      <c r="BR36" s="117">
        <f t="shared" si="2"/>
        <v>46381</v>
      </c>
      <c r="BS36" s="52" t="s">
        <v>290</v>
      </c>
      <c r="CJ36" s="161"/>
      <c r="CK36" s="161"/>
      <c r="CL36" s="161"/>
      <c r="CM36" s="161"/>
      <c r="CN36" s="161"/>
      <c r="CO36" s="161"/>
      <c r="CP36" s="155"/>
      <c r="CQ36" s="155"/>
      <c r="CR36" s="154"/>
      <c r="CS36" s="154"/>
      <c r="CT36" s="154"/>
      <c r="CU36" s="154"/>
      <c r="CV36" s="154"/>
      <c r="CW36" s="154"/>
      <c r="CX36" s="154"/>
      <c r="CY36" s="154"/>
      <c r="CZ36" s="154"/>
      <c r="DA36" s="154"/>
    </row>
    <row r="37" spans="1:105" ht="65">
      <c r="A37" s="3">
        <v>23</v>
      </c>
      <c r="B37" s="3" t="s">
        <v>1536</v>
      </c>
      <c r="C37" s="3" t="s">
        <v>57</v>
      </c>
      <c r="D37" s="3" t="s">
        <v>1591</v>
      </c>
      <c r="E37" s="3" t="s">
        <v>1587</v>
      </c>
      <c r="F37" s="3" t="s">
        <v>1592</v>
      </c>
      <c r="AD37" s="228">
        <v>46381</v>
      </c>
      <c r="BA37" s="3">
        <v>1</v>
      </c>
      <c r="BB37" s="3">
        <v>1</v>
      </c>
      <c r="BC37" s="3">
        <v>1</v>
      </c>
      <c r="BD37" s="3">
        <v>1</v>
      </c>
      <c r="BE37" s="94"/>
      <c r="BF37" s="94"/>
      <c r="BG37" s="94"/>
      <c r="BH37" s="94"/>
      <c r="BI37" s="94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1544</v>
      </c>
      <c r="BR37" s="117">
        <f t="shared" si="2"/>
        <v>46381</v>
      </c>
      <c r="BS37" s="52" t="s">
        <v>290</v>
      </c>
      <c r="CJ37" s="161"/>
      <c r="CK37" s="161"/>
      <c r="CL37" s="161"/>
      <c r="CM37" s="161"/>
      <c r="CN37" s="161"/>
      <c r="CO37" s="161"/>
      <c r="CP37" s="155"/>
      <c r="CQ37" s="155"/>
      <c r="CR37" s="154"/>
      <c r="CS37" s="154"/>
      <c r="CT37" s="154"/>
      <c r="CU37" s="154"/>
      <c r="CV37" s="154"/>
      <c r="CW37" s="154"/>
      <c r="CX37" s="154"/>
      <c r="CY37" s="154"/>
      <c r="CZ37" s="154"/>
      <c r="DA37" s="154"/>
    </row>
    <row r="38" spans="1:105" ht="97.5">
      <c r="A38" s="3">
        <v>24</v>
      </c>
      <c r="B38" s="3" t="s">
        <v>1536</v>
      </c>
      <c r="C38" s="3" t="s">
        <v>57</v>
      </c>
      <c r="D38" s="3" t="s">
        <v>1593</v>
      </c>
      <c r="E38" s="3" t="s">
        <v>1594</v>
      </c>
      <c r="F38" s="3" t="s">
        <v>1595</v>
      </c>
      <c r="AD38" s="228">
        <v>46381</v>
      </c>
      <c r="BA38" s="3">
        <v>1</v>
      </c>
      <c r="BB38" s="3">
        <v>1</v>
      </c>
      <c r="BC38" s="3">
        <v>1</v>
      </c>
      <c r="BD38" s="3">
        <v>1</v>
      </c>
      <c r="BE38" s="94"/>
      <c r="BF38" s="94"/>
      <c r="BG38" s="94"/>
      <c r="BH38" s="94"/>
      <c r="BI38" s="94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1552</v>
      </c>
      <c r="BR38" s="117">
        <f t="shared" si="2"/>
        <v>46381</v>
      </c>
      <c r="BS38" s="52" t="s">
        <v>1443</v>
      </c>
      <c r="CJ38" s="161"/>
      <c r="CK38" s="161"/>
      <c r="CL38" s="161"/>
      <c r="CM38" s="161"/>
      <c r="CN38" s="161"/>
      <c r="CO38" s="161"/>
      <c r="CP38" s="155"/>
      <c r="CQ38" s="155"/>
      <c r="CR38" s="154"/>
      <c r="CS38" s="154"/>
      <c r="CT38" s="154"/>
      <c r="CU38" s="154"/>
      <c r="CV38" s="154"/>
      <c r="CW38" s="154"/>
      <c r="CX38" s="154"/>
      <c r="CY38" s="154"/>
      <c r="CZ38" s="154"/>
      <c r="DA38" s="154"/>
    </row>
    <row r="39" spans="1:105" ht="97.5">
      <c r="A39" s="3">
        <v>25</v>
      </c>
      <c r="B39" s="3" t="s">
        <v>1536</v>
      </c>
      <c r="C39" s="3" t="s">
        <v>57</v>
      </c>
      <c r="D39" s="3" t="s">
        <v>1596</v>
      </c>
      <c r="E39" s="3" t="s">
        <v>1594</v>
      </c>
      <c r="F39" s="3" t="s">
        <v>1597</v>
      </c>
      <c r="AD39" s="228">
        <v>46381</v>
      </c>
      <c r="BA39" s="3">
        <v>1</v>
      </c>
      <c r="BB39" s="3">
        <v>1</v>
      </c>
      <c r="BC39" s="3">
        <v>1</v>
      </c>
      <c r="BD39" s="3">
        <v>1</v>
      </c>
      <c r="BE39" s="94"/>
      <c r="BF39" s="94"/>
      <c r="BG39" s="94"/>
      <c r="BH39" s="94"/>
      <c r="BI39" s="94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1552</v>
      </c>
      <c r="BR39" s="117">
        <f t="shared" si="2"/>
        <v>46381</v>
      </c>
      <c r="BS39" s="52" t="s">
        <v>1443</v>
      </c>
      <c r="CJ39" s="161"/>
      <c r="CK39" s="161"/>
      <c r="CL39" s="161"/>
      <c r="CM39" s="161"/>
      <c r="CN39" s="161"/>
      <c r="CO39" s="161"/>
      <c r="CP39" s="155"/>
      <c r="CQ39" s="155"/>
      <c r="CR39" s="154"/>
      <c r="CS39" s="154"/>
      <c r="CT39" s="154"/>
      <c r="CU39" s="154"/>
      <c r="CV39" s="154"/>
      <c r="CW39" s="154"/>
      <c r="CX39" s="154"/>
      <c r="CY39" s="154"/>
      <c r="CZ39" s="154"/>
      <c r="DA39" s="154"/>
    </row>
    <row r="40" spans="1:105" ht="97.5">
      <c r="A40" s="3">
        <v>26</v>
      </c>
      <c r="B40" s="3" t="s">
        <v>1536</v>
      </c>
      <c r="C40" s="3" t="s">
        <v>57</v>
      </c>
      <c r="D40" s="3" t="s">
        <v>1598</v>
      </c>
      <c r="E40" s="3" t="s">
        <v>1594</v>
      </c>
      <c r="F40" s="3" t="s">
        <v>1599</v>
      </c>
      <c r="AD40" s="228">
        <v>46381</v>
      </c>
      <c r="BA40" s="3">
        <v>1</v>
      </c>
      <c r="BB40" s="3">
        <v>1</v>
      </c>
      <c r="BC40" s="3">
        <v>1</v>
      </c>
      <c r="BD40" s="3">
        <v>1</v>
      </c>
      <c r="BE40" s="94"/>
      <c r="BF40" s="94"/>
      <c r="BG40" s="94"/>
      <c r="BH40" s="94"/>
      <c r="BI40" s="94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1552</v>
      </c>
      <c r="BR40" s="117">
        <f t="shared" si="2"/>
        <v>46381</v>
      </c>
      <c r="BS40" s="52" t="s">
        <v>1443</v>
      </c>
      <c r="CJ40" s="161"/>
      <c r="CK40" s="161"/>
      <c r="CL40" s="161"/>
      <c r="CM40" s="161"/>
      <c r="CN40" s="161"/>
      <c r="CO40" s="161"/>
      <c r="CP40" s="155"/>
      <c r="CQ40" s="155"/>
      <c r="CR40" s="154"/>
      <c r="CS40" s="154"/>
      <c r="CT40" s="154"/>
      <c r="CU40" s="154"/>
      <c r="CV40" s="154"/>
      <c r="CW40" s="154"/>
      <c r="CX40" s="154"/>
      <c r="CY40" s="154"/>
      <c r="CZ40" s="154"/>
      <c r="DA40" s="154"/>
    </row>
    <row r="41" spans="1:105" ht="97.5">
      <c r="A41" s="3">
        <v>27</v>
      </c>
      <c r="B41" s="3" t="s">
        <v>1536</v>
      </c>
      <c r="C41" s="3" t="s">
        <v>57</v>
      </c>
      <c r="D41" s="3" t="s">
        <v>1600</v>
      </c>
      <c r="E41" s="3" t="s">
        <v>1601</v>
      </c>
      <c r="F41" s="3" t="s">
        <v>1602</v>
      </c>
      <c r="AD41" s="228">
        <v>46381</v>
      </c>
      <c r="BA41" s="3">
        <v>1</v>
      </c>
      <c r="BB41" s="3">
        <v>1</v>
      </c>
      <c r="BC41" s="3">
        <v>1</v>
      </c>
      <c r="BD41" s="3">
        <v>1</v>
      </c>
      <c r="BE41" s="94"/>
      <c r="BF41" s="94"/>
      <c r="BG41" s="94"/>
      <c r="BH41" s="94"/>
      <c r="BI41" s="94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1552</v>
      </c>
      <c r="BR41" s="117">
        <f t="shared" si="2"/>
        <v>46381</v>
      </c>
      <c r="BS41" s="52" t="s">
        <v>1443</v>
      </c>
      <c r="CJ41" s="161"/>
      <c r="CK41" s="161"/>
      <c r="CL41" s="161"/>
      <c r="CM41" s="161"/>
      <c r="CN41" s="161"/>
      <c r="CO41" s="161"/>
      <c r="CP41" s="155"/>
      <c r="CQ41" s="155"/>
      <c r="CR41" s="154"/>
      <c r="CS41" s="154"/>
      <c r="CT41" s="154"/>
      <c r="CU41" s="154"/>
      <c r="CV41" s="154"/>
      <c r="CW41" s="154"/>
      <c r="CX41" s="154"/>
      <c r="CY41" s="154"/>
      <c r="CZ41" s="154"/>
      <c r="DA41" s="154"/>
    </row>
    <row r="42" spans="1:105" ht="97.5">
      <c r="A42" s="3">
        <v>28</v>
      </c>
      <c r="B42" s="3" t="s">
        <v>1536</v>
      </c>
      <c r="C42" s="3" t="s">
        <v>57</v>
      </c>
      <c r="D42" s="3" t="s">
        <v>1603</v>
      </c>
      <c r="E42" s="3" t="s">
        <v>1601</v>
      </c>
      <c r="F42" s="3" t="s">
        <v>1604</v>
      </c>
      <c r="AD42" s="228">
        <v>46381</v>
      </c>
      <c r="BA42" s="3">
        <v>1</v>
      </c>
      <c r="BB42" s="3">
        <v>1</v>
      </c>
      <c r="BC42" s="3">
        <v>1</v>
      </c>
      <c r="BD42" s="3">
        <v>1</v>
      </c>
      <c r="BE42" s="94"/>
      <c r="BF42" s="94"/>
      <c r="BG42" s="94"/>
      <c r="BH42" s="94"/>
      <c r="BI42" s="94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1552</v>
      </c>
      <c r="BR42" s="117">
        <f t="shared" si="2"/>
        <v>46381</v>
      </c>
      <c r="BS42" s="52" t="s">
        <v>1443</v>
      </c>
      <c r="CJ42" s="161"/>
      <c r="CK42" s="161"/>
      <c r="CL42" s="161"/>
      <c r="CM42" s="161"/>
      <c r="CN42" s="161"/>
      <c r="CO42" s="161"/>
      <c r="CP42" s="155"/>
      <c r="CQ42" s="155"/>
      <c r="CR42" s="154"/>
      <c r="CS42" s="154"/>
      <c r="CT42" s="154"/>
      <c r="CU42" s="154"/>
      <c r="CV42" s="154"/>
      <c r="CW42" s="154"/>
      <c r="CX42" s="154"/>
      <c r="CY42" s="154"/>
      <c r="CZ42" s="154"/>
      <c r="DA42" s="154"/>
    </row>
    <row r="43" spans="1:105" ht="97.5">
      <c r="A43" s="3">
        <v>29</v>
      </c>
      <c r="B43" s="3" t="s">
        <v>1536</v>
      </c>
      <c r="C43" s="3" t="s">
        <v>57</v>
      </c>
      <c r="D43" s="3" t="s">
        <v>1605</v>
      </c>
      <c r="E43" s="3" t="s">
        <v>1601</v>
      </c>
      <c r="F43" s="3" t="s">
        <v>1606</v>
      </c>
      <c r="AD43" s="228">
        <v>46381</v>
      </c>
      <c r="BA43" s="3">
        <v>1</v>
      </c>
      <c r="BB43" s="3">
        <v>1</v>
      </c>
      <c r="BC43" s="3">
        <v>1</v>
      </c>
      <c r="BD43" s="3">
        <v>1</v>
      </c>
      <c r="BE43" s="94"/>
      <c r="BF43" s="94"/>
      <c r="BG43" s="94"/>
      <c r="BH43" s="94"/>
      <c r="BI43" s="94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1552</v>
      </c>
      <c r="BR43" s="117">
        <f t="shared" si="2"/>
        <v>46381</v>
      </c>
      <c r="BS43" s="52" t="s">
        <v>1443</v>
      </c>
      <c r="CJ43" s="161"/>
      <c r="CK43" s="161"/>
      <c r="CL43" s="161"/>
      <c r="CM43" s="161"/>
      <c r="CN43" s="161"/>
      <c r="CO43" s="161"/>
      <c r="CP43" s="155"/>
      <c r="CQ43" s="155"/>
      <c r="CR43" s="154"/>
      <c r="CS43" s="154"/>
      <c r="CT43" s="154"/>
      <c r="CU43" s="154"/>
      <c r="CV43" s="154"/>
      <c r="CW43" s="154"/>
      <c r="CX43" s="154"/>
      <c r="CY43" s="154"/>
      <c r="CZ43" s="154"/>
      <c r="DA43" s="154"/>
    </row>
    <row r="44" spans="1:105" ht="97.5">
      <c r="A44" s="3">
        <v>30</v>
      </c>
      <c r="B44" s="3" t="s">
        <v>1536</v>
      </c>
      <c r="C44" s="3" t="s">
        <v>57</v>
      </c>
      <c r="D44" s="3" t="s">
        <v>1607</v>
      </c>
      <c r="E44" s="3" t="s">
        <v>1608</v>
      </c>
      <c r="F44" s="3" t="s">
        <v>1609</v>
      </c>
      <c r="AD44" s="228">
        <v>46381</v>
      </c>
      <c r="BA44" s="3">
        <v>1</v>
      </c>
      <c r="BB44" s="3">
        <v>1</v>
      </c>
      <c r="BC44" s="3">
        <v>1</v>
      </c>
      <c r="BD44" s="3">
        <v>1</v>
      </c>
      <c r="BE44" s="94"/>
      <c r="BF44" s="94"/>
      <c r="BG44" s="94"/>
      <c r="BH44" s="94"/>
      <c r="BI44" s="94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1552</v>
      </c>
      <c r="BR44" s="117">
        <f t="shared" si="2"/>
        <v>46381</v>
      </c>
      <c r="BS44" s="52" t="s">
        <v>1443</v>
      </c>
      <c r="CJ44" s="161"/>
      <c r="CK44" s="161"/>
      <c r="CL44" s="161"/>
      <c r="CM44" s="161"/>
      <c r="CN44" s="161"/>
      <c r="CO44" s="161"/>
      <c r="CP44" s="155"/>
      <c r="CQ44" s="155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</row>
    <row r="45" spans="1:105" ht="97.5">
      <c r="A45" s="3">
        <v>31</v>
      </c>
      <c r="B45" s="3" t="s">
        <v>1536</v>
      </c>
      <c r="C45" s="3" t="s">
        <v>57</v>
      </c>
      <c r="D45" s="3" t="s">
        <v>1610</v>
      </c>
      <c r="E45" s="3" t="s">
        <v>1611</v>
      </c>
      <c r="F45" s="3" t="s">
        <v>1612</v>
      </c>
      <c r="AD45" s="228">
        <v>46381</v>
      </c>
      <c r="BA45" s="3">
        <v>1</v>
      </c>
      <c r="BB45" s="3">
        <v>1</v>
      </c>
      <c r="BC45" s="3">
        <v>1</v>
      </c>
      <c r="BD45" s="3">
        <v>1</v>
      </c>
      <c r="BE45" s="94"/>
      <c r="BF45" s="94"/>
      <c r="BG45" s="94"/>
      <c r="BH45" s="94"/>
      <c r="BI45" s="94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1552</v>
      </c>
      <c r="BR45" s="117">
        <f t="shared" si="2"/>
        <v>46381</v>
      </c>
      <c r="BS45" s="52" t="s">
        <v>1443</v>
      </c>
      <c r="CJ45" s="161"/>
      <c r="CK45" s="161"/>
      <c r="CL45" s="161"/>
      <c r="CM45" s="161"/>
      <c r="CN45" s="161"/>
      <c r="CO45" s="161"/>
      <c r="CP45" s="155"/>
      <c r="CQ45" s="155"/>
      <c r="CR45" s="154"/>
      <c r="CS45" s="154"/>
      <c r="CT45" s="154"/>
      <c r="CU45" s="154"/>
      <c r="CV45" s="154"/>
      <c r="CW45" s="154"/>
      <c r="CX45" s="154"/>
      <c r="CY45" s="154"/>
      <c r="CZ45" s="154"/>
      <c r="DA45" s="154"/>
    </row>
    <row r="46" spans="1:105" ht="97.5">
      <c r="A46" s="3">
        <v>32</v>
      </c>
      <c r="B46" s="3" t="s">
        <v>1536</v>
      </c>
      <c r="C46" s="3" t="s">
        <v>57</v>
      </c>
      <c r="D46" s="3" t="s">
        <v>1613</v>
      </c>
      <c r="E46" s="3" t="s">
        <v>1608</v>
      </c>
      <c r="F46" s="3" t="s">
        <v>1614</v>
      </c>
      <c r="AD46" s="228">
        <v>46381</v>
      </c>
      <c r="BA46" s="3">
        <v>1</v>
      </c>
      <c r="BB46" s="3">
        <v>1</v>
      </c>
      <c r="BC46" s="3">
        <v>1</v>
      </c>
      <c r="BD46" s="3">
        <v>1</v>
      </c>
      <c r="BE46" s="94"/>
      <c r="BF46" s="94"/>
      <c r="BG46" s="94"/>
      <c r="BH46" s="94"/>
      <c r="BI46" s="94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1552</v>
      </c>
      <c r="BR46" s="117">
        <f t="shared" si="2"/>
        <v>46381</v>
      </c>
      <c r="BS46" s="52" t="s">
        <v>1443</v>
      </c>
      <c r="CJ46" s="161"/>
      <c r="CK46" s="161"/>
      <c r="CL46" s="161"/>
      <c r="CM46" s="161"/>
      <c r="CN46" s="161"/>
      <c r="CO46" s="161"/>
      <c r="CP46" s="155"/>
      <c r="CQ46" s="155"/>
      <c r="CR46" s="154"/>
      <c r="CS46" s="154"/>
      <c r="CT46" s="154"/>
      <c r="CU46" s="154"/>
      <c r="CV46" s="154"/>
      <c r="CW46" s="154"/>
      <c r="CX46" s="154"/>
      <c r="CY46" s="154"/>
      <c r="CZ46" s="154"/>
      <c r="DA46" s="154"/>
    </row>
    <row r="47" spans="1:105" ht="65">
      <c r="A47" s="3">
        <v>33</v>
      </c>
      <c r="B47" s="3" t="s">
        <v>1536</v>
      </c>
      <c r="C47" s="3" t="s">
        <v>57</v>
      </c>
      <c r="D47" s="3" t="s">
        <v>1615</v>
      </c>
      <c r="E47" s="3" t="s">
        <v>1616</v>
      </c>
      <c r="F47" s="3" t="s">
        <v>1617</v>
      </c>
      <c r="AD47" s="228">
        <v>46381</v>
      </c>
      <c r="BA47" s="3">
        <v>1</v>
      </c>
      <c r="BB47" s="3">
        <v>1</v>
      </c>
      <c r="BC47" s="3">
        <v>1</v>
      </c>
      <c r="BD47" s="3">
        <v>1</v>
      </c>
      <c r="BE47" s="94"/>
      <c r="BF47" s="94"/>
      <c r="BG47" s="94"/>
      <c r="BH47" s="94"/>
      <c r="BI47" s="94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1544</v>
      </c>
      <c r="BR47" s="117">
        <f t="shared" si="2"/>
        <v>46381</v>
      </c>
      <c r="BS47" s="52" t="s">
        <v>290</v>
      </c>
      <c r="CJ47" s="161"/>
      <c r="CK47" s="161"/>
      <c r="CL47" s="161"/>
      <c r="CM47" s="161"/>
      <c r="CN47" s="161"/>
      <c r="CO47" s="161"/>
      <c r="CP47" s="155"/>
      <c r="CQ47" s="155"/>
      <c r="CR47" s="154"/>
      <c r="CS47" s="154"/>
      <c r="CT47" s="154"/>
      <c r="CU47" s="154"/>
      <c r="CV47" s="154"/>
      <c r="CW47" s="154"/>
      <c r="CX47" s="154"/>
      <c r="CY47" s="154"/>
      <c r="CZ47" s="154"/>
      <c r="DA47" s="154"/>
    </row>
    <row r="48" spans="1:105" ht="65">
      <c r="A48" s="3">
        <v>34</v>
      </c>
      <c r="B48" s="3" t="s">
        <v>1536</v>
      </c>
      <c r="C48" s="3" t="s">
        <v>57</v>
      </c>
      <c r="D48" s="3" t="s">
        <v>1618</v>
      </c>
      <c r="E48" s="3" t="s">
        <v>1616</v>
      </c>
      <c r="F48" s="3" t="s">
        <v>1619</v>
      </c>
      <c r="AD48" s="228">
        <v>46381</v>
      </c>
      <c r="BA48" s="3">
        <v>1</v>
      </c>
      <c r="BB48" s="3">
        <v>1</v>
      </c>
      <c r="BC48" s="3">
        <v>1</v>
      </c>
      <c r="BD48" s="3">
        <v>1</v>
      </c>
      <c r="BE48" s="94"/>
      <c r="BF48" s="94"/>
      <c r="BG48" s="94"/>
      <c r="BH48" s="94"/>
      <c r="BI48" s="94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1544</v>
      </c>
      <c r="BR48" s="117">
        <f t="shared" si="2"/>
        <v>46381</v>
      </c>
      <c r="BS48" s="52" t="s">
        <v>290</v>
      </c>
      <c r="CJ48" s="161"/>
      <c r="CK48" s="161"/>
      <c r="CL48" s="161"/>
      <c r="CM48" s="161"/>
      <c r="CN48" s="161"/>
      <c r="CO48" s="161"/>
      <c r="CP48" s="155"/>
      <c r="CQ48" s="155"/>
      <c r="CR48" s="154"/>
      <c r="CS48" s="154"/>
      <c r="CT48" s="154"/>
      <c r="CU48" s="154"/>
      <c r="CV48" s="154"/>
      <c r="CW48" s="154"/>
      <c r="CX48" s="154"/>
      <c r="CY48" s="154"/>
      <c r="CZ48" s="154"/>
      <c r="DA48" s="154"/>
    </row>
    <row r="49" spans="1:105" ht="65">
      <c r="A49" s="3">
        <v>37</v>
      </c>
      <c r="B49" s="3" t="s">
        <v>1536</v>
      </c>
      <c r="C49" s="3" t="s">
        <v>57</v>
      </c>
      <c r="D49" s="3" t="s">
        <v>1620</v>
      </c>
      <c r="E49" s="3" t="s">
        <v>1621</v>
      </c>
      <c r="F49" s="3" t="s">
        <v>1622</v>
      </c>
      <c r="AD49" s="228">
        <v>46381</v>
      </c>
      <c r="BA49" s="3">
        <v>1</v>
      </c>
      <c r="BB49" s="3">
        <v>1</v>
      </c>
      <c r="BC49" s="3">
        <v>1</v>
      </c>
      <c r="BD49" s="3">
        <v>1</v>
      </c>
      <c r="BE49" s="94"/>
      <c r="BF49" s="94"/>
      <c r="BG49" s="94"/>
      <c r="BH49" s="94"/>
      <c r="BI49" s="94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1544</v>
      </c>
      <c r="BR49" s="117">
        <f t="shared" si="2"/>
        <v>46381</v>
      </c>
      <c r="BS49" s="52" t="s">
        <v>290</v>
      </c>
      <c r="CJ49" s="161"/>
      <c r="CK49" s="161"/>
      <c r="CL49" s="161"/>
      <c r="CM49" s="161"/>
      <c r="CN49" s="161"/>
      <c r="CO49" s="161"/>
      <c r="CP49" s="155"/>
      <c r="CQ49" s="155"/>
      <c r="CR49" s="154"/>
      <c r="CS49" s="154"/>
      <c r="CT49" s="154"/>
      <c r="CU49" s="154"/>
      <c r="CV49" s="154"/>
      <c r="CW49" s="154"/>
      <c r="CX49" s="154"/>
      <c r="CY49" s="154"/>
      <c r="CZ49" s="154"/>
      <c r="DA49" s="154"/>
    </row>
    <row r="50" spans="1:105" ht="65">
      <c r="A50" s="3">
        <v>38</v>
      </c>
      <c r="B50" s="3" t="s">
        <v>1536</v>
      </c>
      <c r="C50" s="3" t="s">
        <v>57</v>
      </c>
      <c r="D50" s="3" t="s">
        <v>1623</v>
      </c>
      <c r="E50" s="3" t="s">
        <v>1624</v>
      </c>
      <c r="F50" s="3" t="s">
        <v>1625</v>
      </c>
      <c r="AD50" s="228">
        <v>46381</v>
      </c>
      <c r="BA50" s="3">
        <v>1</v>
      </c>
      <c r="BB50" s="3">
        <v>1</v>
      </c>
      <c r="BC50" s="3">
        <v>1</v>
      </c>
      <c r="BD50" s="3">
        <v>1</v>
      </c>
      <c r="BE50" s="94"/>
      <c r="BF50" s="94"/>
      <c r="BG50" s="94"/>
      <c r="BH50" s="94"/>
      <c r="BI50" s="94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1544</v>
      </c>
      <c r="BR50" s="117">
        <f t="shared" si="2"/>
        <v>46381</v>
      </c>
      <c r="BS50" s="52" t="s">
        <v>290</v>
      </c>
      <c r="CJ50" s="161"/>
      <c r="CK50" s="161"/>
      <c r="CL50" s="161"/>
      <c r="CM50" s="161"/>
      <c r="CN50" s="161"/>
      <c r="CO50" s="161"/>
      <c r="CP50" s="155"/>
      <c r="CQ50" s="155"/>
      <c r="CR50" s="154"/>
      <c r="CS50" s="154"/>
      <c r="CT50" s="154"/>
      <c r="CU50" s="154"/>
      <c r="CV50" s="154"/>
      <c r="CW50" s="154"/>
      <c r="CX50" s="154"/>
      <c r="CY50" s="154"/>
      <c r="CZ50" s="154"/>
      <c r="DA50" s="154"/>
    </row>
    <row r="51" spans="1:105" ht="65">
      <c r="A51" s="3">
        <v>39</v>
      </c>
      <c r="B51" s="3" t="s">
        <v>1536</v>
      </c>
      <c r="C51" s="3" t="s">
        <v>57</v>
      </c>
      <c r="D51" s="3" t="s">
        <v>1626</v>
      </c>
      <c r="E51" s="3" t="s">
        <v>1627</v>
      </c>
      <c r="F51" s="3" t="s">
        <v>1628</v>
      </c>
      <c r="AD51" s="228">
        <v>46381</v>
      </c>
      <c r="BA51" s="3">
        <v>1</v>
      </c>
      <c r="BB51" s="3">
        <v>1</v>
      </c>
      <c r="BC51" s="3">
        <v>1</v>
      </c>
      <c r="BD51" s="3">
        <v>1</v>
      </c>
      <c r="BE51" s="94"/>
      <c r="BF51" s="94"/>
      <c r="BG51" s="94"/>
      <c r="BH51" s="94"/>
      <c r="BI51" s="94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1544</v>
      </c>
      <c r="BR51" s="117">
        <f t="shared" si="2"/>
        <v>46381</v>
      </c>
      <c r="BS51" s="52" t="s">
        <v>290</v>
      </c>
      <c r="CJ51" s="161"/>
      <c r="CK51" s="161"/>
      <c r="CL51" s="161"/>
      <c r="CM51" s="161"/>
      <c r="CN51" s="161"/>
      <c r="CO51" s="161"/>
      <c r="CP51" s="155"/>
      <c r="CQ51" s="155"/>
      <c r="CR51" s="154"/>
      <c r="CS51" s="154"/>
      <c r="CT51" s="154"/>
      <c r="CU51" s="154"/>
      <c r="CV51" s="154"/>
      <c r="CW51" s="154"/>
      <c r="CX51" s="154"/>
      <c r="CY51" s="154"/>
      <c r="CZ51" s="154"/>
      <c r="DA51" s="154"/>
    </row>
    <row r="52" spans="1:105" ht="65">
      <c r="A52" s="3">
        <v>40</v>
      </c>
      <c r="B52" s="3" t="s">
        <v>1536</v>
      </c>
      <c r="C52" s="3" t="s">
        <v>57</v>
      </c>
      <c r="D52" s="3" t="s">
        <v>1629</v>
      </c>
      <c r="E52" s="3" t="s">
        <v>1630</v>
      </c>
      <c r="F52" s="3" t="s">
        <v>1631</v>
      </c>
      <c r="AD52" s="228">
        <v>46381</v>
      </c>
      <c r="BA52" s="3">
        <v>1</v>
      </c>
      <c r="BB52" s="3">
        <v>1</v>
      </c>
      <c r="BC52" s="3">
        <v>1</v>
      </c>
      <c r="BD52" s="3">
        <v>1</v>
      </c>
      <c r="BE52" s="94"/>
      <c r="BF52" s="94"/>
      <c r="BG52" s="94"/>
      <c r="BH52" s="94"/>
      <c r="BI52" s="94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1544</v>
      </c>
      <c r="BR52" s="117">
        <f t="shared" si="2"/>
        <v>46381</v>
      </c>
      <c r="BS52" s="52" t="s">
        <v>290</v>
      </c>
      <c r="CJ52" s="161"/>
      <c r="CK52" s="161"/>
      <c r="CL52" s="161"/>
      <c r="CM52" s="161"/>
      <c r="CN52" s="161"/>
      <c r="CO52" s="161"/>
      <c r="CP52" s="155"/>
      <c r="CQ52" s="155"/>
      <c r="CR52" s="154"/>
      <c r="CS52" s="154"/>
      <c r="CT52" s="154"/>
      <c r="CU52" s="154"/>
      <c r="CV52" s="154"/>
      <c r="CW52" s="154"/>
      <c r="CX52" s="154"/>
      <c r="CY52" s="154"/>
      <c r="CZ52" s="154"/>
      <c r="DA52" s="154"/>
    </row>
    <row r="53" spans="1:105" ht="97.5">
      <c r="A53" s="3">
        <v>41</v>
      </c>
      <c r="B53" s="3" t="s">
        <v>1536</v>
      </c>
      <c r="C53" s="3" t="s">
        <v>57</v>
      </c>
      <c r="D53" s="3" t="s">
        <v>1632</v>
      </c>
      <c r="E53" s="3" t="s">
        <v>1633</v>
      </c>
      <c r="F53" s="3" t="s">
        <v>1634</v>
      </c>
      <c r="AD53" s="228">
        <v>46381</v>
      </c>
      <c r="BA53" s="3">
        <v>1</v>
      </c>
      <c r="BB53" s="3">
        <v>1</v>
      </c>
      <c r="BC53" s="3">
        <v>1</v>
      </c>
      <c r="BD53" s="3">
        <v>1</v>
      </c>
      <c r="BE53" s="94"/>
      <c r="BF53" s="94"/>
      <c r="BG53" s="94"/>
      <c r="BH53" s="94"/>
      <c r="BI53" s="94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1552</v>
      </c>
      <c r="BR53" s="117">
        <f t="shared" si="2"/>
        <v>46381</v>
      </c>
      <c r="BS53" s="52" t="s">
        <v>1443</v>
      </c>
      <c r="CJ53" s="161"/>
      <c r="CK53" s="161"/>
      <c r="CL53" s="161"/>
      <c r="CM53" s="161"/>
      <c r="CN53" s="161"/>
      <c r="CO53" s="161"/>
      <c r="CP53" s="155"/>
      <c r="CQ53" s="155"/>
      <c r="CR53" s="154"/>
      <c r="CS53" s="154"/>
      <c r="CT53" s="154"/>
      <c r="CU53" s="154"/>
      <c r="CV53" s="154"/>
      <c r="CW53" s="154"/>
      <c r="CX53" s="154"/>
      <c r="CY53" s="154"/>
      <c r="CZ53" s="154"/>
      <c r="DA53" s="154"/>
    </row>
    <row r="54" spans="1:105" ht="97.5">
      <c r="A54" s="3">
        <v>42</v>
      </c>
      <c r="B54" s="3" t="s">
        <v>1536</v>
      </c>
      <c r="C54" s="3" t="s">
        <v>57</v>
      </c>
      <c r="D54" s="3" t="s">
        <v>1635</v>
      </c>
      <c r="E54" s="3" t="s">
        <v>1633</v>
      </c>
      <c r="F54" s="3" t="s">
        <v>1636</v>
      </c>
      <c r="AD54" s="228">
        <v>46381</v>
      </c>
      <c r="BA54" s="3">
        <v>1</v>
      </c>
      <c r="BB54" s="3">
        <v>1</v>
      </c>
      <c r="BC54" s="3">
        <v>1</v>
      </c>
      <c r="BD54" s="3">
        <v>1</v>
      </c>
      <c r="BE54" s="94"/>
      <c r="BF54" s="94"/>
      <c r="BG54" s="94"/>
      <c r="BH54" s="94"/>
      <c r="BI54" s="94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1552</v>
      </c>
      <c r="BR54" s="117">
        <f t="shared" si="2"/>
        <v>46381</v>
      </c>
      <c r="BS54" s="52" t="s">
        <v>1443</v>
      </c>
      <c r="CJ54" s="161"/>
      <c r="CK54" s="161"/>
      <c r="CL54" s="161"/>
      <c r="CM54" s="161"/>
      <c r="CN54" s="161"/>
      <c r="CO54" s="161"/>
      <c r="CP54" s="155"/>
      <c r="CQ54" s="155"/>
      <c r="CR54" s="154"/>
      <c r="CS54" s="154"/>
      <c r="CT54" s="154"/>
      <c r="CU54" s="154"/>
      <c r="CV54" s="154"/>
      <c r="CW54" s="154"/>
      <c r="CX54" s="154"/>
      <c r="CY54" s="154"/>
      <c r="CZ54" s="154"/>
      <c r="DA54" s="154"/>
    </row>
    <row r="55" spans="1:105" ht="97.5">
      <c r="A55" s="3">
        <v>43</v>
      </c>
      <c r="B55" s="3" t="s">
        <v>1536</v>
      </c>
      <c r="C55" s="3" t="s">
        <v>57</v>
      </c>
      <c r="D55" s="3" t="s">
        <v>1637</v>
      </c>
      <c r="E55" s="3" t="s">
        <v>1633</v>
      </c>
      <c r="F55" s="3" t="s">
        <v>1638</v>
      </c>
      <c r="AD55" s="228">
        <v>46381</v>
      </c>
      <c r="BA55" s="3">
        <v>1</v>
      </c>
      <c r="BB55" s="3">
        <v>1</v>
      </c>
      <c r="BC55" s="3">
        <v>1</v>
      </c>
      <c r="BD55" s="3">
        <v>1</v>
      </c>
      <c r="BE55" s="94"/>
      <c r="BF55" s="94"/>
      <c r="BG55" s="94"/>
      <c r="BH55" s="94"/>
      <c r="BI55" s="94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1552</v>
      </c>
      <c r="BR55" s="117">
        <f t="shared" si="2"/>
        <v>46381</v>
      </c>
      <c r="BS55" s="52" t="s">
        <v>1443</v>
      </c>
      <c r="CJ55" s="161"/>
      <c r="CK55" s="161"/>
      <c r="CL55" s="161"/>
      <c r="CM55" s="161"/>
      <c r="CN55" s="161"/>
      <c r="CO55" s="161"/>
      <c r="CP55" s="155"/>
      <c r="CQ55" s="155"/>
      <c r="CR55" s="154"/>
      <c r="CS55" s="154"/>
      <c r="CT55" s="154"/>
      <c r="CU55" s="154"/>
      <c r="CV55" s="154"/>
      <c r="CW55" s="154"/>
      <c r="CX55" s="154"/>
      <c r="CY55" s="154"/>
      <c r="CZ55" s="154"/>
      <c r="DA55" s="154"/>
    </row>
    <row r="56" spans="1:105">
      <c r="CJ56" s="161"/>
      <c r="CK56" s="161"/>
      <c r="CL56" s="161"/>
      <c r="CM56" s="161"/>
      <c r="CN56" s="161"/>
      <c r="CO56" s="161"/>
      <c r="CP56" s="155"/>
      <c r="CQ56" s="155"/>
      <c r="CR56" s="154"/>
      <c r="CS56" s="154"/>
      <c r="CT56" s="154"/>
      <c r="CU56" s="154"/>
      <c r="CV56" s="154"/>
      <c r="CW56" s="154"/>
      <c r="CX56" s="154"/>
      <c r="CY56" s="154"/>
      <c r="CZ56" s="154"/>
      <c r="DA56" s="154"/>
    </row>
    <row r="57" spans="1:105">
      <c r="CJ57" s="161"/>
      <c r="CK57" s="161"/>
      <c r="CL57" s="161"/>
      <c r="CM57" s="161"/>
      <c r="CN57" s="161"/>
      <c r="CO57" s="161"/>
      <c r="CP57" s="155"/>
      <c r="CQ57" s="155"/>
      <c r="CR57" s="154"/>
      <c r="CS57" s="154"/>
      <c r="CT57" s="154"/>
      <c r="CU57" s="154"/>
      <c r="CV57" s="154"/>
      <c r="CW57" s="154"/>
      <c r="CX57" s="154"/>
      <c r="CY57" s="154"/>
      <c r="CZ57" s="154"/>
      <c r="DA57" s="154"/>
    </row>
    <row r="58" spans="1:105">
      <c r="CJ58" s="161"/>
      <c r="CK58" s="161"/>
      <c r="CL58" s="161"/>
      <c r="CM58" s="161"/>
      <c r="CN58" s="161"/>
      <c r="CO58" s="161"/>
      <c r="CP58" s="155"/>
      <c r="CQ58" s="155"/>
      <c r="CR58" s="154"/>
      <c r="CS58" s="154"/>
      <c r="CT58" s="154"/>
      <c r="CU58" s="154"/>
      <c r="CV58" s="154"/>
      <c r="CW58" s="154"/>
      <c r="CX58" s="154"/>
      <c r="CY58" s="154"/>
      <c r="CZ58" s="154"/>
      <c r="DA58" s="154"/>
    </row>
    <row r="59" spans="1:105">
      <c r="CJ59" s="161"/>
      <c r="CK59" s="161"/>
      <c r="CL59" s="161"/>
      <c r="CM59" s="161"/>
      <c r="CN59" s="161"/>
      <c r="CO59" s="161"/>
      <c r="CP59" s="155"/>
      <c r="CQ59" s="155"/>
      <c r="CR59" s="154"/>
      <c r="CS59" s="154"/>
      <c r="CT59" s="154"/>
      <c r="CU59" s="154"/>
      <c r="CV59" s="154"/>
      <c r="CW59" s="154"/>
      <c r="CX59" s="154"/>
      <c r="CY59" s="154"/>
      <c r="CZ59" s="154"/>
      <c r="DA59" s="154"/>
    </row>
    <row r="60" spans="1:105">
      <c r="CJ60" s="161"/>
      <c r="CK60" s="161"/>
      <c r="CL60" s="161"/>
      <c r="CM60" s="161"/>
      <c r="CN60" s="161"/>
      <c r="CO60" s="161"/>
      <c r="CP60" s="155"/>
      <c r="CQ60" s="155"/>
      <c r="CR60" s="154"/>
      <c r="CS60" s="154"/>
      <c r="CT60" s="154"/>
      <c r="CU60" s="154"/>
      <c r="CV60" s="154"/>
      <c r="CW60" s="154"/>
      <c r="CX60" s="154"/>
      <c r="CY60" s="154"/>
      <c r="CZ60" s="154"/>
      <c r="DA60" s="154"/>
    </row>
    <row r="61" spans="1:105">
      <c r="CJ61" s="161"/>
      <c r="CK61" s="161"/>
      <c r="CL61" s="161"/>
      <c r="CM61" s="161"/>
      <c r="CN61" s="161"/>
      <c r="CO61" s="161"/>
      <c r="CP61" s="155"/>
      <c r="CQ61" s="155"/>
      <c r="CR61" s="154"/>
      <c r="CS61" s="154"/>
      <c r="CT61" s="154"/>
      <c r="CU61" s="154"/>
      <c r="CV61" s="154"/>
      <c r="CW61" s="154"/>
      <c r="CX61" s="154"/>
      <c r="CY61" s="154"/>
      <c r="CZ61" s="154"/>
      <c r="DA61" s="154"/>
    </row>
    <row r="62" spans="1:105">
      <c r="CJ62" s="161"/>
      <c r="CK62" s="161"/>
      <c r="CL62" s="161"/>
      <c r="CM62" s="161"/>
      <c r="CN62" s="161"/>
      <c r="CO62" s="161"/>
      <c r="CP62" s="155"/>
      <c r="CQ62" s="155"/>
      <c r="CR62" s="154"/>
      <c r="CS62" s="154"/>
      <c r="CT62" s="154"/>
      <c r="CU62" s="154"/>
      <c r="CV62" s="154"/>
      <c r="CW62" s="154"/>
      <c r="CX62" s="154"/>
      <c r="CY62" s="154"/>
      <c r="CZ62" s="154"/>
      <c r="DA62" s="154"/>
    </row>
    <row r="63" spans="1:105">
      <c r="CJ63" s="161"/>
      <c r="CK63" s="161"/>
      <c r="CL63" s="161"/>
      <c r="CM63" s="161"/>
      <c r="CN63" s="161"/>
      <c r="CO63" s="161"/>
      <c r="CP63" s="155"/>
      <c r="CQ63" s="155"/>
      <c r="CR63" s="154"/>
      <c r="CS63" s="154"/>
      <c r="CT63" s="154"/>
      <c r="CU63" s="154"/>
      <c r="CV63" s="154"/>
      <c r="CW63" s="154"/>
      <c r="CX63" s="154"/>
      <c r="CY63" s="154"/>
      <c r="CZ63" s="154"/>
      <c r="DA63" s="154"/>
    </row>
    <row r="64" spans="1:105">
      <c r="CJ64" s="161"/>
      <c r="CK64" s="161"/>
      <c r="CL64" s="161"/>
      <c r="CM64" s="161"/>
      <c r="CN64" s="161"/>
      <c r="CO64" s="161"/>
      <c r="CP64" s="155"/>
      <c r="CQ64" s="155"/>
      <c r="CR64" s="154"/>
      <c r="CS64" s="154"/>
      <c r="CT64" s="154"/>
      <c r="CU64" s="154"/>
      <c r="CV64" s="154"/>
      <c r="CW64" s="154"/>
      <c r="CX64" s="154"/>
      <c r="CY64" s="154"/>
      <c r="CZ64" s="154"/>
      <c r="DA64" s="154"/>
    </row>
    <row r="65" spans="88:105">
      <c r="CJ65" s="161"/>
      <c r="CK65" s="161"/>
      <c r="CL65" s="161"/>
      <c r="CM65" s="161"/>
      <c r="CN65" s="161"/>
      <c r="CO65" s="161"/>
      <c r="CP65" s="155"/>
      <c r="CQ65" s="155"/>
      <c r="CR65" s="154"/>
      <c r="CS65" s="154"/>
      <c r="CT65" s="154"/>
      <c r="CU65" s="154"/>
      <c r="CV65" s="154"/>
      <c r="CW65" s="154"/>
      <c r="CX65" s="154"/>
      <c r="CY65" s="154"/>
      <c r="CZ65" s="154"/>
      <c r="DA65" s="154"/>
    </row>
    <row r="66" spans="88:105">
      <c r="CJ66" s="161"/>
      <c r="CK66" s="161"/>
      <c r="CL66" s="161"/>
      <c r="CM66" s="161"/>
      <c r="CN66" s="161"/>
      <c r="CO66" s="161"/>
      <c r="CP66" s="155"/>
      <c r="CQ66" s="155"/>
      <c r="CR66" s="154"/>
      <c r="CS66" s="154"/>
      <c r="CT66" s="154"/>
      <c r="CU66" s="154"/>
      <c r="CV66" s="154"/>
      <c r="CW66" s="154"/>
      <c r="CX66" s="154"/>
      <c r="CY66" s="154"/>
      <c r="CZ66" s="154"/>
      <c r="DA66" s="154"/>
    </row>
    <row r="67" spans="88:105">
      <c r="CJ67" s="161"/>
      <c r="CK67" s="161"/>
      <c r="CL67" s="161"/>
      <c r="CM67" s="161"/>
      <c r="CN67" s="161"/>
      <c r="CO67" s="161"/>
      <c r="CP67" s="155"/>
      <c r="CQ67" s="155"/>
      <c r="CR67" s="154"/>
      <c r="CS67" s="154"/>
      <c r="CT67" s="154"/>
      <c r="CU67" s="154"/>
      <c r="CV67" s="154"/>
      <c r="CW67" s="154"/>
      <c r="CX67" s="154"/>
      <c r="CY67" s="154"/>
      <c r="CZ67" s="154"/>
      <c r="DA67" s="154"/>
    </row>
    <row r="68" spans="88:105">
      <c r="CJ68" s="161"/>
      <c r="CK68" s="161"/>
      <c r="CL68" s="161"/>
      <c r="CM68" s="161"/>
      <c r="CN68" s="161"/>
      <c r="CO68" s="161"/>
      <c r="CP68" s="155"/>
      <c r="CQ68" s="155"/>
      <c r="CR68" s="154"/>
      <c r="CS68" s="154"/>
      <c r="CT68" s="154"/>
      <c r="CU68" s="154"/>
      <c r="CV68" s="154"/>
      <c r="CW68" s="154"/>
      <c r="CX68" s="154"/>
      <c r="CY68" s="154"/>
      <c r="CZ68" s="154"/>
      <c r="DA68" s="154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abSelected="1" topLeftCell="AY1" zoomScale="40" zoomScaleNormal="40" workbookViewId="0">
      <selection activeCell="AY27" sqref="AY27"/>
    </sheetView>
  </sheetViews>
  <sheetFormatPr baseColWidth="10" defaultColWidth="10.81640625" defaultRowHeight="27.5"/>
  <cols>
    <col min="1" max="1" width="30.54296875" style="150" bestFit="1" customWidth="1"/>
    <col min="2" max="2" width="39.81640625" style="150" bestFit="1" customWidth="1"/>
    <col min="3" max="3" width="27.7265625" style="150" customWidth="1"/>
    <col min="4" max="4" width="33.54296875" style="150" bestFit="1" customWidth="1"/>
    <col min="5" max="5" width="108.1796875" style="150" bestFit="1" customWidth="1"/>
    <col min="6" max="6" width="34.7265625" style="150" bestFit="1" customWidth="1"/>
    <col min="7" max="7" width="108.1796875" style="150" bestFit="1" customWidth="1"/>
    <col min="8" max="8" width="25.453125" style="150" bestFit="1" customWidth="1"/>
    <col min="9" max="9" width="20.54296875" style="150" bestFit="1" customWidth="1"/>
    <col min="10" max="52" width="7.453125" style="150" customWidth="1"/>
    <col min="53" max="53" width="16.26953125" style="168" customWidth="1"/>
    <col min="54" max="54" width="19.453125" style="168" customWidth="1"/>
    <col min="55" max="55" width="18.453125" style="168" customWidth="1"/>
    <col min="56" max="56" width="18.7265625" style="168" customWidth="1"/>
    <col min="57" max="60" width="16.26953125" style="168" customWidth="1"/>
    <col min="61" max="61" width="23.1796875" style="168" customWidth="1"/>
    <col min="62" max="64" width="16.26953125" style="168" customWidth="1"/>
    <col min="65" max="69" width="10.81640625" style="150"/>
    <col min="70" max="72" width="32.453125" style="150" customWidth="1"/>
    <col min="73" max="87" width="10.81640625" style="150"/>
    <col min="88" max="93" width="35.453125" style="162" customWidth="1"/>
    <col min="94" max="105" width="35.453125" style="153" customWidth="1"/>
    <col min="106" max="16384" width="10.81640625" style="150"/>
  </cols>
  <sheetData>
    <row r="1" spans="1:105" s="148" customFormat="1" ht="28">
      <c r="A1" s="184"/>
      <c r="B1" s="185" t="s">
        <v>13</v>
      </c>
      <c r="C1" s="186" t="s">
        <v>276</v>
      </c>
      <c r="D1" s="147"/>
      <c r="E1" s="147"/>
      <c r="F1" s="147"/>
      <c r="G1" s="147"/>
      <c r="H1" s="147"/>
      <c r="I1" s="147"/>
      <c r="BA1" s="147"/>
      <c r="BB1" s="147"/>
      <c r="BC1" s="147"/>
      <c r="BD1" s="147"/>
      <c r="BE1" s="147"/>
      <c r="BF1" s="147"/>
      <c r="BG1" s="147"/>
      <c r="BH1" s="147"/>
      <c r="BI1" s="147"/>
      <c r="BJ1" s="147"/>
      <c r="BK1" s="147"/>
      <c r="BL1" s="147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</row>
    <row r="2" spans="1:105" s="148" customFormat="1" ht="28.5">
      <c r="A2" s="530" t="s">
        <v>1639</v>
      </c>
      <c r="B2" s="530"/>
      <c r="C2" s="187"/>
      <c r="D2" s="147"/>
      <c r="E2" s="147"/>
      <c r="F2" s="147"/>
      <c r="G2" s="147"/>
      <c r="H2" s="147"/>
      <c r="I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CJ2" s="121"/>
      <c r="CK2" s="121"/>
      <c r="CL2" s="121"/>
      <c r="CM2" s="121"/>
      <c r="CN2" s="121"/>
      <c r="CO2" s="121"/>
      <c r="CP2" s="121"/>
      <c r="CQ2" s="121"/>
      <c r="CR2" s="121"/>
      <c r="CS2" s="121"/>
      <c r="CT2" s="121"/>
      <c r="CU2" s="121"/>
      <c r="CV2" s="121"/>
      <c r="CW2" s="121"/>
      <c r="CX2" s="121"/>
      <c r="CY2" s="121"/>
      <c r="CZ2" s="121"/>
      <c r="DA2" s="121"/>
    </row>
    <row r="3" spans="1:105" s="148" customFormat="1" ht="28.5">
      <c r="A3" s="188" t="s">
        <v>282</v>
      </c>
      <c r="B3" s="194"/>
      <c r="C3" s="190"/>
      <c r="D3" s="147"/>
      <c r="E3" s="147"/>
      <c r="F3" s="147"/>
      <c r="G3" s="147"/>
      <c r="H3" s="147"/>
      <c r="I3" s="147"/>
      <c r="BA3" s="147"/>
      <c r="BB3" s="147"/>
      <c r="BC3" s="147"/>
      <c r="BD3" s="147"/>
      <c r="BE3" s="147"/>
      <c r="BF3" s="147"/>
      <c r="BG3" s="147"/>
      <c r="BH3" s="147"/>
      <c r="BI3" s="147"/>
      <c r="BJ3" s="147"/>
      <c r="BK3" s="147"/>
      <c r="BL3" s="147"/>
      <c r="CJ3" s="121"/>
      <c r="CK3" s="121"/>
      <c r="CL3" s="121"/>
      <c r="CM3" s="121"/>
      <c r="CN3" s="121"/>
      <c r="CO3" s="121"/>
      <c r="CP3" s="121"/>
      <c r="CQ3" s="121"/>
      <c r="CR3" s="121"/>
      <c r="CS3" s="121"/>
      <c r="CT3" s="121"/>
      <c r="CU3" s="121"/>
      <c r="CV3" s="121"/>
      <c r="CW3" s="121"/>
      <c r="CX3" s="121"/>
      <c r="CY3" s="121"/>
      <c r="CZ3" s="121"/>
      <c r="DA3" s="121"/>
    </row>
    <row r="4" spans="1:105" s="148" customFormat="1" ht="28.5">
      <c r="A4" s="195" t="s">
        <v>1048</v>
      </c>
      <c r="B4" s="196"/>
      <c r="C4" s="197"/>
      <c r="D4" s="147"/>
      <c r="E4" s="147"/>
      <c r="F4" s="147"/>
      <c r="G4" s="147"/>
      <c r="H4" s="147"/>
      <c r="I4" s="147"/>
      <c r="BA4" s="147"/>
      <c r="BB4" s="147"/>
      <c r="BC4" s="147"/>
      <c r="BD4" s="147"/>
      <c r="BE4" s="147"/>
      <c r="BF4" s="147"/>
      <c r="BG4" s="147"/>
      <c r="BH4" s="147"/>
      <c r="BI4" s="147"/>
      <c r="BJ4" s="147"/>
      <c r="BK4" s="147"/>
      <c r="BL4" s="147"/>
      <c r="CJ4" s="121"/>
      <c r="CK4" s="121"/>
      <c r="CL4" s="121"/>
      <c r="CM4" s="121"/>
      <c r="CN4" s="121"/>
      <c r="CO4" s="121"/>
      <c r="CP4" s="121"/>
      <c r="CQ4" s="121"/>
      <c r="CR4" s="121"/>
      <c r="CS4" s="121"/>
      <c r="CT4" s="121"/>
      <c r="CU4" s="121"/>
      <c r="CV4" s="121"/>
      <c r="CW4" s="121"/>
      <c r="CX4" s="121"/>
      <c r="CY4" s="121"/>
      <c r="CZ4" s="121"/>
      <c r="DA4" s="121"/>
    </row>
    <row r="5" spans="1:105" s="148" customFormat="1" ht="28.5">
      <c r="A5" s="188" t="s">
        <v>284</v>
      </c>
      <c r="B5" s="189"/>
      <c r="C5" s="190"/>
      <c r="D5" s="147"/>
      <c r="E5" s="147"/>
      <c r="F5" s="147"/>
      <c r="G5" s="147"/>
      <c r="H5" s="147"/>
      <c r="I5" s="147"/>
      <c r="BA5" s="147"/>
      <c r="BB5" s="147"/>
      <c r="BC5" s="147"/>
      <c r="BD5" s="147"/>
      <c r="BE5" s="147"/>
      <c r="BF5" s="147"/>
      <c r="BG5" s="147"/>
      <c r="BH5" s="147"/>
      <c r="BI5" s="147"/>
      <c r="BJ5" s="147"/>
      <c r="BK5" s="147"/>
      <c r="BL5" s="147"/>
      <c r="CJ5" s="121"/>
      <c r="CK5" s="121"/>
      <c r="CL5" s="121"/>
      <c r="CM5" s="121"/>
      <c r="CN5" s="121"/>
      <c r="CO5" s="121"/>
      <c r="CP5" s="121"/>
      <c r="CQ5" s="121"/>
      <c r="CR5" s="121"/>
      <c r="CS5" s="121"/>
      <c r="CT5" s="121"/>
      <c r="CU5" s="121"/>
      <c r="CV5" s="121"/>
      <c r="CW5" s="121"/>
      <c r="CX5" s="121"/>
      <c r="CY5" s="121"/>
      <c r="CZ5" s="121"/>
      <c r="DA5" s="121"/>
    </row>
    <row r="6" spans="1:105" s="148" customFormat="1" ht="28.5">
      <c r="A6" s="188" t="s">
        <v>283</v>
      </c>
      <c r="B6" s="189"/>
      <c r="C6" s="190"/>
      <c r="D6" s="147"/>
      <c r="E6" s="147"/>
      <c r="F6" s="147"/>
      <c r="G6" s="147"/>
      <c r="H6" s="147"/>
      <c r="I6" s="147"/>
      <c r="BA6" s="147"/>
      <c r="BB6" s="147"/>
      <c r="BC6" s="147"/>
      <c r="BD6" s="147"/>
      <c r="BE6" s="147"/>
      <c r="BF6" s="147"/>
      <c r="BG6" s="147"/>
      <c r="BH6" s="147"/>
      <c r="BI6" s="147"/>
      <c r="BJ6" s="147"/>
      <c r="BK6" s="147"/>
      <c r="BL6" s="147"/>
      <c r="CJ6" s="121"/>
      <c r="CK6" s="121"/>
      <c r="CL6" s="121"/>
      <c r="CM6" s="121"/>
      <c r="CN6" s="121"/>
      <c r="CO6" s="121"/>
      <c r="CP6" s="121"/>
      <c r="CQ6" s="121"/>
      <c r="CR6" s="121"/>
      <c r="CS6" s="121"/>
      <c r="CT6" s="121"/>
      <c r="CU6" s="121"/>
      <c r="CV6" s="121"/>
      <c r="CW6" s="121"/>
      <c r="CX6" s="121"/>
      <c r="CY6" s="121"/>
      <c r="CZ6" s="121"/>
      <c r="DA6" s="121"/>
    </row>
    <row r="7" spans="1:105" s="148" customFormat="1" ht="28.5">
      <c r="A7" s="188" t="s">
        <v>285</v>
      </c>
      <c r="B7" s="189"/>
      <c r="C7" s="190"/>
      <c r="D7" s="147"/>
      <c r="E7" s="147"/>
      <c r="F7" s="147"/>
      <c r="G7" s="147"/>
      <c r="H7" s="147"/>
      <c r="I7" s="147"/>
      <c r="BA7" s="147"/>
      <c r="BB7" s="147"/>
      <c r="BC7" s="147"/>
      <c r="BD7" s="147"/>
      <c r="BE7" s="147"/>
      <c r="BF7" s="147"/>
      <c r="BG7" s="147"/>
      <c r="BH7" s="147"/>
      <c r="BI7" s="147"/>
      <c r="BJ7" s="147"/>
      <c r="BK7" s="147"/>
      <c r="BL7" s="147"/>
      <c r="CJ7" s="121"/>
      <c r="CK7" s="121"/>
      <c r="CL7" s="121"/>
      <c r="CM7" s="121"/>
      <c r="CN7" s="121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</row>
    <row r="8" spans="1:105" s="148" customFormat="1" ht="28.5">
      <c r="A8" s="191" t="s">
        <v>286</v>
      </c>
      <c r="B8" s="192"/>
      <c r="C8" s="198"/>
      <c r="D8" s="147"/>
      <c r="E8" s="147"/>
      <c r="F8" s="147"/>
      <c r="G8" s="147"/>
      <c r="H8" s="147"/>
      <c r="I8" s="147"/>
      <c r="BA8" s="147"/>
      <c r="BB8" s="147"/>
      <c r="BC8" s="147"/>
      <c r="BD8" s="147"/>
      <c r="BE8" s="147"/>
      <c r="BF8" s="147"/>
      <c r="BG8" s="147"/>
      <c r="BH8" s="147"/>
      <c r="BI8" s="147"/>
      <c r="BJ8" s="147"/>
      <c r="BK8" s="147"/>
      <c r="BL8" s="147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</row>
    <row r="9" spans="1:105" s="148" customFormat="1" ht="28">
      <c r="A9" s="147"/>
      <c r="B9" s="147"/>
      <c r="C9" s="147"/>
      <c r="D9" s="147"/>
      <c r="E9" s="147"/>
      <c r="F9" s="147"/>
      <c r="G9" s="147"/>
      <c r="H9" s="147"/>
      <c r="I9" s="147"/>
      <c r="BA9" s="147"/>
      <c r="BB9" s="147"/>
      <c r="BC9" s="147"/>
      <c r="BD9" s="147"/>
      <c r="BE9" s="147"/>
      <c r="BF9" s="147"/>
      <c r="BG9" s="147"/>
      <c r="BH9" s="147"/>
      <c r="BI9" s="147"/>
      <c r="BJ9" s="147"/>
      <c r="BK9" s="147"/>
      <c r="BL9" s="147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1"/>
      <c r="CY9" s="121"/>
      <c r="CZ9" s="121"/>
      <c r="DA9" s="121"/>
    </row>
    <row r="10" spans="1:105" s="148" customFormat="1" ht="28">
      <c r="A10" s="147"/>
      <c r="B10" s="147"/>
      <c r="C10" s="147"/>
      <c r="D10" s="147"/>
      <c r="E10" s="147"/>
      <c r="F10" s="147"/>
      <c r="G10" s="147"/>
      <c r="H10" s="147"/>
      <c r="I10" s="147"/>
      <c r="BA10" s="147"/>
      <c r="BB10" s="147"/>
      <c r="BC10" s="147"/>
      <c r="BD10" s="147"/>
      <c r="BE10" s="147"/>
      <c r="BF10" s="147"/>
      <c r="BG10" s="147"/>
      <c r="BH10" s="147"/>
      <c r="BI10" s="147"/>
      <c r="BJ10" s="147"/>
      <c r="BK10" s="147"/>
      <c r="BL10" s="147"/>
      <c r="CJ10" s="121"/>
      <c r="CK10" s="121"/>
      <c r="CL10" s="121"/>
      <c r="CM10" s="121"/>
      <c r="CN10" s="121"/>
      <c r="CO10" s="121"/>
      <c r="CP10" s="121"/>
      <c r="CQ10" s="121"/>
      <c r="CR10" s="121"/>
      <c r="CS10" s="121"/>
      <c r="CT10" s="121"/>
      <c r="CU10" s="121"/>
      <c r="CV10" s="121"/>
      <c r="CW10" s="121"/>
      <c r="CX10" s="121"/>
      <c r="CY10" s="121"/>
      <c r="CZ10" s="121"/>
      <c r="DA10" s="121"/>
    </row>
    <row r="11" spans="1:105" s="148" customFormat="1" ht="28">
      <c r="A11" s="147"/>
      <c r="B11" s="147"/>
      <c r="C11" s="147"/>
      <c r="D11" s="147"/>
      <c r="E11" s="147"/>
      <c r="F11" s="147"/>
      <c r="G11" s="147"/>
      <c r="H11" s="147"/>
      <c r="I11" s="147"/>
      <c r="BA11" s="147"/>
      <c r="BB11" s="147"/>
      <c r="BC11" s="147"/>
      <c r="BD11" s="147"/>
      <c r="BE11" s="147"/>
      <c r="BF11" s="147"/>
      <c r="BG11" s="147"/>
      <c r="BH11" s="147"/>
      <c r="BI11" s="147"/>
      <c r="BJ11" s="147"/>
      <c r="BK11" s="147"/>
      <c r="BL11" s="147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1"/>
      <c r="CY11" s="121"/>
      <c r="CZ11" s="121"/>
      <c r="DA11" s="121"/>
    </row>
    <row r="12" spans="1:105" s="148" customFormat="1" ht="28">
      <c r="A12" s="147"/>
      <c r="B12" s="147"/>
      <c r="C12" s="147"/>
      <c r="D12" s="147"/>
      <c r="E12" s="147"/>
      <c r="F12" s="147"/>
      <c r="G12" s="147"/>
      <c r="H12" s="147"/>
      <c r="I12" s="147"/>
      <c r="BA12" s="147"/>
      <c r="BB12" s="147"/>
      <c r="BC12" s="147"/>
      <c r="BD12" s="147"/>
      <c r="BE12" s="147"/>
      <c r="BF12" s="147"/>
      <c r="BG12" s="147"/>
      <c r="BH12" s="147"/>
      <c r="BI12" s="147"/>
      <c r="BJ12" s="147"/>
      <c r="BK12" s="147"/>
      <c r="BL12" s="147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</row>
    <row r="13" spans="1:105" s="148" customFormat="1" ht="20">
      <c r="A13" s="147"/>
      <c r="B13" s="147"/>
      <c r="C13" s="147"/>
      <c r="D13" s="147"/>
      <c r="E13" s="147"/>
      <c r="F13" s="147"/>
      <c r="G13" s="147"/>
      <c r="H13" s="147"/>
      <c r="I13" s="147"/>
      <c r="BA13" s="147"/>
      <c r="BB13" s="147"/>
      <c r="BC13" s="147"/>
      <c r="BD13" s="147"/>
      <c r="BE13" s="147"/>
      <c r="BF13" s="147"/>
      <c r="BG13" s="147"/>
      <c r="BH13" s="147"/>
      <c r="BI13" s="147"/>
      <c r="BJ13" s="147"/>
      <c r="BK13" s="147"/>
      <c r="BL13" s="147"/>
      <c r="CJ13" s="124"/>
      <c r="CK13" s="124"/>
      <c r="CL13" s="124"/>
      <c r="CM13" s="124"/>
      <c r="CN13" s="124"/>
      <c r="CO13" s="124"/>
      <c r="CP13" s="124"/>
      <c r="CQ13" s="124"/>
      <c r="CR13" s="124"/>
      <c r="CS13" s="124"/>
      <c r="CT13" s="124"/>
      <c r="CU13" s="124"/>
      <c r="CV13" s="124"/>
      <c r="CW13" s="124"/>
      <c r="CX13" s="124"/>
      <c r="CY13" s="124"/>
      <c r="CZ13" s="124"/>
      <c r="DA13" s="124"/>
    </row>
    <row r="14" spans="1:105" s="148" customFormat="1" ht="35.15" customHeight="1">
      <c r="A14" s="147"/>
      <c r="B14" s="147"/>
      <c r="C14" s="147"/>
      <c r="D14" s="147"/>
      <c r="E14" s="147"/>
      <c r="F14" s="147"/>
      <c r="G14" s="147"/>
      <c r="H14" s="147"/>
      <c r="I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CJ14" s="523" t="s">
        <v>0</v>
      </c>
      <c r="CK14" s="524"/>
      <c r="CL14" s="524"/>
      <c r="CM14" s="524"/>
      <c r="CN14" s="524"/>
      <c r="CO14" s="524"/>
      <c r="CP14" s="524"/>
      <c r="CQ14" s="524"/>
      <c r="CR14" s="524"/>
      <c r="CS14" s="524"/>
      <c r="CT14" s="524"/>
      <c r="CU14" s="524"/>
      <c r="CV14" s="524"/>
      <c r="CW14" s="524"/>
      <c r="CX14" s="524"/>
      <c r="CY14" s="524"/>
      <c r="CZ14" s="524"/>
      <c r="DA14" s="524"/>
    </row>
    <row r="15" spans="1:105" s="148" customFormat="1" ht="56">
      <c r="A15" s="147"/>
      <c r="B15" s="147"/>
      <c r="C15" s="147"/>
      <c r="D15" s="147"/>
      <c r="E15" s="147"/>
      <c r="F15" s="147"/>
      <c r="G15" s="147"/>
      <c r="H15" s="147"/>
      <c r="I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CJ15" s="206" t="s">
        <v>1</v>
      </c>
      <c r="CK15" s="206"/>
      <c r="CL15" s="206" t="s">
        <v>2</v>
      </c>
      <c r="CM15" s="206"/>
      <c r="CN15" s="206" t="s">
        <v>3</v>
      </c>
      <c r="CO15" s="206"/>
      <c r="CP15" s="206" t="s">
        <v>4</v>
      </c>
      <c r="CQ15" s="206"/>
      <c r="CR15" s="206" t="s">
        <v>5</v>
      </c>
      <c r="CS15" s="206"/>
      <c r="CT15" s="206" t="s">
        <v>6</v>
      </c>
      <c r="CU15" s="206"/>
      <c r="CV15" s="206" t="s">
        <v>7</v>
      </c>
      <c r="CW15" s="206"/>
      <c r="CX15" s="206" t="s">
        <v>8</v>
      </c>
      <c r="CY15" s="206"/>
      <c r="CZ15" s="206" t="s">
        <v>9</v>
      </c>
      <c r="DA15" s="206"/>
    </row>
    <row r="16" spans="1:105" s="148" customFormat="1" ht="56">
      <c r="A16" s="149" t="s">
        <v>10</v>
      </c>
      <c r="B16" s="149" t="s">
        <v>1640</v>
      </c>
      <c r="C16" s="149" t="s">
        <v>14</v>
      </c>
      <c r="D16" s="149" t="s">
        <v>15</v>
      </c>
      <c r="E16" s="149" t="s">
        <v>1641</v>
      </c>
      <c r="F16" s="149" t="s">
        <v>1642</v>
      </c>
      <c r="G16" s="149" t="s">
        <v>1643</v>
      </c>
      <c r="H16" s="149" t="s">
        <v>18</v>
      </c>
      <c r="I16" s="149" t="s">
        <v>19</v>
      </c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  <c r="AD16" s="150"/>
      <c r="AE16" s="150"/>
      <c r="AF16" s="150"/>
      <c r="AG16" s="150"/>
      <c r="AH16" s="150"/>
      <c r="AI16" s="150"/>
      <c r="AJ16" s="150"/>
      <c r="AK16" s="150"/>
      <c r="AL16" s="150"/>
      <c r="AM16" s="150"/>
      <c r="AN16" s="150"/>
      <c r="AO16" s="150"/>
      <c r="AP16" s="150"/>
      <c r="AQ16" s="150"/>
      <c r="AR16" s="150"/>
      <c r="AS16" s="150"/>
      <c r="AT16" s="150"/>
      <c r="AU16" s="150"/>
      <c r="AV16" s="150"/>
      <c r="AW16" s="150"/>
      <c r="AX16" s="150"/>
      <c r="AY16" s="150"/>
      <c r="AZ16" s="150"/>
      <c r="BA16" s="149" t="s">
        <v>40</v>
      </c>
      <c r="BB16" s="149" t="s">
        <v>41</v>
      </c>
      <c r="BC16" s="149" t="s">
        <v>42</v>
      </c>
      <c r="BD16" s="149" t="s">
        <v>43</v>
      </c>
      <c r="BE16" s="149" t="s">
        <v>44</v>
      </c>
      <c r="BF16" s="149" t="s">
        <v>45</v>
      </c>
      <c r="BG16" s="149" t="s">
        <v>46</v>
      </c>
      <c r="BH16" s="1" t="s">
        <v>47</v>
      </c>
      <c r="BI16" s="149" t="s">
        <v>48</v>
      </c>
      <c r="BJ16" s="149" t="s">
        <v>49</v>
      </c>
      <c r="BK16" s="149" t="s">
        <v>13</v>
      </c>
      <c r="BL16" s="149" t="s">
        <v>50</v>
      </c>
      <c r="BM16" s="150"/>
      <c r="BN16" s="150"/>
      <c r="BO16" s="150"/>
      <c r="BP16" s="150"/>
      <c r="BQ16" s="150"/>
      <c r="BR16" s="193" t="s">
        <v>38</v>
      </c>
      <c r="BS16" s="193" t="s">
        <v>39</v>
      </c>
      <c r="BT16" s="193" t="s">
        <v>53</v>
      </c>
      <c r="CJ16" s="207" t="s">
        <v>54</v>
      </c>
      <c r="CK16" s="207" t="s">
        <v>55</v>
      </c>
      <c r="CL16" s="207" t="s">
        <v>54</v>
      </c>
      <c r="CM16" s="207" t="s">
        <v>55</v>
      </c>
      <c r="CN16" s="207" t="s">
        <v>54</v>
      </c>
      <c r="CO16" s="207" t="s">
        <v>55</v>
      </c>
      <c r="CP16" s="207" t="s">
        <v>54</v>
      </c>
      <c r="CQ16" s="207" t="s">
        <v>55</v>
      </c>
      <c r="CR16" s="207" t="s">
        <v>54</v>
      </c>
      <c r="CS16" s="207" t="s">
        <v>55</v>
      </c>
      <c r="CT16" s="207" t="s">
        <v>54</v>
      </c>
      <c r="CU16" s="207" t="s">
        <v>55</v>
      </c>
      <c r="CV16" s="207" t="s">
        <v>54</v>
      </c>
      <c r="CW16" s="207" t="s">
        <v>55</v>
      </c>
      <c r="CX16" s="207" t="s">
        <v>54</v>
      </c>
      <c r="CY16" s="207" t="s">
        <v>55</v>
      </c>
      <c r="CZ16" s="207" t="s">
        <v>54</v>
      </c>
      <c r="DA16" s="207" t="s">
        <v>55</v>
      </c>
    </row>
    <row r="17" spans="1:105" ht="130">
      <c r="A17" s="151">
        <v>1</v>
      </c>
      <c r="B17" s="151" t="s">
        <v>1536</v>
      </c>
      <c r="C17" s="151" t="s">
        <v>57</v>
      </c>
      <c r="D17" s="151" t="s">
        <v>1644</v>
      </c>
      <c r="E17" s="151" t="s">
        <v>1645</v>
      </c>
      <c r="F17" s="151"/>
      <c r="G17" s="151" t="s">
        <v>1645</v>
      </c>
      <c r="H17" s="151" t="s">
        <v>1646</v>
      </c>
      <c r="I17" s="151" t="s">
        <v>1647</v>
      </c>
      <c r="BA17" s="151">
        <v>1</v>
      </c>
      <c r="BB17" s="151">
        <v>1</v>
      </c>
      <c r="BC17" s="151"/>
      <c r="BD17" s="151">
        <v>1</v>
      </c>
      <c r="BE17" s="151"/>
      <c r="BF17" s="151"/>
      <c r="BG17" s="151"/>
      <c r="BH17" s="151"/>
      <c r="BI17" s="151"/>
      <c r="BJ17" s="151">
        <v>9</v>
      </c>
      <c r="BK17" s="151">
        <f t="shared" ref="BK17:BK56" si="0">SUM(BA17:BI17)</f>
        <v>3</v>
      </c>
      <c r="BL17" s="152">
        <f t="shared" ref="BL17:BL56" si="1">+BK17/BJ17</f>
        <v>0.33333333333333331</v>
      </c>
      <c r="BR17" s="52" t="s">
        <v>1648</v>
      </c>
      <c r="BS17" s="52"/>
      <c r="BT17" s="52"/>
      <c r="CJ17" s="208">
        <v>45809</v>
      </c>
      <c r="CK17" s="208">
        <v>45809</v>
      </c>
      <c r="CL17" s="161"/>
      <c r="CM17" s="161"/>
      <c r="CN17" s="161"/>
      <c r="CO17" s="161"/>
      <c r="CP17" s="155"/>
      <c r="CQ17" s="155"/>
      <c r="CR17" s="154"/>
      <c r="CS17" s="154"/>
      <c r="CT17" s="154"/>
      <c r="CU17" s="154"/>
      <c r="CV17" s="154"/>
      <c r="CW17" s="154"/>
      <c r="CX17" s="154"/>
      <c r="CY17" s="154"/>
      <c r="CZ17" s="154"/>
      <c r="DA17" s="154"/>
    </row>
    <row r="18" spans="1:105" ht="41.5" customHeight="1">
      <c r="A18" s="151">
        <v>2</v>
      </c>
      <c r="B18" s="151" t="s">
        <v>1536</v>
      </c>
      <c r="C18" s="151" t="s">
        <v>57</v>
      </c>
      <c r="D18" s="151" t="s">
        <v>1649</v>
      </c>
      <c r="E18" s="151" t="s">
        <v>1650</v>
      </c>
      <c r="F18" s="151"/>
      <c r="G18" s="151" t="s">
        <v>1650</v>
      </c>
      <c r="H18" s="151" t="s">
        <v>1651</v>
      </c>
      <c r="I18" s="151" t="s">
        <v>1647</v>
      </c>
      <c r="BA18" s="151">
        <v>1</v>
      </c>
      <c r="BB18" s="151">
        <v>1</v>
      </c>
      <c r="BC18" s="151"/>
      <c r="BD18" s="151">
        <v>1</v>
      </c>
      <c r="BE18" s="167"/>
      <c r="BF18" s="167"/>
      <c r="BG18" s="167"/>
      <c r="BH18" s="167"/>
      <c r="BI18" s="167"/>
      <c r="BJ18" s="151">
        <v>9</v>
      </c>
      <c r="BK18" s="151">
        <f t="shared" si="0"/>
        <v>3</v>
      </c>
      <c r="BL18" s="152">
        <f t="shared" si="1"/>
        <v>0.33333333333333331</v>
      </c>
      <c r="BR18" s="52" t="s">
        <v>1648</v>
      </c>
      <c r="BS18" s="199"/>
      <c r="BT18" s="199"/>
      <c r="CJ18" s="161"/>
      <c r="CK18" s="161"/>
      <c r="CL18" s="161"/>
      <c r="CM18" s="161"/>
      <c r="CN18" s="161"/>
      <c r="CO18" s="161"/>
      <c r="CP18" s="155"/>
      <c r="CQ18" s="155"/>
      <c r="CR18" s="154"/>
      <c r="CS18" s="154"/>
      <c r="CT18" s="154"/>
      <c r="CU18" s="154"/>
      <c r="CV18" s="154"/>
      <c r="CW18" s="154"/>
      <c r="CX18" s="154"/>
      <c r="CY18" s="154"/>
      <c r="CZ18" s="154"/>
      <c r="DA18" s="154"/>
    </row>
    <row r="19" spans="1:105" ht="41.5" customHeight="1">
      <c r="A19" s="151">
        <v>3</v>
      </c>
      <c r="B19" s="151" t="s">
        <v>1536</v>
      </c>
      <c r="C19" s="151" t="s">
        <v>57</v>
      </c>
      <c r="D19" s="151" t="s">
        <v>1652</v>
      </c>
      <c r="E19" s="151" t="s">
        <v>1653</v>
      </c>
      <c r="F19" s="151"/>
      <c r="G19" s="151" t="s">
        <v>1653</v>
      </c>
      <c r="H19" s="151" t="s">
        <v>663</v>
      </c>
      <c r="I19" s="151" t="s">
        <v>1647</v>
      </c>
      <c r="BA19" s="151">
        <v>1</v>
      </c>
      <c r="BB19" s="151">
        <v>1</v>
      </c>
      <c r="BC19" s="151"/>
      <c r="BD19" s="151">
        <v>1</v>
      </c>
      <c r="BE19" s="151"/>
      <c r="BF19" s="151"/>
      <c r="BG19" s="151"/>
      <c r="BH19" s="151"/>
      <c r="BI19" s="151"/>
      <c r="BJ19" s="151">
        <v>9</v>
      </c>
      <c r="BK19" s="151">
        <f t="shared" si="0"/>
        <v>3</v>
      </c>
      <c r="BL19" s="152">
        <f t="shared" si="1"/>
        <v>0.33333333333333331</v>
      </c>
      <c r="BR19" s="52" t="s">
        <v>1648</v>
      </c>
      <c r="BS19" s="199"/>
      <c r="BT19" s="199"/>
      <c r="CJ19" s="161"/>
      <c r="CK19" s="161"/>
      <c r="CL19" s="161"/>
      <c r="CM19" s="161"/>
      <c r="CN19" s="161"/>
      <c r="CO19" s="161"/>
      <c r="CP19" s="155"/>
      <c r="CQ19" s="155"/>
      <c r="CR19" s="154"/>
      <c r="CS19" s="154"/>
      <c r="CT19" s="154"/>
      <c r="CU19" s="154"/>
      <c r="CV19" s="154"/>
      <c r="CW19" s="154"/>
      <c r="CX19" s="154"/>
      <c r="CY19" s="154"/>
      <c r="CZ19" s="154"/>
      <c r="DA19" s="154"/>
    </row>
    <row r="20" spans="1:105" ht="41.5" customHeight="1">
      <c r="A20" s="151">
        <v>4</v>
      </c>
      <c r="B20" s="151" t="s">
        <v>1536</v>
      </c>
      <c r="C20" s="151" t="s">
        <v>57</v>
      </c>
      <c r="D20" s="151" t="s">
        <v>1654</v>
      </c>
      <c r="E20" s="151" t="s">
        <v>1655</v>
      </c>
      <c r="F20" s="151"/>
      <c r="G20" s="151" t="s">
        <v>1655</v>
      </c>
      <c r="H20" s="151" t="s">
        <v>108</v>
      </c>
      <c r="I20" s="151" t="s">
        <v>1647</v>
      </c>
      <c r="BA20" s="151">
        <v>1</v>
      </c>
      <c r="BB20" s="151">
        <v>1</v>
      </c>
      <c r="BC20" s="151"/>
      <c r="BD20" s="151">
        <v>1</v>
      </c>
      <c r="BE20" s="167"/>
      <c r="BF20" s="167"/>
      <c r="BG20" s="167"/>
      <c r="BH20" s="167"/>
      <c r="BI20" s="167"/>
      <c r="BJ20" s="151">
        <v>9</v>
      </c>
      <c r="BK20" s="151">
        <f t="shared" si="0"/>
        <v>3</v>
      </c>
      <c r="BL20" s="152">
        <f t="shared" si="1"/>
        <v>0.33333333333333331</v>
      </c>
      <c r="BR20" s="52" t="s">
        <v>1648</v>
      </c>
      <c r="BS20" s="199"/>
      <c r="BT20" s="199"/>
      <c r="CJ20" s="161"/>
      <c r="CK20" s="161"/>
      <c r="CL20" s="161"/>
      <c r="CM20" s="161"/>
      <c r="CN20" s="161"/>
      <c r="CO20" s="161"/>
      <c r="CP20" s="155"/>
      <c r="CQ20" s="155"/>
      <c r="CR20" s="154"/>
      <c r="CS20" s="154"/>
      <c r="CT20" s="154"/>
      <c r="CU20" s="154"/>
      <c r="CV20" s="154"/>
      <c r="CW20" s="154"/>
      <c r="CX20" s="154"/>
      <c r="CY20" s="154"/>
      <c r="CZ20" s="154"/>
      <c r="DA20" s="154"/>
    </row>
    <row r="21" spans="1:105" ht="41.5" customHeight="1">
      <c r="A21" s="151">
        <v>5</v>
      </c>
      <c r="B21" s="151" t="s">
        <v>1536</v>
      </c>
      <c r="C21" s="151" t="s">
        <v>57</v>
      </c>
      <c r="D21" s="151" t="s">
        <v>1656</v>
      </c>
      <c r="E21" s="151" t="s">
        <v>1657</v>
      </c>
      <c r="F21" s="151"/>
      <c r="G21" s="151" t="s">
        <v>1657</v>
      </c>
      <c r="H21" s="151" t="s">
        <v>663</v>
      </c>
      <c r="I21" s="151" t="s">
        <v>1647</v>
      </c>
      <c r="BA21" s="151">
        <v>1</v>
      </c>
      <c r="BB21" s="151">
        <v>1</v>
      </c>
      <c r="BC21" s="151"/>
      <c r="BD21" s="151">
        <v>1</v>
      </c>
      <c r="BE21" s="151"/>
      <c r="BF21" s="151"/>
      <c r="BG21" s="151"/>
      <c r="BH21" s="151"/>
      <c r="BI21" s="151"/>
      <c r="BJ21" s="151">
        <v>9</v>
      </c>
      <c r="BK21" s="151">
        <f t="shared" si="0"/>
        <v>3</v>
      </c>
      <c r="BL21" s="152">
        <f t="shared" si="1"/>
        <v>0.33333333333333331</v>
      </c>
      <c r="BR21" s="52" t="s">
        <v>1648</v>
      </c>
      <c r="BS21" s="199"/>
      <c r="BT21" s="199"/>
      <c r="CJ21" s="161"/>
      <c r="CK21" s="161"/>
      <c r="CL21" s="161"/>
      <c r="CM21" s="161"/>
      <c r="CN21" s="161"/>
      <c r="CO21" s="161"/>
      <c r="CP21" s="155"/>
      <c r="CQ21" s="155"/>
      <c r="CR21" s="154"/>
      <c r="CS21" s="154"/>
      <c r="CT21" s="154"/>
      <c r="CU21" s="154"/>
      <c r="CV21" s="154"/>
      <c r="CW21" s="154"/>
      <c r="CX21" s="154"/>
      <c r="CY21" s="154"/>
      <c r="CZ21" s="154"/>
      <c r="DA21" s="154"/>
    </row>
    <row r="22" spans="1:105" ht="41.5" customHeight="1">
      <c r="A22" s="151">
        <v>6</v>
      </c>
      <c r="B22" s="151" t="s">
        <v>1536</v>
      </c>
      <c r="C22" s="151" t="s">
        <v>57</v>
      </c>
      <c r="D22" s="151" t="s">
        <v>1658</v>
      </c>
      <c r="E22" s="151" t="s">
        <v>1659</v>
      </c>
      <c r="F22" s="151"/>
      <c r="G22" s="151" t="s">
        <v>1659</v>
      </c>
      <c r="H22" s="151" t="s">
        <v>1660</v>
      </c>
      <c r="I22" s="151" t="s">
        <v>1647</v>
      </c>
      <c r="BA22" s="151">
        <v>1</v>
      </c>
      <c r="BB22" s="151">
        <v>1</v>
      </c>
      <c r="BC22" s="151"/>
      <c r="BD22" s="151">
        <v>1</v>
      </c>
      <c r="BE22" s="167"/>
      <c r="BF22" s="167"/>
      <c r="BG22" s="167"/>
      <c r="BH22" s="167"/>
      <c r="BI22" s="167"/>
      <c r="BJ22" s="151">
        <v>9</v>
      </c>
      <c r="BK22" s="151">
        <f t="shared" si="0"/>
        <v>3</v>
      </c>
      <c r="BL22" s="152">
        <f t="shared" si="1"/>
        <v>0.33333333333333331</v>
      </c>
      <c r="BR22" s="52" t="s">
        <v>1648</v>
      </c>
      <c r="BS22" s="199"/>
      <c r="BT22" s="199"/>
      <c r="CJ22" s="161"/>
      <c r="CK22" s="161"/>
      <c r="CL22" s="161"/>
      <c r="CM22" s="161"/>
      <c r="CN22" s="161"/>
      <c r="CO22" s="161"/>
      <c r="CP22" s="155"/>
      <c r="CQ22" s="155"/>
      <c r="CR22" s="154"/>
      <c r="CS22" s="154"/>
      <c r="CT22" s="154"/>
      <c r="CU22" s="154"/>
      <c r="CV22" s="154"/>
      <c r="CW22" s="154"/>
      <c r="CX22" s="154"/>
      <c r="CY22" s="154"/>
      <c r="CZ22" s="154"/>
      <c r="DA22" s="154"/>
    </row>
    <row r="23" spans="1:105" ht="41.5" customHeight="1">
      <c r="A23" s="151">
        <v>7</v>
      </c>
      <c r="B23" s="151" t="s">
        <v>1536</v>
      </c>
      <c r="C23" s="151" t="s">
        <v>57</v>
      </c>
      <c r="D23" s="151" t="s">
        <v>1661</v>
      </c>
      <c r="E23" s="151" t="s">
        <v>1662</v>
      </c>
      <c r="F23" s="151"/>
      <c r="G23" s="151" t="s">
        <v>1662</v>
      </c>
      <c r="H23" s="151" t="s">
        <v>1366</v>
      </c>
      <c r="I23" s="151" t="s">
        <v>1647</v>
      </c>
      <c r="BA23" s="151">
        <v>1</v>
      </c>
      <c r="BB23" s="151">
        <v>1</v>
      </c>
      <c r="BC23" s="151"/>
      <c r="BD23" s="151">
        <v>1</v>
      </c>
      <c r="BE23" s="151"/>
      <c r="BF23" s="151"/>
      <c r="BG23" s="151"/>
      <c r="BH23" s="151"/>
      <c r="BI23" s="151"/>
      <c r="BJ23" s="151">
        <v>9</v>
      </c>
      <c r="BK23" s="151">
        <f t="shared" si="0"/>
        <v>3</v>
      </c>
      <c r="BL23" s="152">
        <f t="shared" si="1"/>
        <v>0.33333333333333331</v>
      </c>
      <c r="BR23" s="52" t="s">
        <v>1648</v>
      </c>
      <c r="BS23" s="199"/>
      <c r="BT23" s="199"/>
      <c r="CJ23" s="161"/>
      <c r="CK23" s="161"/>
      <c r="CL23" s="161"/>
      <c r="CM23" s="161"/>
      <c r="CN23" s="161"/>
      <c r="CO23" s="161"/>
      <c r="CP23" s="155"/>
      <c r="CQ23" s="155"/>
      <c r="CR23" s="154"/>
      <c r="CS23" s="154"/>
      <c r="CT23" s="154"/>
      <c r="CU23" s="154"/>
      <c r="CV23" s="154"/>
      <c r="CW23" s="154"/>
      <c r="CX23" s="154"/>
      <c r="CY23" s="154"/>
      <c r="CZ23" s="154"/>
      <c r="DA23" s="154"/>
    </row>
    <row r="24" spans="1:105" ht="41.5" customHeight="1">
      <c r="A24" s="151">
        <v>8</v>
      </c>
      <c r="B24" s="151" t="s">
        <v>1536</v>
      </c>
      <c r="C24" s="151" t="s">
        <v>57</v>
      </c>
      <c r="D24" s="151" t="s">
        <v>1663</v>
      </c>
      <c r="E24" s="151" t="s">
        <v>1664</v>
      </c>
      <c r="F24" s="151"/>
      <c r="G24" s="151" t="s">
        <v>1664</v>
      </c>
      <c r="H24" s="151" t="s">
        <v>308</v>
      </c>
      <c r="I24" s="151" t="s">
        <v>1647</v>
      </c>
      <c r="BA24" s="151">
        <v>1</v>
      </c>
      <c r="BB24" s="151">
        <v>1</v>
      </c>
      <c r="BC24" s="151"/>
      <c r="BD24" s="151">
        <v>1</v>
      </c>
      <c r="BE24" s="167"/>
      <c r="BF24" s="167"/>
      <c r="BG24" s="167"/>
      <c r="BH24" s="167"/>
      <c r="BI24" s="167"/>
      <c r="BJ24" s="151">
        <v>9</v>
      </c>
      <c r="BK24" s="151">
        <f t="shared" si="0"/>
        <v>3</v>
      </c>
      <c r="BL24" s="152">
        <f t="shared" si="1"/>
        <v>0.33333333333333331</v>
      </c>
      <c r="BR24" s="52" t="s">
        <v>1648</v>
      </c>
      <c r="BS24" s="199"/>
      <c r="BT24" s="199"/>
      <c r="CJ24" s="161"/>
      <c r="CK24" s="161"/>
      <c r="CL24" s="161"/>
      <c r="CM24" s="161"/>
      <c r="CN24" s="161"/>
      <c r="CO24" s="161"/>
      <c r="CP24" s="155"/>
      <c r="CQ24" s="155"/>
      <c r="CR24" s="154"/>
      <c r="CS24" s="154"/>
      <c r="CT24" s="154"/>
      <c r="CU24" s="154"/>
      <c r="CV24" s="154"/>
      <c r="CW24" s="154"/>
      <c r="CX24" s="154"/>
      <c r="CY24" s="154"/>
      <c r="CZ24" s="154"/>
      <c r="DA24" s="154"/>
    </row>
    <row r="25" spans="1:105" ht="41.5" customHeight="1">
      <c r="A25" s="151">
        <v>9</v>
      </c>
      <c r="B25" s="151" t="s">
        <v>1536</v>
      </c>
      <c r="C25" s="151" t="s">
        <v>57</v>
      </c>
      <c r="D25" s="151" t="s">
        <v>1665</v>
      </c>
      <c r="E25" s="151" t="s">
        <v>1666</v>
      </c>
      <c r="F25" s="151"/>
      <c r="G25" s="151" t="s">
        <v>1666</v>
      </c>
      <c r="H25" s="151" t="s">
        <v>1651</v>
      </c>
      <c r="I25" s="151" t="s">
        <v>1647</v>
      </c>
      <c r="BA25" s="151">
        <v>1</v>
      </c>
      <c r="BB25" s="151">
        <v>1</v>
      </c>
      <c r="BC25" s="151"/>
      <c r="BD25" s="151">
        <v>1</v>
      </c>
      <c r="BE25" s="151"/>
      <c r="BF25" s="151"/>
      <c r="BG25" s="151"/>
      <c r="BH25" s="151"/>
      <c r="BI25" s="151"/>
      <c r="BJ25" s="151">
        <v>9</v>
      </c>
      <c r="BK25" s="151">
        <f t="shared" si="0"/>
        <v>3</v>
      </c>
      <c r="BL25" s="152">
        <f t="shared" si="1"/>
        <v>0.33333333333333331</v>
      </c>
      <c r="BR25" s="52" t="s">
        <v>1648</v>
      </c>
      <c r="BS25" s="199"/>
      <c r="BT25" s="199"/>
      <c r="CJ25" s="161"/>
      <c r="CK25" s="161"/>
      <c r="CL25" s="161"/>
      <c r="CM25" s="161"/>
      <c r="CN25" s="161"/>
      <c r="CO25" s="161"/>
      <c r="CP25" s="155"/>
      <c r="CQ25" s="155"/>
      <c r="CR25" s="154"/>
      <c r="CS25" s="154"/>
      <c r="CT25" s="154"/>
      <c r="CU25" s="154"/>
      <c r="CV25" s="154"/>
      <c r="CW25" s="154"/>
      <c r="CX25" s="154"/>
      <c r="CY25" s="154"/>
      <c r="CZ25" s="154"/>
      <c r="DA25" s="154"/>
    </row>
    <row r="26" spans="1:105" ht="41.5" customHeight="1">
      <c r="A26" s="151">
        <v>10</v>
      </c>
      <c r="B26" s="151" t="s">
        <v>1536</v>
      </c>
      <c r="C26" s="151" t="s">
        <v>57</v>
      </c>
      <c r="D26" s="151" t="s">
        <v>1667</v>
      </c>
      <c r="E26" s="151" t="s">
        <v>1668</v>
      </c>
      <c r="F26" s="151"/>
      <c r="G26" s="151" t="s">
        <v>1668</v>
      </c>
      <c r="H26" s="151" t="s">
        <v>108</v>
      </c>
      <c r="I26" s="151" t="s">
        <v>1647</v>
      </c>
      <c r="BA26" s="151">
        <v>1</v>
      </c>
      <c r="BB26" s="151">
        <v>1</v>
      </c>
      <c r="BC26" s="151"/>
      <c r="BD26" s="151">
        <v>1</v>
      </c>
      <c r="BE26" s="167"/>
      <c r="BF26" s="167"/>
      <c r="BG26" s="167"/>
      <c r="BH26" s="167"/>
      <c r="BI26" s="167"/>
      <c r="BJ26" s="151">
        <v>9</v>
      </c>
      <c r="BK26" s="151">
        <f t="shared" si="0"/>
        <v>3</v>
      </c>
      <c r="BL26" s="152">
        <f t="shared" si="1"/>
        <v>0.33333333333333331</v>
      </c>
      <c r="BR26" s="52" t="s">
        <v>1648</v>
      </c>
      <c r="BS26" s="199"/>
      <c r="BT26" s="199"/>
      <c r="CJ26" s="161"/>
      <c r="CK26" s="161"/>
      <c r="CL26" s="161"/>
      <c r="CM26" s="161"/>
      <c r="CN26" s="161"/>
      <c r="CO26" s="161"/>
      <c r="CP26" s="155"/>
      <c r="CQ26" s="155"/>
      <c r="CR26" s="154"/>
      <c r="CS26" s="154"/>
      <c r="CT26" s="154"/>
      <c r="CU26" s="154"/>
      <c r="CV26" s="154"/>
      <c r="CW26" s="154"/>
      <c r="CX26" s="154"/>
      <c r="CY26" s="154"/>
      <c r="CZ26" s="154"/>
      <c r="DA26" s="154"/>
    </row>
    <row r="27" spans="1:105" ht="41.5" customHeight="1">
      <c r="A27" s="151">
        <v>11</v>
      </c>
      <c r="B27" s="151" t="s">
        <v>1536</v>
      </c>
      <c r="C27" s="151" t="s">
        <v>57</v>
      </c>
      <c r="D27" s="151" t="s">
        <v>1669</v>
      </c>
      <c r="E27" s="151" t="s">
        <v>1670</v>
      </c>
      <c r="F27" s="151"/>
      <c r="G27" s="151" t="s">
        <v>1670</v>
      </c>
      <c r="H27" s="151" t="s">
        <v>1671</v>
      </c>
      <c r="I27" s="151" t="s">
        <v>1647</v>
      </c>
      <c r="BA27" s="151">
        <v>1</v>
      </c>
      <c r="BB27" s="151">
        <v>1</v>
      </c>
      <c r="BC27" s="151"/>
      <c r="BD27" s="151">
        <v>1</v>
      </c>
      <c r="BE27" s="151"/>
      <c r="BF27" s="151"/>
      <c r="BG27" s="151"/>
      <c r="BH27" s="151"/>
      <c r="BI27" s="151"/>
      <c r="BJ27" s="151">
        <v>9</v>
      </c>
      <c r="BK27" s="151">
        <f t="shared" si="0"/>
        <v>3</v>
      </c>
      <c r="BL27" s="152">
        <f t="shared" si="1"/>
        <v>0.33333333333333331</v>
      </c>
      <c r="BR27" s="52" t="s">
        <v>1648</v>
      </c>
      <c r="BS27" s="199"/>
      <c r="BT27" s="199"/>
      <c r="CJ27" s="161"/>
      <c r="CK27" s="161"/>
      <c r="CL27" s="161"/>
      <c r="CM27" s="161"/>
      <c r="CN27" s="161"/>
      <c r="CO27" s="161"/>
      <c r="CP27" s="155"/>
      <c r="CQ27" s="155"/>
      <c r="CR27" s="154"/>
      <c r="CS27" s="154"/>
      <c r="CT27" s="154"/>
      <c r="CU27" s="154"/>
      <c r="CV27" s="154"/>
      <c r="CW27" s="154"/>
      <c r="CX27" s="154"/>
      <c r="CY27" s="154"/>
      <c r="CZ27" s="154"/>
      <c r="DA27" s="154"/>
    </row>
    <row r="28" spans="1:105" ht="41.5" customHeight="1">
      <c r="A28" s="151">
        <v>12</v>
      </c>
      <c r="B28" s="151" t="s">
        <v>1536</v>
      </c>
      <c r="C28" s="151" t="s">
        <v>57</v>
      </c>
      <c r="D28" s="151" t="s">
        <v>1672</v>
      </c>
      <c r="E28" s="151" t="s">
        <v>1673</v>
      </c>
      <c r="F28" s="151"/>
      <c r="G28" s="151" t="s">
        <v>1673</v>
      </c>
      <c r="H28" s="151" t="s">
        <v>510</v>
      </c>
      <c r="I28" s="151" t="s">
        <v>1647</v>
      </c>
      <c r="BA28" s="151">
        <v>1</v>
      </c>
      <c r="BB28" s="151">
        <v>1</v>
      </c>
      <c r="BC28" s="151"/>
      <c r="BD28" s="151">
        <v>1</v>
      </c>
      <c r="BE28" s="167"/>
      <c r="BF28" s="167"/>
      <c r="BG28" s="167"/>
      <c r="BH28" s="167"/>
      <c r="BI28" s="167"/>
      <c r="BJ28" s="151">
        <v>9</v>
      </c>
      <c r="BK28" s="151">
        <f t="shared" si="0"/>
        <v>3</v>
      </c>
      <c r="BL28" s="152">
        <f t="shared" si="1"/>
        <v>0.33333333333333331</v>
      </c>
      <c r="BR28" s="52" t="s">
        <v>1648</v>
      </c>
      <c r="BS28" s="199"/>
      <c r="BT28" s="199"/>
      <c r="CJ28" s="161"/>
      <c r="CK28" s="161"/>
      <c r="CL28" s="161"/>
      <c r="CM28" s="161"/>
      <c r="CN28" s="161"/>
      <c r="CO28" s="161"/>
      <c r="CP28" s="155"/>
      <c r="CQ28" s="155"/>
      <c r="CR28" s="154"/>
      <c r="CS28" s="154"/>
      <c r="CT28" s="154"/>
      <c r="CU28" s="154"/>
      <c r="CV28" s="154"/>
      <c r="CW28" s="154"/>
      <c r="CX28" s="154"/>
      <c r="CY28" s="154"/>
      <c r="CZ28" s="154"/>
      <c r="DA28" s="154"/>
    </row>
    <row r="29" spans="1:105" ht="41.5" customHeight="1">
      <c r="A29" s="151">
        <v>13</v>
      </c>
      <c r="B29" s="151" t="s">
        <v>1536</v>
      </c>
      <c r="C29" s="151" t="s">
        <v>57</v>
      </c>
      <c r="D29" s="151" t="s">
        <v>1674</v>
      </c>
      <c r="E29" s="151" t="s">
        <v>1675</v>
      </c>
      <c r="F29" s="151"/>
      <c r="G29" s="151" t="s">
        <v>1675</v>
      </c>
      <c r="H29" s="151" t="s">
        <v>510</v>
      </c>
      <c r="I29" s="151" t="s">
        <v>1647</v>
      </c>
      <c r="BA29" s="151">
        <v>1</v>
      </c>
      <c r="BB29" s="151">
        <v>1</v>
      </c>
      <c r="BC29" s="151"/>
      <c r="BD29" s="151">
        <v>1</v>
      </c>
      <c r="BE29" s="151"/>
      <c r="BF29" s="151"/>
      <c r="BG29" s="151"/>
      <c r="BH29" s="151"/>
      <c r="BI29" s="151"/>
      <c r="BJ29" s="151">
        <v>9</v>
      </c>
      <c r="BK29" s="151">
        <f t="shared" si="0"/>
        <v>3</v>
      </c>
      <c r="BL29" s="152">
        <f t="shared" si="1"/>
        <v>0.33333333333333331</v>
      </c>
      <c r="BR29" s="52" t="s">
        <v>1648</v>
      </c>
      <c r="BS29" s="199"/>
      <c r="BT29" s="199"/>
      <c r="CJ29" s="161"/>
      <c r="CK29" s="161"/>
      <c r="CL29" s="161"/>
      <c r="CM29" s="161"/>
      <c r="CN29" s="161"/>
      <c r="CO29" s="161"/>
      <c r="CP29" s="155"/>
      <c r="CQ29" s="155"/>
      <c r="CR29" s="154"/>
      <c r="CS29" s="154"/>
      <c r="CT29" s="154"/>
      <c r="CU29" s="154"/>
      <c r="CV29" s="154"/>
      <c r="CW29" s="154"/>
      <c r="CX29" s="154"/>
      <c r="CY29" s="154"/>
      <c r="CZ29" s="154"/>
      <c r="DA29" s="154"/>
    </row>
    <row r="30" spans="1:105" ht="41.5" customHeight="1">
      <c r="A30" s="151">
        <v>14</v>
      </c>
      <c r="B30" s="151" t="s">
        <v>1536</v>
      </c>
      <c r="C30" s="151" t="s">
        <v>57</v>
      </c>
      <c r="D30" s="151" t="s">
        <v>1676</v>
      </c>
      <c r="E30" s="151" t="s">
        <v>1677</v>
      </c>
      <c r="F30" s="151"/>
      <c r="G30" s="151" t="s">
        <v>1677</v>
      </c>
      <c r="H30" s="151" t="s">
        <v>510</v>
      </c>
      <c r="I30" s="151" t="s">
        <v>1647</v>
      </c>
      <c r="BA30" s="151">
        <v>1</v>
      </c>
      <c r="BB30" s="151">
        <v>1</v>
      </c>
      <c r="BC30" s="151"/>
      <c r="BD30" s="151">
        <v>1</v>
      </c>
      <c r="BE30" s="167"/>
      <c r="BF30" s="167"/>
      <c r="BG30" s="167"/>
      <c r="BH30" s="167"/>
      <c r="BI30" s="167"/>
      <c r="BJ30" s="151">
        <v>9</v>
      </c>
      <c r="BK30" s="151">
        <f t="shared" si="0"/>
        <v>3</v>
      </c>
      <c r="BL30" s="152">
        <f t="shared" si="1"/>
        <v>0.33333333333333331</v>
      </c>
      <c r="BR30" s="52" t="s">
        <v>1648</v>
      </c>
      <c r="BS30" s="199"/>
      <c r="BT30" s="199"/>
      <c r="CJ30" s="161"/>
      <c r="CK30" s="161"/>
      <c r="CL30" s="161"/>
      <c r="CM30" s="161"/>
      <c r="CN30" s="161"/>
      <c r="CO30" s="161"/>
      <c r="CP30" s="155"/>
      <c r="CQ30" s="155"/>
      <c r="CR30" s="154"/>
      <c r="CS30" s="154"/>
      <c r="CT30" s="154"/>
      <c r="CU30" s="154"/>
      <c r="CV30" s="154"/>
      <c r="CW30" s="154"/>
      <c r="CX30" s="154"/>
      <c r="CY30" s="154"/>
      <c r="CZ30" s="154"/>
      <c r="DA30" s="154"/>
    </row>
    <row r="31" spans="1:105" ht="41.5" customHeight="1">
      <c r="A31" s="151">
        <v>15</v>
      </c>
      <c r="B31" s="151" t="s">
        <v>1536</v>
      </c>
      <c r="C31" s="151" t="s">
        <v>57</v>
      </c>
      <c r="D31" s="151" t="s">
        <v>1678</v>
      </c>
      <c r="E31" s="151" t="s">
        <v>1679</v>
      </c>
      <c r="F31" s="151"/>
      <c r="G31" s="151" t="s">
        <v>1679</v>
      </c>
      <c r="H31" s="151" t="s">
        <v>510</v>
      </c>
      <c r="I31" s="151" t="s">
        <v>1647</v>
      </c>
      <c r="BA31" s="151">
        <v>1</v>
      </c>
      <c r="BB31" s="151">
        <v>1</v>
      </c>
      <c r="BC31" s="151"/>
      <c r="BD31" s="151">
        <v>1</v>
      </c>
      <c r="BE31" s="151"/>
      <c r="BF31" s="151"/>
      <c r="BG31" s="151"/>
      <c r="BH31" s="151"/>
      <c r="BI31" s="151"/>
      <c r="BJ31" s="151">
        <v>9</v>
      </c>
      <c r="BK31" s="151">
        <f t="shared" si="0"/>
        <v>3</v>
      </c>
      <c r="BL31" s="152">
        <f t="shared" si="1"/>
        <v>0.33333333333333331</v>
      </c>
      <c r="BR31" s="52" t="s">
        <v>1648</v>
      </c>
      <c r="BS31" s="199"/>
      <c r="BT31" s="199"/>
      <c r="CJ31" s="161"/>
      <c r="CK31" s="161"/>
      <c r="CL31" s="161"/>
      <c r="CM31" s="161"/>
      <c r="CN31" s="161"/>
      <c r="CO31" s="161"/>
      <c r="CP31" s="155"/>
      <c r="CQ31" s="155"/>
      <c r="CR31" s="154"/>
      <c r="CS31" s="154"/>
      <c r="CT31" s="154"/>
      <c r="CU31" s="154"/>
      <c r="CV31" s="154"/>
      <c r="CW31" s="154"/>
      <c r="CX31" s="154"/>
      <c r="CY31" s="154"/>
      <c r="CZ31" s="154"/>
      <c r="DA31" s="154"/>
    </row>
    <row r="32" spans="1:105" ht="41.5" customHeight="1">
      <c r="A32" s="151">
        <v>16</v>
      </c>
      <c r="B32" s="151" t="s">
        <v>1536</v>
      </c>
      <c r="C32" s="151" t="s">
        <v>57</v>
      </c>
      <c r="D32" s="151" t="s">
        <v>1680</v>
      </c>
      <c r="E32" s="151" t="s">
        <v>1681</v>
      </c>
      <c r="F32" s="151"/>
      <c r="G32" s="151" t="s">
        <v>1681</v>
      </c>
      <c r="H32" s="151" t="s">
        <v>510</v>
      </c>
      <c r="I32" s="151" t="s">
        <v>1647</v>
      </c>
      <c r="BA32" s="151">
        <v>1</v>
      </c>
      <c r="BB32" s="151">
        <v>1</v>
      </c>
      <c r="BC32" s="151"/>
      <c r="BD32" s="151">
        <v>1</v>
      </c>
      <c r="BE32" s="167"/>
      <c r="BF32" s="167"/>
      <c r="BG32" s="167"/>
      <c r="BH32" s="167"/>
      <c r="BI32" s="167"/>
      <c r="BJ32" s="151">
        <v>9</v>
      </c>
      <c r="BK32" s="151">
        <f t="shared" si="0"/>
        <v>3</v>
      </c>
      <c r="BL32" s="152">
        <f t="shared" si="1"/>
        <v>0.33333333333333331</v>
      </c>
      <c r="BR32" s="52" t="s">
        <v>1648</v>
      </c>
      <c r="BS32" s="199"/>
      <c r="BT32" s="199"/>
      <c r="CJ32" s="161"/>
      <c r="CK32" s="161"/>
      <c r="CL32" s="161"/>
      <c r="CM32" s="161"/>
      <c r="CN32" s="161"/>
      <c r="CO32" s="161"/>
      <c r="CP32" s="155"/>
      <c r="CQ32" s="155"/>
      <c r="CR32" s="154"/>
      <c r="CS32" s="154"/>
      <c r="CT32" s="154"/>
      <c r="CU32" s="154"/>
      <c r="CV32" s="154"/>
      <c r="CW32" s="154"/>
      <c r="CX32" s="154"/>
      <c r="CY32" s="154"/>
      <c r="CZ32" s="154"/>
      <c r="DA32" s="154"/>
    </row>
    <row r="33" spans="1:105" ht="41.5" customHeight="1">
      <c r="A33" s="151">
        <v>17</v>
      </c>
      <c r="B33" s="151" t="s">
        <v>1536</v>
      </c>
      <c r="C33" s="151" t="s">
        <v>57</v>
      </c>
      <c r="D33" s="151" t="s">
        <v>1682</v>
      </c>
      <c r="E33" s="151" t="s">
        <v>1683</v>
      </c>
      <c r="F33" s="151"/>
      <c r="G33" s="151" t="s">
        <v>1683</v>
      </c>
      <c r="H33" s="151" t="s">
        <v>510</v>
      </c>
      <c r="I33" s="151" t="s">
        <v>1647</v>
      </c>
      <c r="BA33" s="151">
        <v>1</v>
      </c>
      <c r="BB33" s="151">
        <v>1</v>
      </c>
      <c r="BC33" s="151"/>
      <c r="BD33" s="151">
        <v>1</v>
      </c>
      <c r="BE33" s="151"/>
      <c r="BF33" s="151"/>
      <c r="BG33" s="151"/>
      <c r="BH33" s="151"/>
      <c r="BI33" s="151"/>
      <c r="BJ33" s="151">
        <v>9</v>
      </c>
      <c r="BK33" s="151">
        <f t="shared" si="0"/>
        <v>3</v>
      </c>
      <c r="BL33" s="152">
        <f t="shared" si="1"/>
        <v>0.33333333333333331</v>
      </c>
      <c r="BR33" s="52" t="s">
        <v>1648</v>
      </c>
      <c r="BS33" s="199"/>
      <c r="BT33" s="199"/>
      <c r="CJ33" s="161"/>
      <c r="CK33" s="161"/>
      <c r="CL33" s="161"/>
      <c r="CM33" s="161"/>
      <c r="CN33" s="161"/>
      <c r="CO33" s="161"/>
      <c r="CP33" s="155"/>
      <c r="CQ33" s="155"/>
      <c r="CR33" s="154"/>
      <c r="CS33" s="154"/>
      <c r="CT33" s="154"/>
      <c r="CU33" s="154"/>
      <c r="CV33" s="154"/>
      <c r="CW33" s="154"/>
      <c r="CX33" s="154"/>
      <c r="CY33" s="154"/>
      <c r="CZ33" s="154"/>
      <c r="DA33" s="154"/>
    </row>
    <row r="34" spans="1:105" ht="41.5" customHeight="1">
      <c r="A34" s="151">
        <v>18</v>
      </c>
      <c r="B34" s="151" t="s">
        <v>1536</v>
      </c>
      <c r="C34" s="151" t="s">
        <v>57</v>
      </c>
      <c r="D34" s="151" t="s">
        <v>1684</v>
      </c>
      <c r="E34" s="151" t="s">
        <v>1685</v>
      </c>
      <c r="F34" s="151"/>
      <c r="G34" s="151" t="s">
        <v>1685</v>
      </c>
      <c r="H34" s="151" t="s">
        <v>510</v>
      </c>
      <c r="I34" s="151" t="s">
        <v>1647</v>
      </c>
      <c r="BA34" s="151">
        <v>1</v>
      </c>
      <c r="BB34" s="151">
        <v>1</v>
      </c>
      <c r="BC34" s="151"/>
      <c r="BD34" s="151">
        <v>1</v>
      </c>
      <c r="BE34" s="167"/>
      <c r="BF34" s="167"/>
      <c r="BG34" s="167"/>
      <c r="BH34" s="167"/>
      <c r="BI34" s="167"/>
      <c r="BJ34" s="151">
        <v>9</v>
      </c>
      <c r="BK34" s="151">
        <f t="shared" si="0"/>
        <v>3</v>
      </c>
      <c r="BL34" s="152">
        <f t="shared" si="1"/>
        <v>0.33333333333333331</v>
      </c>
      <c r="BR34" s="52" t="s">
        <v>1648</v>
      </c>
      <c r="BS34" s="199"/>
      <c r="BT34" s="199"/>
      <c r="CJ34" s="161"/>
      <c r="CK34" s="161"/>
      <c r="CL34" s="161"/>
      <c r="CM34" s="161"/>
      <c r="CN34" s="161"/>
      <c r="CO34" s="161"/>
      <c r="CP34" s="155"/>
      <c r="CQ34" s="155"/>
      <c r="CR34" s="154"/>
      <c r="CS34" s="154"/>
      <c r="CT34" s="154"/>
      <c r="CU34" s="154"/>
      <c r="CV34" s="154"/>
      <c r="CW34" s="154"/>
      <c r="CX34" s="154"/>
      <c r="CY34" s="154"/>
      <c r="CZ34" s="154"/>
      <c r="DA34" s="154"/>
    </row>
    <row r="35" spans="1:105" ht="41.5" customHeight="1">
      <c r="A35" s="151">
        <v>19</v>
      </c>
      <c r="B35" s="151" t="s">
        <v>1536</v>
      </c>
      <c r="C35" s="151" t="s">
        <v>57</v>
      </c>
      <c r="D35" s="151" t="s">
        <v>1686</v>
      </c>
      <c r="E35" s="151" t="s">
        <v>1687</v>
      </c>
      <c r="F35" s="151"/>
      <c r="G35" s="151" t="s">
        <v>1687</v>
      </c>
      <c r="H35" s="151" t="s">
        <v>510</v>
      </c>
      <c r="I35" s="151" t="s">
        <v>1647</v>
      </c>
      <c r="BA35" s="151">
        <v>1</v>
      </c>
      <c r="BB35" s="151">
        <v>1</v>
      </c>
      <c r="BC35" s="151"/>
      <c r="BD35" s="151">
        <v>1</v>
      </c>
      <c r="BE35" s="151"/>
      <c r="BF35" s="151"/>
      <c r="BG35" s="151"/>
      <c r="BH35" s="151"/>
      <c r="BI35" s="151"/>
      <c r="BJ35" s="151">
        <v>9</v>
      </c>
      <c r="BK35" s="151">
        <f t="shared" si="0"/>
        <v>3</v>
      </c>
      <c r="BL35" s="152">
        <f t="shared" si="1"/>
        <v>0.33333333333333331</v>
      </c>
      <c r="BR35" s="52" t="s">
        <v>1648</v>
      </c>
      <c r="BS35" s="199"/>
      <c r="BT35" s="199"/>
      <c r="CJ35" s="161"/>
      <c r="CK35" s="161"/>
      <c r="CL35" s="161"/>
      <c r="CM35" s="161"/>
      <c r="CN35" s="161"/>
      <c r="CO35" s="161"/>
      <c r="CP35" s="155"/>
      <c r="CQ35" s="155"/>
      <c r="CR35" s="154"/>
      <c r="CS35" s="154"/>
      <c r="CT35" s="154"/>
      <c r="CU35" s="154"/>
      <c r="CV35" s="154"/>
      <c r="CW35" s="154"/>
      <c r="CX35" s="154"/>
      <c r="CY35" s="154"/>
      <c r="CZ35" s="154"/>
      <c r="DA35" s="154"/>
    </row>
    <row r="36" spans="1:105" ht="41.5" customHeight="1">
      <c r="A36" s="151">
        <v>20</v>
      </c>
      <c r="B36" s="151" t="s">
        <v>1536</v>
      </c>
      <c r="C36" s="151" t="s">
        <v>57</v>
      </c>
      <c r="D36" s="151" t="s">
        <v>1688</v>
      </c>
      <c r="E36" s="151" t="s">
        <v>1689</v>
      </c>
      <c r="F36" s="151"/>
      <c r="G36" s="151" t="s">
        <v>1689</v>
      </c>
      <c r="H36" s="151" t="s">
        <v>510</v>
      </c>
      <c r="I36" s="151" t="s">
        <v>1647</v>
      </c>
      <c r="BA36" s="151">
        <v>1</v>
      </c>
      <c r="BB36" s="151">
        <v>1</v>
      </c>
      <c r="BC36" s="151"/>
      <c r="BD36" s="151">
        <v>1</v>
      </c>
      <c r="BE36" s="167"/>
      <c r="BF36" s="167"/>
      <c r="BG36" s="167"/>
      <c r="BH36" s="167"/>
      <c r="BI36" s="167"/>
      <c r="BJ36" s="151">
        <v>9</v>
      </c>
      <c r="BK36" s="151">
        <f t="shared" si="0"/>
        <v>3</v>
      </c>
      <c r="BL36" s="152">
        <f t="shared" si="1"/>
        <v>0.33333333333333331</v>
      </c>
      <c r="BR36" s="52" t="s">
        <v>1648</v>
      </c>
      <c r="BS36" s="199"/>
      <c r="BT36" s="199"/>
      <c r="CJ36" s="161"/>
      <c r="CK36" s="161"/>
      <c r="CL36" s="161"/>
      <c r="CM36" s="161"/>
      <c r="CN36" s="161"/>
      <c r="CO36" s="161"/>
      <c r="CP36" s="155"/>
      <c r="CQ36" s="155"/>
      <c r="CR36" s="154"/>
      <c r="CS36" s="154"/>
      <c r="CT36" s="154"/>
      <c r="CU36" s="154"/>
      <c r="CV36" s="154"/>
      <c r="CW36" s="154"/>
      <c r="CX36" s="154"/>
      <c r="CY36" s="154"/>
      <c r="CZ36" s="154"/>
      <c r="DA36" s="154"/>
    </row>
    <row r="37" spans="1:105" ht="41.5" customHeight="1">
      <c r="A37" s="151">
        <v>21</v>
      </c>
      <c r="B37" s="151" t="s">
        <v>1536</v>
      </c>
      <c r="C37" s="151" t="s">
        <v>57</v>
      </c>
      <c r="D37" s="151" t="s">
        <v>1690</v>
      </c>
      <c r="E37" s="151" t="s">
        <v>1691</v>
      </c>
      <c r="F37" s="151"/>
      <c r="G37" s="151" t="s">
        <v>1691</v>
      </c>
      <c r="H37" s="151"/>
      <c r="I37" s="151" t="s">
        <v>1647</v>
      </c>
      <c r="BA37" s="151">
        <v>1</v>
      </c>
      <c r="BB37" s="151">
        <v>1</v>
      </c>
      <c r="BC37" s="151"/>
      <c r="BD37" s="151">
        <v>1</v>
      </c>
      <c r="BE37" s="151"/>
      <c r="BF37" s="151"/>
      <c r="BG37" s="151"/>
      <c r="BH37" s="151"/>
      <c r="BI37" s="151"/>
      <c r="BJ37" s="151">
        <v>9</v>
      </c>
      <c r="BK37" s="151">
        <f t="shared" si="0"/>
        <v>3</v>
      </c>
      <c r="BL37" s="152">
        <f t="shared" si="1"/>
        <v>0.33333333333333331</v>
      </c>
      <c r="BR37" s="52" t="s">
        <v>1648</v>
      </c>
      <c r="BS37" s="199"/>
      <c r="BT37" s="199"/>
      <c r="CJ37" s="161"/>
      <c r="CK37" s="161"/>
      <c r="CL37" s="161"/>
      <c r="CM37" s="161"/>
      <c r="CN37" s="161"/>
      <c r="CO37" s="161"/>
      <c r="CP37" s="155"/>
      <c r="CQ37" s="155"/>
      <c r="CR37" s="154"/>
      <c r="CS37" s="154"/>
      <c r="CT37" s="154"/>
      <c r="CU37" s="154"/>
      <c r="CV37" s="154"/>
      <c r="CW37" s="154"/>
      <c r="CX37" s="154"/>
      <c r="CY37" s="154"/>
      <c r="CZ37" s="154"/>
      <c r="DA37" s="154"/>
    </row>
    <row r="38" spans="1:105" ht="41.5" customHeight="1">
      <c r="A38" s="151">
        <v>22</v>
      </c>
      <c r="B38" s="151" t="s">
        <v>1536</v>
      </c>
      <c r="C38" s="151" t="s">
        <v>57</v>
      </c>
      <c r="D38" s="151" t="s">
        <v>1692</v>
      </c>
      <c r="E38" s="151" t="s">
        <v>1693</v>
      </c>
      <c r="F38" s="151"/>
      <c r="G38" s="151" t="s">
        <v>1693</v>
      </c>
      <c r="H38" s="151"/>
      <c r="I38" s="151" t="s">
        <v>1647</v>
      </c>
      <c r="BA38" s="151">
        <v>1</v>
      </c>
      <c r="BB38" s="151">
        <v>1</v>
      </c>
      <c r="BC38" s="151"/>
      <c r="BD38" s="151">
        <v>1</v>
      </c>
      <c r="BE38" s="167"/>
      <c r="BF38" s="167"/>
      <c r="BG38" s="167"/>
      <c r="BH38" s="167"/>
      <c r="BI38" s="167"/>
      <c r="BJ38" s="151">
        <v>9</v>
      </c>
      <c r="BK38" s="151">
        <f t="shared" si="0"/>
        <v>3</v>
      </c>
      <c r="BL38" s="152">
        <f t="shared" si="1"/>
        <v>0.33333333333333331</v>
      </c>
      <c r="BR38" s="52" t="s">
        <v>1648</v>
      </c>
      <c r="BS38" s="199"/>
      <c r="BT38" s="199"/>
      <c r="CJ38" s="161"/>
      <c r="CK38" s="161"/>
      <c r="CL38" s="161"/>
      <c r="CM38" s="161"/>
      <c r="CN38" s="161"/>
      <c r="CO38" s="161"/>
      <c r="CP38" s="155"/>
      <c r="CQ38" s="155"/>
      <c r="CR38" s="154"/>
      <c r="CS38" s="154"/>
      <c r="CT38" s="154"/>
      <c r="CU38" s="154"/>
      <c r="CV38" s="154"/>
      <c r="CW38" s="154"/>
      <c r="CX38" s="154"/>
      <c r="CY38" s="154"/>
      <c r="CZ38" s="154"/>
      <c r="DA38" s="154"/>
    </row>
    <row r="39" spans="1:105" ht="41.5" customHeight="1">
      <c r="A39" s="151">
        <v>23</v>
      </c>
      <c r="B39" s="151" t="s">
        <v>1536</v>
      </c>
      <c r="C39" s="151" t="s">
        <v>57</v>
      </c>
      <c r="D39" s="151" t="s">
        <v>1694</v>
      </c>
      <c r="E39" s="151" t="s">
        <v>1695</v>
      </c>
      <c r="F39" s="151"/>
      <c r="G39" s="151" t="s">
        <v>1695</v>
      </c>
      <c r="H39" s="151" t="s">
        <v>108</v>
      </c>
      <c r="I39" s="151" t="s">
        <v>1696</v>
      </c>
      <c r="BA39" s="151">
        <v>1</v>
      </c>
      <c r="BB39" s="151">
        <v>1</v>
      </c>
      <c r="BC39" s="151"/>
      <c r="BD39" s="151">
        <v>1</v>
      </c>
      <c r="BE39" s="151"/>
      <c r="BF39" s="151"/>
      <c r="BG39" s="151"/>
      <c r="BH39" s="151"/>
      <c r="BI39" s="151"/>
      <c r="BJ39" s="151">
        <v>9</v>
      </c>
      <c r="BK39" s="151">
        <f t="shared" si="0"/>
        <v>3</v>
      </c>
      <c r="BL39" s="152">
        <f t="shared" si="1"/>
        <v>0.33333333333333331</v>
      </c>
      <c r="BR39" s="52" t="s">
        <v>1648</v>
      </c>
      <c r="BS39" s="199"/>
      <c r="BT39" s="199"/>
      <c r="CJ39" s="161"/>
      <c r="CK39" s="161"/>
      <c r="CL39" s="161"/>
      <c r="CM39" s="161"/>
      <c r="CN39" s="161"/>
      <c r="CO39" s="161"/>
      <c r="CP39" s="155"/>
      <c r="CQ39" s="155"/>
      <c r="CR39" s="154"/>
      <c r="CS39" s="154"/>
      <c r="CT39" s="154"/>
      <c r="CU39" s="154"/>
      <c r="CV39" s="154"/>
      <c r="CW39" s="154"/>
      <c r="CX39" s="154"/>
      <c r="CY39" s="154"/>
      <c r="CZ39" s="154"/>
      <c r="DA39" s="154"/>
    </row>
    <row r="40" spans="1:105" ht="41.5" customHeight="1">
      <c r="A40" s="151">
        <v>24</v>
      </c>
      <c r="B40" s="151" t="s">
        <v>1536</v>
      </c>
      <c r="C40" s="151" t="s">
        <v>57</v>
      </c>
      <c r="D40" s="151" t="s">
        <v>1697</v>
      </c>
      <c r="E40" s="151" t="s">
        <v>1698</v>
      </c>
      <c r="F40" s="151"/>
      <c r="G40" s="151" t="s">
        <v>1698</v>
      </c>
      <c r="H40" s="151" t="s">
        <v>61</v>
      </c>
      <c r="I40" s="151" t="s">
        <v>1696</v>
      </c>
      <c r="BA40" s="151">
        <v>1</v>
      </c>
      <c r="BB40" s="151">
        <v>1</v>
      </c>
      <c r="BC40" s="151"/>
      <c r="BD40" s="151">
        <v>1</v>
      </c>
      <c r="BE40" s="167"/>
      <c r="BF40" s="167"/>
      <c r="BG40" s="167"/>
      <c r="BH40" s="167"/>
      <c r="BI40" s="167"/>
      <c r="BJ40" s="151">
        <v>9</v>
      </c>
      <c r="BK40" s="151">
        <f t="shared" si="0"/>
        <v>3</v>
      </c>
      <c r="BL40" s="152">
        <f t="shared" si="1"/>
        <v>0.33333333333333331</v>
      </c>
      <c r="BR40" s="52" t="s">
        <v>1648</v>
      </c>
      <c r="BS40" s="199"/>
      <c r="BT40" s="199"/>
      <c r="CJ40" s="161"/>
      <c r="CK40" s="161"/>
      <c r="CL40" s="161"/>
      <c r="CM40" s="161"/>
      <c r="CN40" s="161"/>
      <c r="CO40" s="161"/>
      <c r="CP40" s="155"/>
      <c r="CQ40" s="155"/>
      <c r="CR40" s="154"/>
      <c r="CS40" s="154"/>
      <c r="CT40" s="154"/>
      <c r="CU40" s="154"/>
      <c r="CV40" s="154"/>
      <c r="CW40" s="154"/>
      <c r="CX40" s="154"/>
      <c r="CY40" s="154"/>
      <c r="CZ40" s="154"/>
      <c r="DA40" s="154"/>
    </row>
    <row r="41" spans="1:105" ht="41.5" customHeight="1">
      <c r="A41" s="151">
        <v>25</v>
      </c>
      <c r="B41" s="151" t="s">
        <v>1536</v>
      </c>
      <c r="C41" s="151" t="s">
        <v>57</v>
      </c>
      <c r="D41" s="151" t="s">
        <v>1699</v>
      </c>
      <c r="E41" s="151" t="s">
        <v>1700</v>
      </c>
      <c r="F41" s="151"/>
      <c r="G41" s="151" t="s">
        <v>1700</v>
      </c>
      <c r="H41" s="151" t="s">
        <v>510</v>
      </c>
      <c r="I41" s="151" t="s">
        <v>1696</v>
      </c>
      <c r="BA41" s="151">
        <v>1</v>
      </c>
      <c r="BB41" s="151">
        <v>1</v>
      </c>
      <c r="BC41" s="151"/>
      <c r="BD41" s="151">
        <v>1</v>
      </c>
      <c r="BE41" s="151"/>
      <c r="BF41" s="151"/>
      <c r="BG41" s="151"/>
      <c r="BH41" s="151"/>
      <c r="BI41" s="151"/>
      <c r="BJ41" s="151">
        <v>9</v>
      </c>
      <c r="BK41" s="151">
        <f t="shared" si="0"/>
        <v>3</v>
      </c>
      <c r="BL41" s="152">
        <f t="shared" si="1"/>
        <v>0.33333333333333331</v>
      </c>
      <c r="BR41" s="52" t="s">
        <v>1648</v>
      </c>
      <c r="BS41" s="199"/>
      <c r="BT41" s="199"/>
      <c r="CJ41" s="161"/>
      <c r="CK41" s="161"/>
      <c r="CL41" s="161"/>
      <c r="CM41" s="161"/>
      <c r="CN41" s="161"/>
      <c r="CO41" s="161"/>
      <c r="CP41" s="155"/>
      <c r="CQ41" s="155"/>
      <c r="CR41" s="154"/>
      <c r="CS41" s="154"/>
      <c r="CT41" s="154"/>
      <c r="CU41" s="154"/>
      <c r="CV41" s="154"/>
      <c r="CW41" s="154"/>
      <c r="CX41" s="154"/>
      <c r="CY41" s="154"/>
      <c r="CZ41" s="154"/>
      <c r="DA41" s="154"/>
    </row>
    <row r="42" spans="1:105" ht="41.5" customHeight="1">
      <c r="A42" s="151">
        <v>26</v>
      </c>
      <c r="B42" s="151" t="s">
        <v>1536</v>
      </c>
      <c r="C42" s="151" t="s">
        <v>57</v>
      </c>
      <c r="D42" s="151" t="s">
        <v>1701</v>
      </c>
      <c r="E42" s="151" t="s">
        <v>1702</v>
      </c>
      <c r="F42" s="151"/>
      <c r="G42" s="151" t="s">
        <v>1702</v>
      </c>
      <c r="H42" s="151" t="s">
        <v>663</v>
      </c>
      <c r="I42" s="151" t="s">
        <v>1696</v>
      </c>
      <c r="BA42" s="151">
        <v>1</v>
      </c>
      <c r="BB42" s="151">
        <v>1</v>
      </c>
      <c r="BC42" s="151"/>
      <c r="BD42" s="151">
        <v>1</v>
      </c>
      <c r="BE42" s="167"/>
      <c r="BF42" s="167"/>
      <c r="BG42" s="167"/>
      <c r="BH42" s="167"/>
      <c r="BI42" s="167"/>
      <c r="BJ42" s="151">
        <v>9</v>
      </c>
      <c r="BK42" s="151">
        <f t="shared" si="0"/>
        <v>3</v>
      </c>
      <c r="BL42" s="152">
        <f t="shared" si="1"/>
        <v>0.33333333333333331</v>
      </c>
      <c r="BR42" s="52" t="s">
        <v>1648</v>
      </c>
      <c r="BS42" s="199"/>
      <c r="BT42" s="199"/>
      <c r="CJ42" s="161"/>
      <c r="CK42" s="161"/>
      <c r="CL42" s="161"/>
      <c r="CM42" s="161"/>
      <c r="CN42" s="161"/>
      <c r="CO42" s="161"/>
      <c r="CP42" s="155"/>
      <c r="CQ42" s="155"/>
      <c r="CR42" s="154"/>
      <c r="CS42" s="154"/>
      <c r="CT42" s="154"/>
      <c r="CU42" s="154"/>
      <c r="CV42" s="154"/>
      <c r="CW42" s="154"/>
      <c r="CX42" s="154"/>
      <c r="CY42" s="154"/>
      <c r="CZ42" s="154"/>
      <c r="DA42" s="154"/>
    </row>
    <row r="43" spans="1:105" ht="41.5" customHeight="1">
      <c r="A43" s="151">
        <v>27</v>
      </c>
      <c r="B43" s="151" t="s">
        <v>1536</v>
      </c>
      <c r="C43" s="151" t="s">
        <v>57</v>
      </c>
      <c r="D43" s="151" t="s">
        <v>1703</v>
      </c>
      <c r="E43" s="151" t="s">
        <v>1704</v>
      </c>
      <c r="F43" s="151"/>
      <c r="G43" s="151" t="s">
        <v>1704</v>
      </c>
      <c r="H43" s="151" t="s">
        <v>1705</v>
      </c>
      <c r="I43" s="151" t="s">
        <v>1696</v>
      </c>
      <c r="BA43" s="151">
        <v>1</v>
      </c>
      <c r="BB43" s="151">
        <v>1</v>
      </c>
      <c r="BC43" s="151"/>
      <c r="BD43" s="151">
        <v>1</v>
      </c>
      <c r="BE43" s="151"/>
      <c r="BF43" s="151"/>
      <c r="BG43" s="151"/>
      <c r="BH43" s="151"/>
      <c r="BI43" s="151"/>
      <c r="BJ43" s="151">
        <v>9</v>
      </c>
      <c r="BK43" s="151">
        <f t="shared" si="0"/>
        <v>3</v>
      </c>
      <c r="BL43" s="152">
        <f t="shared" si="1"/>
        <v>0.33333333333333331</v>
      </c>
      <c r="BR43" s="52" t="s">
        <v>1648</v>
      </c>
      <c r="BS43" s="199"/>
      <c r="BT43" s="199"/>
      <c r="CJ43" s="161"/>
      <c r="CK43" s="161"/>
      <c r="CL43" s="161"/>
      <c r="CM43" s="161"/>
      <c r="CN43" s="161"/>
      <c r="CO43" s="161"/>
      <c r="CP43" s="155"/>
      <c r="CQ43" s="155"/>
      <c r="CR43" s="154"/>
      <c r="CS43" s="154"/>
      <c r="CT43" s="154"/>
      <c r="CU43" s="154"/>
      <c r="CV43" s="154"/>
      <c r="CW43" s="154"/>
      <c r="CX43" s="154"/>
      <c r="CY43" s="154"/>
      <c r="CZ43" s="154"/>
      <c r="DA43" s="154"/>
    </row>
    <row r="44" spans="1:105" ht="41.5" customHeight="1">
      <c r="A44" s="151">
        <v>28</v>
      </c>
      <c r="B44" s="151" t="s">
        <v>1536</v>
      </c>
      <c r="C44" s="151" t="s">
        <v>57</v>
      </c>
      <c r="D44" s="151" t="s">
        <v>1706</v>
      </c>
      <c r="E44" s="151" t="s">
        <v>1707</v>
      </c>
      <c r="F44" s="151"/>
      <c r="G44" s="151" t="s">
        <v>1707</v>
      </c>
      <c r="H44" s="151" t="s">
        <v>1708</v>
      </c>
      <c r="I44" s="151" t="s">
        <v>1696</v>
      </c>
      <c r="BA44" s="151">
        <v>1</v>
      </c>
      <c r="BB44" s="151">
        <v>1</v>
      </c>
      <c r="BC44" s="151"/>
      <c r="BD44" s="151">
        <v>1</v>
      </c>
      <c r="BE44" s="167"/>
      <c r="BF44" s="167"/>
      <c r="BG44" s="167"/>
      <c r="BH44" s="167"/>
      <c r="BI44" s="167"/>
      <c r="BJ44" s="151">
        <v>9</v>
      </c>
      <c r="BK44" s="151">
        <f t="shared" si="0"/>
        <v>3</v>
      </c>
      <c r="BL44" s="152">
        <f t="shared" si="1"/>
        <v>0.33333333333333331</v>
      </c>
      <c r="BR44" s="52" t="s">
        <v>1648</v>
      </c>
      <c r="BS44" s="199"/>
      <c r="BT44" s="199"/>
      <c r="CJ44" s="161"/>
      <c r="CK44" s="161"/>
      <c r="CL44" s="161"/>
      <c r="CM44" s="161"/>
      <c r="CN44" s="161"/>
      <c r="CO44" s="161"/>
      <c r="CP44" s="155"/>
      <c r="CQ44" s="155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</row>
    <row r="45" spans="1:105" ht="41.5" customHeight="1">
      <c r="A45" s="151">
        <v>29</v>
      </c>
      <c r="B45" s="151" t="s">
        <v>1536</v>
      </c>
      <c r="C45" s="151" t="s">
        <v>57</v>
      </c>
      <c r="D45" s="151" t="s">
        <v>1709</v>
      </c>
      <c r="E45" s="151" t="s">
        <v>1710</v>
      </c>
      <c r="F45" s="151"/>
      <c r="G45" s="151" t="s">
        <v>1710</v>
      </c>
      <c r="H45" s="151" t="s">
        <v>61</v>
      </c>
      <c r="I45" s="151" t="s">
        <v>1696</v>
      </c>
      <c r="BA45" s="151">
        <v>1</v>
      </c>
      <c r="BB45" s="151">
        <v>1</v>
      </c>
      <c r="BC45" s="151"/>
      <c r="BD45" s="151">
        <v>1</v>
      </c>
      <c r="BE45" s="151"/>
      <c r="BF45" s="151"/>
      <c r="BG45" s="151"/>
      <c r="BH45" s="151"/>
      <c r="BI45" s="151"/>
      <c r="BJ45" s="151">
        <v>9</v>
      </c>
      <c r="BK45" s="151">
        <f t="shared" si="0"/>
        <v>3</v>
      </c>
      <c r="BL45" s="152">
        <f t="shared" si="1"/>
        <v>0.33333333333333331</v>
      </c>
      <c r="BR45" s="52" t="s">
        <v>1648</v>
      </c>
      <c r="BS45" s="199"/>
      <c r="BT45" s="199"/>
      <c r="CJ45" s="161"/>
      <c r="CK45" s="161"/>
      <c r="CL45" s="161"/>
      <c r="CM45" s="161"/>
      <c r="CN45" s="161"/>
      <c r="CO45" s="161"/>
      <c r="CP45" s="155"/>
      <c r="CQ45" s="155"/>
      <c r="CR45" s="154"/>
      <c r="CS45" s="154"/>
      <c r="CT45" s="154"/>
      <c r="CU45" s="154"/>
      <c r="CV45" s="154"/>
      <c r="CW45" s="154"/>
      <c r="CX45" s="154"/>
      <c r="CY45" s="154"/>
      <c r="CZ45" s="154"/>
      <c r="DA45" s="154"/>
    </row>
    <row r="46" spans="1:105" ht="41.5" customHeight="1">
      <c r="A46" s="151">
        <v>30</v>
      </c>
      <c r="B46" s="151" t="s">
        <v>1536</v>
      </c>
      <c r="C46" s="151" t="s">
        <v>57</v>
      </c>
      <c r="D46" s="151" t="s">
        <v>1711</v>
      </c>
      <c r="E46" s="151" t="s">
        <v>1712</v>
      </c>
      <c r="F46" s="151"/>
      <c r="G46" s="151" t="s">
        <v>1712</v>
      </c>
      <c r="H46" s="151" t="s">
        <v>61</v>
      </c>
      <c r="I46" s="151" t="s">
        <v>1696</v>
      </c>
      <c r="BA46" s="151">
        <v>1</v>
      </c>
      <c r="BB46" s="151">
        <v>1</v>
      </c>
      <c r="BC46" s="151"/>
      <c r="BD46" s="151">
        <v>1</v>
      </c>
      <c r="BE46" s="167"/>
      <c r="BF46" s="167"/>
      <c r="BG46" s="167"/>
      <c r="BH46" s="167"/>
      <c r="BI46" s="167"/>
      <c r="BJ46" s="151">
        <v>9</v>
      </c>
      <c r="BK46" s="151">
        <f t="shared" si="0"/>
        <v>3</v>
      </c>
      <c r="BL46" s="152">
        <f t="shared" si="1"/>
        <v>0.33333333333333331</v>
      </c>
      <c r="BR46" s="52" t="s">
        <v>1648</v>
      </c>
      <c r="BS46" s="199"/>
      <c r="BT46" s="199"/>
      <c r="CJ46" s="161"/>
      <c r="CK46" s="161"/>
      <c r="CL46" s="161"/>
      <c r="CM46" s="161"/>
      <c r="CN46" s="161"/>
      <c r="CO46" s="161"/>
      <c r="CP46" s="155"/>
      <c r="CQ46" s="155"/>
      <c r="CR46" s="154"/>
      <c r="CS46" s="154"/>
      <c r="CT46" s="154"/>
      <c r="CU46" s="154"/>
      <c r="CV46" s="154"/>
      <c r="CW46" s="154"/>
      <c r="CX46" s="154"/>
      <c r="CY46" s="154"/>
      <c r="CZ46" s="154"/>
      <c r="DA46" s="154"/>
    </row>
    <row r="47" spans="1:105" ht="41.5" customHeight="1">
      <c r="A47" s="151">
        <v>31</v>
      </c>
      <c r="B47" s="151" t="s">
        <v>1536</v>
      </c>
      <c r="C47" s="151" t="s">
        <v>57</v>
      </c>
      <c r="D47" s="151" t="s">
        <v>1713</v>
      </c>
      <c r="E47" s="151" t="s">
        <v>1714</v>
      </c>
      <c r="F47" s="151"/>
      <c r="G47" s="151" t="s">
        <v>1714</v>
      </c>
      <c r="H47" s="151" t="s">
        <v>308</v>
      </c>
      <c r="I47" s="151" t="s">
        <v>1696</v>
      </c>
      <c r="BA47" s="151">
        <v>1</v>
      </c>
      <c r="BB47" s="151">
        <v>1</v>
      </c>
      <c r="BC47" s="151"/>
      <c r="BD47" s="151">
        <v>1</v>
      </c>
      <c r="BE47" s="151"/>
      <c r="BF47" s="151"/>
      <c r="BG47" s="151"/>
      <c r="BH47" s="151"/>
      <c r="BI47" s="151"/>
      <c r="BJ47" s="151">
        <v>9</v>
      </c>
      <c r="BK47" s="151">
        <f t="shared" si="0"/>
        <v>3</v>
      </c>
      <c r="BL47" s="152">
        <f t="shared" si="1"/>
        <v>0.33333333333333331</v>
      </c>
      <c r="BR47" s="52" t="s">
        <v>1648</v>
      </c>
      <c r="BS47" s="199"/>
      <c r="BT47" s="199"/>
      <c r="CJ47" s="161"/>
      <c r="CK47" s="161"/>
      <c r="CL47" s="161"/>
      <c r="CM47" s="161"/>
      <c r="CN47" s="161"/>
      <c r="CO47" s="161"/>
      <c r="CP47" s="155"/>
      <c r="CQ47" s="155"/>
      <c r="CR47" s="154"/>
      <c r="CS47" s="154"/>
      <c r="CT47" s="154"/>
      <c r="CU47" s="154"/>
      <c r="CV47" s="154"/>
      <c r="CW47" s="154"/>
      <c r="CX47" s="154"/>
      <c r="CY47" s="154"/>
      <c r="CZ47" s="154"/>
      <c r="DA47" s="154"/>
    </row>
    <row r="48" spans="1:105" ht="41.5" customHeight="1">
      <c r="A48" s="151">
        <v>32</v>
      </c>
      <c r="B48" s="151" t="s">
        <v>1536</v>
      </c>
      <c r="C48" s="151" t="s">
        <v>57</v>
      </c>
      <c r="D48" s="151" t="s">
        <v>1715</v>
      </c>
      <c r="E48" s="151" t="s">
        <v>1716</v>
      </c>
      <c r="F48" s="151"/>
      <c r="G48" s="151" t="s">
        <v>1716</v>
      </c>
      <c r="H48" s="151" t="s">
        <v>517</v>
      </c>
      <c r="I48" s="151" t="s">
        <v>1696</v>
      </c>
      <c r="BA48" s="151">
        <v>1</v>
      </c>
      <c r="BB48" s="151">
        <v>1</v>
      </c>
      <c r="BC48" s="151"/>
      <c r="BD48" s="151">
        <v>1</v>
      </c>
      <c r="BE48" s="167"/>
      <c r="BF48" s="167"/>
      <c r="BG48" s="167"/>
      <c r="BH48" s="167"/>
      <c r="BI48" s="167"/>
      <c r="BJ48" s="151">
        <v>9</v>
      </c>
      <c r="BK48" s="151">
        <f t="shared" si="0"/>
        <v>3</v>
      </c>
      <c r="BL48" s="152">
        <f t="shared" si="1"/>
        <v>0.33333333333333331</v>
      </c>
      <c r="BR48" s="52" t="s">
        <v>1648</v>
      </c>
      <c r="BS48" s="199"/>
      <c r="BT48" s="199"/>
      <c r="CJ48" s="161"/>
      <c r="CK48" s="161"/>
      <c r="CL48" s="161"/>
      <c r="CM48" s="161"/>
      <c r="CN48" s="161"/>
      <c r="CO48" s="161"/>
      <c r="CP48" s="155"/>
      <c r="CQ48" s="155"/>
      <c r="CR48" s="154"/>
      <c r="CS48" s="154"/>
      <c r="CT48" s="154"/>
      <c r="CU48" s="154"/>
      <c r="CV48" s="154"/>
      <c r="CW48" s="154"/>
      <c r="CX48" s="154"/>
      <c r="CY48" s="154"/>
      <c r="CZ48" s="154"/>
      <c r="DA48" s="154"/>
    </row>
    <row r="49" spans="1:105" ht="41.5" customHeight="1">
      <c r="A49" s="151">
        <v>33</v>
      </c>
      <c r="B49" s="151" t="s">
        <v>1536</v>
      </c>
      <c r="C49" s="151" t="s">
        <v>57</v>
      </c>
      <c r="D49" s="151" t="s">
        <v>1717</v>
      </c>
      <c r="E49" s="151" t="s">
        <v>1718</v>
      </c>
      <c r="F49" s="151"/>
      <c r="G49" s="151" t="s">
        <v>1718</v>
      </c>
      <c r="H49" s="151" t="s">
        <v>510</v>
      </c>
      <c r="I49" s="151" t="s">
        <v>1696</v>
      </c>
      <c r="BA49" s="151">
        <v>1</v>
      </c>
      <c r="BB49" s="151">
        <v>1</v>
      </c>
      <c r="BC49" s="151"/>
      <c r="BD49" s="151">
        <v>1</v>
      </c>
      <c r="BE49" s="151"/>
      <c r="BF49" s="151"/>
      <c r="BG49" s="151"/>
      <c r="BH49" s="151"/>
      <c r="BI49" s="151"/>
      <c r="BJ49" s="151">
        <v>9</v>
      </c>
      <c r="BK49" s="151">
        <f t="shared" si="0"/>
        <v>3</v>
      </c>
      <c r="BL49" s="152">
        <f t="shared" si="1"/>
        <v>0.33333333333333331</v>
      </c>
      <c r="BR49" s="52" t="s">
        <v>1648</v>
      </c>
      <c r="BS49" s="199"/>
      <c r="BT49" s="199"/>
      <c r="CJ49" s="161"/>
      <c r="CK49" s="161"/>
      <c r="CL49" s="161"/>
      <c r="CM49" s="161"/>
      <c r="CN49" s="161"/>
      <c r="CO49" s="161"/>
      <c r="CP49" s="155"/>
      <c r="CQ49" s="155"/>
      <c r="CR49" s="154"/>
      <c r="CS49" s="154"/>
      <c r="CT49" s="154"/>
      <c r="CU49" s="154"/>
      <c r="CV49" s="154"/>
      <c r="CW49" s="154"/>
      <c r="CX49" s="154"/>
      <c r="CY49" s="154"/>
      <c r="CZ49" s="154"/>
      <c r="DA49" s="154"/>
    </row>
    <row r="50" spans="1:105" ht="41.5" customHeight="1">
      <c r="A50" s="151">
        <v>34</v>
      </c>
      <c r="B50" s="151" t="s">
        <v>1536</v>
      </c>
      <c r="C50" s="151" t="s">
        <v>57</v>
      </c>
      <c r="D50" s="151" t="s">
        <v>1719</v>
      </c>
      <c r="E50" s="151" t="s">
        <v>1720</v>
      </c>
      <c r="F50" s="151"/>
      <c r="G50" s="151" t="s">
        <v>1720</v>
      </c>
      <c r="H50" s="151" t="s">
        <v>108</v>
      </c>
      <c r="I50" s="151" t="s">
        <v>1696</v>
      </c>
      <c r="BA50" s="151">
        <v>1</v>
      </c>
      <c r="BB50" s="151">
        <v>1</v>
      </c>
      <c r="BC50" s="151"/>
      <c r="BD50" s="151">
        <v>1</v>
      </c>
      <c r="BE50" s="167"/>
      <c r="BF50" s="167"/>
      <c r="BG50" s="167"/>
      <c r="BH50" s="167"/>
      <c r="BI50" s="167"/>
      <c r="BJ50" s="151">
        <v>9</v>
      </c>
      <c r="BK50" s="151">
        <f t="shared" si="0"/>
        <v>3</v>
      </c>
      <c r="BL50" s="152">
        <f t="shared" si="1"/>
        <v>0.33333333333333331</v>
      </c>
      <c r="BR50" s="52" t="s">
        <v>1648</v>
      </c>
      <c r="BS50" s="199"/>
      <c r="BT50" s="199"/>
      <c r="CJ50" s="161"/>
      <c r="CK50" s="161"/>
      <c r="CL50" s="161"/>
      <c r="CM50" s="161"/>
      <c r="CN50" s="161"/>
      <c r="CO50" s="161"/>
      <c r="CP50" s="155"/>
      <c r="CQ50" s="155"/>
      <c r="CR50" s="154"/>
      <c r="CS50" s="154"/>
      <c r="CT50" s="154"/>
      <c r="CU50" s="154"/>
      <c r="CV50" s="154"/>
      <c r="CW50" s="154"/>
      <c r="CX50" s="154"/>
      <c r="CY50" s="154"/>
      <c r="CZ50" s="154"/>
      <c r="DA50" s="154"/>
    </row>
    <row r="51" spans="1:105" ht="41.5" customHeight="1">
      <c r="A51" s="151">
        <v>35</v>
      </c>
      <c r="B51" s="151" t="s">
        <v>1536</v>
      </c>
      <c r="C51" s="151" t="s">
        <v>57</v>
      </c>
      <c r="D51" s="151" t="s">
        <v>1721</v>
      </c>
      <c r="E51" s="151" t="s">
        <v>1722</v>
      </c>
      <c r="F51" s="151"/>
      <c r="G51" s="151" t="s">
        <v>1722</v>
      </c>
      <c r="H51" s="151" t="s">
        <v>1723</v>
      </c>
      <c r="I51" s="151" t="s">
        <v>1696</v>
      </c>
      <c r="BA51" s="151">
        <v>1</v>
      </c>
      <c r="BB51" s="151">
        <v>1</v>
      </c>
      <c r="BC51" s="151"/>
      <c r="BD51" s="151">
        <v>1</v>
      </c>
      <c r="BE51" s="151"/>
      <c r="BF51" s="151"/>
      <c r="BG51" s="151"/>
      <c r="BH51" s="151"/>
      <c r="BI51" s="151"/>
      <c r="BJ51" s="151">
        <v>9</v>
      </c>
      <c r="BK51" s="151">
        <f t="shared" si="0"/>
        <v>3</v>
      </c>
      <c r="BL51" s="152">
        <f t="shared" si="1"/>
        <v>0.33333333333333331</v>
      </c>
      <c r="BR51" s="52" t="s">
        <v>1648</v>
      </c>
      <c r="BS51" s="199"/>
      <c r="BT51" s="199"/>
      <c r="CJ51" s="161"/>
      <c r="CK51" s="161"/>
      <c r="CL51" s="161"/>
      <c r="CM51" s="161"/>
      <c r="CN51" s="161"/>
      <c r="CO51" s="161"/>
      <c r="CP51" s="155"/>
      <c r="CQ51" s="155"/>
      <c r="CR51" s="154"/>
      <c r="CS51" s="154"/>
      <c r="CT51" s="154"/>
      <c r="CU51" s="154"/>
      <c r="CV51" s="154"/>
      <c r="CW51" s="154"/>
      <c r="CX51" s="154"/>
      <c r="CY51" s="154"/>
      <c r="CZ51" s="154"/>
      <c r="DA51" s="154"/>
    </row>
    <row r="52" spans="1:105" ht="41.5" customHeight="1">
      <c r="A52" s="151">
        <v>36</v>
      </c>
      <c r="B52" s="151" t="s">
        <v>1536</v>
      </c>
      <c r="C52" s="151" t="s">
        <v>57</v>
      </c>
      <c r="D52" s="151" t="s">
        <v>1724</v>
      </c>
      <c r="E52" s="151" t="s">
        <v>1725</v>
      </c>
      <c r="F52" s="151"/>
      <c r="G52" s="151" t="s">
        <v>1725</v>
      </c>
      <c r="H52" s="151" t="s">
        <v>1726</v>
      </c>
      <c r="I52" s="151" t="s">
        <v>1696</v>
      </c>
      <c r="BA52" s="151">
        <v>1</v>
      </c>
      <c r="BB52" s="151">
        <v>1</v>
      </c>
      <c r="BC52" s="151"/>
      <c r="BD52" s="151">
        <v>1</v>
      </c>
      <c r="BE52" s="167"/>
      <c r="BF52" s="167"/>
      <c r="BG52" s="167"/>
      <c r="BH52" s="167"/>
      <c r="BI52" s="167"/>
      <c r="BJ52" s="151">
        <v>9</v>
      </c>
      <c r="BK52" s="151">
        <f t="shared" si="0"/>
        <v>3</v>
      </c>
      <c r="BL52" s="152">
        <f t="shared" si="1"/>
        <v>0.33333333333333331</v>
      </c>
      <c r="BR52" s="52" t="s">
        <v>1648</v>
      </c>
      <c r="BS52" s="199"/>
      <c r="BT52" s="199"/>
      <c r="CJ52" s="161"/>
      <c r="CK52" s="161"/>
      <c r="CL52" s="161"/>
      <c r="CM52" s="161"/>
      <c r="CN52" s="161"/>
      <c r="CO52" s="161"/>
      <c r="CP52" s="155"/>
      <c r="CQ52" s="155"/>
      <c r="CR52" s="154"/>
      <c r="CS52" s="154"/>
      <c r="CT52" s="154"/>
      <c r="CU52" s="154"/>
      <c r="CV52" s="154"/>
      <c r="CW52" s="154"/>
      <c r="CX52" s="154"/>
      <c r="CY52" s="154"/>
      <c r="CZ52" s="154"/>
      <c r="DA52" s="154"/>
    </row>
    <row r="53" spans="1:105" ht="41.5" customHeight="1">
      <c r="A53" s="151">
        <v>37</v>
      </c>
      <c r="B53" s="151" t="s">
        <v>1536</v>
      </c>
      <c r="C53" s="151" t="s">
        <v>57</v>
      </c>
      <c r="D53" s="151" t="s">
        <v>1727</v>
      </c>
      <c r="E53" s="151" t="s">
        <v>1728</v>
      </c>
      <c r="F53" s="151"/>
      <c r="G53" s="151" t="s">
        <v>1728</v>
      </c>
      <c r="H53" s="151" t="s">
        <v>61</v>
      </c>
      <c r="I53" s="151" t="s">
        <v>1696</v>
      </c>
      <c r="BA53" s="151">
        <v>1</v>
      </c>
      <c r="BB53" s="151">
        <v>1</v>
      </c>
      <c r="BC53" s="151"/>
      <c r="BD53" s="151">
        <v>1</v>
      </c>
      <c r="BE53" s="151"/>
      <c r="BF53" s="151"/>
      <c r="BG53" s="151"/>
      <c r="BH53" s="151"/>
      <c r="BI53" s="151"/>
      <c r="BJ53" s="151">
        <v>9</v>
      </c>
      <c r="BK53" s="151">
        <f t="shared" si="0"/>
        <v>3</v>
      </c>
      <c r="BL53" s="152">
        <f t="shared" si="1"/>
        <v>0.33333333333333331</v>
      </c>
      <c r="BR53" s="52" t="s">
        <v>1648</v>
      </c>
      <c r="BS53" s="199"/>
      <c r="BT53" s="199"/>
      <c r="CJ53" s="161"/>
      <c r="CK53" s="161"/>
      <c r="CL53" s="161"/>
      <c r="CM53" s="161"/>
      <c r="CN53" s="161"/>
      <c r="CO53" s="161"/>
      <c r="CP53" s="155"/>
      <c r="CQ53" s="155"/>
      <c r="CR53" s="154"/>
      <c r="CS53" s="154"/>
      <c r="CT53" s="154"/>
      <c r="CU53" s="154"/>
      <c r="CV53" s="154"/>
      <c r="CW53" s="154"/>
      <c r="CX53" s="154"/>
      <c r="CY53" s="154"/>
      <c r="CZ53" s="154"/>
      <c r="DA53" s="154"/>
    </row>
    <row r="54" spans="1:105" ht="41.5" customHeight="1">
      <c r="A54" s="151">
        <v>38</v>
      </c>
      <c r="B54" s="151" t="s">
        <v>1536</v>
      </c>
      <c r="C54" s="151" t="s">
        <v>57</v>
      </c>
      <c r="D54" s="151" t="s">
        <v>1729</v>
      </c>
      <c r="E54" s="151" t="s">
        <v>1730</v>
      </c>
      <c r="F54" s="151"/>
      <c r="G54" s="151" t="s">
        <v>1730</v>
      </c>
      <c r="H54" s="151" t="s">
        <v>1660</v>
      </c>
      <c r="I54" s="151" t="s">
        <v>1696</v>
      </c>
      <c r="BA54" s="151">
        <v>1</v>
      </c>
      <c r="BB54" s="151">
        <v>1</v>
      </c>
      <c r="BC54" s="151"/>
      <c r="BD54" s="151">
        <v>1</v>
      </c>
      <c r="BE54" s="167"/>
      <c r="BF54" s="167"/>
      <c r="BG54" s="167"/>
      <c r="BH54" s="167"/>
      <c r="BI54" s="167"/>
      <c r="BJ54" s="151">
        <v>9</v>
      </c>
      <c r="BK54" s="151">
        <f t="shared" si="0"/>
        <v>3</v>
      </c>
      <c r="BL54" s="152">
        <f t="shared" si="1"/>
        <v>0.33333333333333331</v>
      </c>
      <c r="BR54" s="52" t="s">
        <v>1648</v>
      </c>
      <c r="BS54" s="199"/>
      <c r="BT54" s="199"/>
      <c r="CJ54" s="161"/>
      <c r="CK54" s="161"/>
      <c r="CL54" s="161"/>
      <c r="CM54" s="161"/>
      <c r="CN54" s="161"/>
      <c r="CO54" s="161"/>
      <c r="CP54" s="155"/>
      <c r="CQ54" s="155"/>
      <c r="CR54" s="154"/>
      <c r="CS54" s="154"/>
      <c r="CT54" s="154"/>
      <c r="CU54" s="154"/>
      <c r="CV54" s="154"/>
      <c r="CW54" s="154"/>
      <c r="CX54" s="154"/>
      <c r="CY54" s="154"/>
      <c r="CZ54" s="154"/>
      <c r="DA54" s="154"/>
    </row>
    <row r="55" spans="1:105" ht="41.5" customHeight="1">
      <c r="A55" s="151">
        <v>39</v>
      </c>
      <c r="B55" s="151" t="s">
        <v>1536</v>
      </c>
      <c r="C55" s="151" t="s">
        <v>57</v>
      </c>
      <c r="D55" s="151" t="s">
        <v>1731</v>
      </c>
      <c r="E55" s="151" t="s">
        <v>1732</v>
      </c>
      <c r="F55" s="151"/>
      <c r="G55" s="151" t="s">
        <v>1732</v>
      </c>
      <c r="H55" s="151" t="s">
        <v>1733</v>
      </c>
      <c r="I55" s="151" t="s">
        <v>1696</v>
      </c>
      <c r="BA55" s="151">
        <v>1</v>
      </c>
      <c r="BB55" s="151">
        <v>1</v>
      </c>
      <c r="BC55" s="151"/>
      <c r="BD55" s="151">
        <v>1</v>
      </c>
      <c r="BE55" s="151"/>
      <c r="BF55" s="151"/>
      <c r="BG55" s="151"/>
      <c r="BH55" s="151"/>
      <c r="BI55" s="151"/>
      <c r="BJ55" s="151">
        <v>9</v>
      </c>
      <c r="BK55" s="151">
        <f t="shared" si="0"/>
        <v>3</v>
      </c>
      <c r="BL55" s="152">
        <f t="shared" si="1"/>
        <v>0.33333333333333331</v>
      </c>
      <c r="BR55" s="52" t="s">
        <v>1648</v>
      </c>
      <c r="BS55" s="199"/>
      <c r="BT55" s="199"/>
      <c r="CJ55" s="161"/>
      <c r="CK55" s="161"/>
      <c r="CL55" s="161"/>
      <c r="CM55" s="161"/>
      <c r="CN55" s="161"/>
      <c r="CO55" s="161"/>
      <c r="CP55" s="155"/>
      <c r="CQ55" s="155"/>
      <c r="CR55" s="154"/>
      <c r="CS55" s="154"/>
      <c r="CT55" s="154"/>
      <c r="CU55" s="154"/>
      <c r="CV55" s="154"/>
      <c r="CW55" s="154"/>
      <c r="CX55" s="154"/>
      <c r="CY55" s="154"/>
      <c r="CZ55" s="154"/>
      <c r="DA55" s="154"/>
    </row>
    <row r="56" spans="1:105" ht="41.5" customHeight="1">
      <c r="A56" s="151">
        <v>40</v>
      </c>
      <c r="B56" s="151" t="s">
        <v>1536</v>
      </c>
      <c r="C56" s="151" t="s">
        <v>57</v>
      </c>
      <c r="D56" s="151" t="s">
        <v>1734</v>
      </c>
      <c r="E56" s="151" t="s">
        <v>1735</v>
      </c>
      <c r="F56" s="151"/>
      <c r="G56" s="151" t="s">
        <v>1735</v>
      </c>
      <c r="H56" s="151" t="s">
        <v>1736</v>
      </c>
      <c r="I56" s="151" t="s">
        <v>1696</v>
      </c>
      <c r="BA56" s="151">
        <v>1</v>
      </c>
      <c r="BB56" s="151">
        <v>1</v>
      </c>
      <c r="BC56" s="151"/>
      <c r="BD56" s="151">
        <v>1</v>
      </c>
      <c r="BE56" s="167"/>
      <c r="BF56" s="167"/>
      <c r="BG56" s="167"/>
      <c r="BH56" s="167"/>
      <c r="BI56" s="167"/>
      <c r="BJ56" s="151">
        <v>9</v>
      </c>
      <c r="BK56" s="151">
        <f t="shared" si="0"/>
        <v>3</v>
      </c>
      <c r="BL56" s="152">
        <f t="shared" si="1"/>
        <v>0.33333333333333331</v>
      </c>
      <c r="BR56" s="52" t="s">
        <v>1648</v>
      </c>
      <c r="BS56" s="199"/>
      <c r="BT56" s="199"/>
      <c r="CJ56" s="161"/>
      <c r="CK56" s="161"/>
      <c r="CL56" s="161"/>
      <c r="CM56" s="161"/>
      <c r="CN56" s="161"/>
      <c r="CO56" s="161"/>
      <c r="CP56" s="155"/>
      <c r="CQ56" s="155"/>
      <c r="CR56" s="154"/>
      <c r="CS56" s="154"/>
      <c r="CT56" s="154"/>
      <c r="CU56" s="154"/>
      <c r="CV56" s="154"/>
      <c r="CW56" s="154"/>
      <c r="CX56" s="154"/>
      <c r="CY56" s="154"/>
      <c r="CZ56" s="154"/>
      <c r="DA56" s="154"/>
    </row>
    <row r="57" spans="1:105" ht="41.5" customHeight="1">
      <c r="CJ57" s="161"/>
      <c r="CK57" s="161"/>
      <c r="CL57" s="161"/>
      <c r="CM57" s="161"/>
      <c r="CN57" s="161"/>
      <c r="CO57" s="161"/>
      <c r="CP57" s="155"/>
      <c r="CQ57" s="155"/>
      <c r="CR57" s="154"/>
      <c r="CS57" s="154"/>
      <c r="CT57" s="154"/>
      <c r="CU57" s="154"/>
      <c r="CV57" s="154"/>
      <c r="CW57" s="154"/>
      <c r="CX57" s="154"/>
      <c r="CY57" s="154"/>
      <c r="CZ57" s="154"/>
      <c r="DA57" s="154"/>
    </row>
    <row r="58" spans="1:105">
      <c r="CJ58" s="161"/>
      <c r="CK58" s="161"/>
      <c r="CL58" s="161"/>
      <c r="CM58" s="161"/>
      <c r="CN58" s="161"/>
      <c r="CO58" s="161"/>
      <c r="CP58" s="155"/>
      <c r="CQ58" s="155"/>
      <c r="CR58" s="154"/>
      <c r="CS58" s="154"/>
      <c r="CT58" s="154"/>
      <c r="CU58" s="154"/>
      <c r="CV58" s="154"/>
      <c r="CW58" s="154"/>
      <c r="CX58" s="154"/>
      <c r="CY58" s="154"/>
      <c r="CZ58" s="154"/>
      <c r="DA58" s="154"/>
    </row>
    <row r="59" spans="1:105">
      <c r="CJ59" s="161"/>
      <c r="CK59" s="161"/>
      <c r="CL59" s="161"/>
      <c r="CM59" s="161"/>
      <c r="CN59" s="161"/>
      <c r="CO59" s="161"/>
      <c r="CP59" s="155"/>
      <c r="CQ59" s="155"/>
      <c r="CR59" s="154"/>
      <c r="CS59" s="154"/>
      <c r="CT59" s="154"/>
      <c r="CU59" s="154"/>
      <c r="CV59" s="154"/>
      <c r="CW59" s="154"/>
      <c r="CX59" s="154"/>
      <c r="CY59" s="154"/>
      <c r="CZ59" s="154"/>
      <c r="DA59" s="154"/>
    </row>
    <row r="60" spans="1:105">
      <c r="CJ60" s="161"/>
      <c r="CK60" s="161"/>
      <c r="CL60" s="161"/>
      <c r="CM60" s="161"/>
      <c r="CN60" s="161"/>
      <c r="CO60" s="161"/>
      <c r="CP60" s="155"/>
      <c r="CQ60" s="155"/>
      <c r="CR60" s="154"/>
      <c r="CS60" s="154"/>
      <c r="CT60" s="154"/>
      <c r="CU60" s="154"/>
      <c r="CV60" s="154"/>
      <c r="CW60" s="154"/>
      <c r="CX60" s="154"/>
      <c r="CY60" s="154"/>
      <c r="CZ60" s="154"/>
      <c r="DA60" s="154"/>
    </row>
    <row r="61" spans="1:105">
      <c r="CJ61" s="161"/>
      <c r="CK61" s="161"/>
      <c r="CL61" s="161"/>
      <c r="CM61" s="161"/>
      <c r="CN61" s="161"/>
      <c r="CO61" s="161"/>
      <c r="CP61" s="155"/>
      <c r="CQ61" s="155"/>
      <c r="CR61" s="154"/>
      <c r="CS61" s="154"/>
      <c r="CT61" s="154"/>
      <c r="CU61" s="154"/>
      <c r="CV61" s="154"/>
      <c r="CW61" s="154"/>
      <c r="CX61" s="154"/>
      <c r="CY61" s="154"/>
      <c r="CZ61" s="154"/>
      <c r="DA61" s="154"/>
    </row>
    <row r="62" spans="1:105">
      <c r="CJ62" s="161"/>
      <c r="CK62" s="161"/>
      <c r="CL62" s="161"/>
      <c r="CM62" s="161"/>
      <c r="CN62" s="161"/>
      <c r="CO62" s="161"/>
      <c r="CP62" s="155"/>
      <c r="CQ62" s="155"/>
      <c r="CR62" s="154"/>
      <c r="CS62" s="154"/>
      <c r="CT62" s="154"/>
      <c r="CU62" s="154"/>
      <c r="CV62" s="154"/>
      <c r="CW62" s="154"/>
      <c r="CX62" s="154"/>
      <c r="CY62" s="154"/>
      <c r="CZ62" s="154"/>
      <c r="DA62" s="154"/>
    </row>
    <row r="63" spans="1:105">
      <c r="CJ63" s="161"/>
      <c r="CK63" s="161"/>
      <c r="CL63" s="161"/>
      <c r="CM63" s="161"/>
      <c r="CN63" s="161"/>
      <c r="CO63" s="161"/>
      <c r="CP63" s="155"/>
      <c r="CQ63" s="155"/>
      <c r="CR63" s="154"/>
      <c r="CS63" s="154"/>
      <c r="CT63" s="154"/>
      <c r="CU63" s="154"/>
      <c r="CV63" s="154"/>
      <c r="CW63" s="154"/>
      <c r="CX63" s="154"/>
      <c r="CY63" s="154"/>
      <c r="CZ63" s="154"/>
      <c r="DA63" s="154"/>
    </row>
    <row r="64" spans="1:105">
      <c r="CJ64" s="161"/>
      <c r="CK64" s="161"/>
      <c r="CL64" s="161"/>
      <c r="CM64" s="161"/>
      <c r="CN64" s="161"/>
      <c r="CO64" s="161"/>
      <c r="CP64" s="155"/>
      <c r="CQ64" s="155"/>
      <c r="CR64" s="154"/>
      <c r="CS64" s="154"/>
      <c r="CT64" s="154"/>
      <c r="CU64" s="154"/>
      <c r="CV64" s="154"/>
      <c r="CW64" s="154"/>
      <c r="CX64" s="154"/>
      <c r="CY64" s="154"/>
      <c r="CZ64" s="154"/>
      <c r="DA64" s="154"/>
    </row>
    <row r="65" spans="88:105">
      <c r="CJ65" s="161"/>
      <c r="CK65" s="161"/>
      <c r="CL65" s="161"/>
      <c r="CM65" s="161"/>
      <c r="CN65" s="161"/>
      <c r="CO65" s="161"/>
      <c r="CP65" s="155"/>
      <c r="CQ65" s="155"/>
      <c r="CR65" s="154"/>
      <c r="CS65" s="154"/>
      <c r="CT65" s="154"/>
      <c r="CU65" s="154"/>
      <c r="CV65" s="154"/>
      <c r="CW65" s="154"/>
      <c r="CX65" s="154"/>
      <c r="CY65" s="154"/>
      <c r="CZ65" s="154"/>
      <c r="DA65" s="154"/>
    </row>
    <row r="66" spans="88:105">
      <c r="CJ66" s="161"/>
      <c r="CK66" s="161"/>
      <c r="CL66" s="161"/>
      <c r="CM66" s="161"/>
      <c r="CN66" s="161"/>
      <c r="CO66" s="161"/>
      <c r="CP66" s="155"/>
      <c r="CQ66" s="155"/>
      <c r="CR66" s="154"/>
      <c r="CS66" s="154"/>
      <c r="CT66" s="154"/>
      <c r="CU66" s="154"/>
      <c r="CV66" s="154"/>
      <c r="CW66" s="154"/>
      <c r="CX66" s="154"/>
      <c r="CY66" s="154"/>
      <c r="CZ66" s="154"/>
      <c r="DA66" s="154"/>
    </row>
    <row r="67" spans="88:105">
      <c r="CJ67" s="161"/>
      <c r="CK67" s="161"/>
      <c r="CL67" s="161"/>
      <c r="CM67" s="161"/>
      <c r="CN67" s="161"/>
      <c r="CO67" s="161"/>
      <c r="CP67" s="155"/>
      <c r="CQ67" s="155"/>
      <c r="CR67" s="154"/>
      <c r="CS67" s="154"/>
      <c r="CT67" s="154"/>
      <c r="CU67" s="154"/>
      <c r="CV67" s="154"/>
      <c r="CW67" s="154"/>
      <c r="CX67" s="154"/>
      <c r="CY67" s="154"/>
      <c r="CZ67" s="154"/>
      <c r="DA67" s="154"/>
    </row>
    <row r="68" spans="88:105">
      <c r="CJ68" s="161"/>
      <c r="CK68" s="161"/>
      <c r="CL68" s="161"/>
      <c r="CM68" s="161"/>
      <c r="CN68" s="161"/>
      <c r="CO68" s="161"/>
      <c r="CP68" s="155"/>
      <c r="CQ68" s="155"/>
      <c r="CR68" s="154"/>
      <c r="CS68" s="154"/>
      <c r="CT68" s="154"/>
      <c r="CU68" s="154"/>
      <c r="CV68" s="154"/>
      <c r="CW68" s="154"/>
      <c r="CX68" s="154"/>
      <c r="CY68" s="154"/>
      <c r="CZ68" s="154"/>
      <c r="DA68" s="154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 Andrade</cp:lastModifiedBy>
  <cp:revision>5</cp:revision>
  <dcterms:created xsi:type="dcterms:W3CDTF">2026-04-22T14:27:02Z</dcterms:created>
  <dcterms:modified xsi:type="dcterms:W3CDTF">2026-06-12T19:13:34Z</dcterms:modified>
  <cp:category/>
  <cp:contentStatus/>
</cp:coreProperties>
</file>