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qsx\Desktop\"/>
    </mc:Choice>
  </mc:AlternateContent>
  <xr:revisionPtr revIDLastSave="0" documentId="13_ncr:1_{B5633A4D-CC11-4999-97E9-23F5FC4EDBEB}" xr6:coauthVersionLast="47" xr6:coauthVersionMax="47" xr10:uidLastSave="{00000000-0000-0000-0000-000000000000}"/>
  <bookViews>
    <workbookView xWindow="28680" yWindow="-45" windowWidth="16440" windowHeight="28320" firstSheet="1" activeTab="1" xr2:uid="{DBA79AA0-2E99-482A-ABE5-CF2E2EABE4C6}"/>
  </bookViews>
  <sheets>
    <sheet name="Kursy i wyliczenia" sheetId="3" state="hidden" r:id="rId1"/>
    <sheet name="Wycena VPSów" sheetId="2" r:id="rId2"/>
  </sheets>
  <externalReferences>
    <externalReference r:id="rId3"/>
  </externalReferences>
  <definedNames>
    <definedName name="tabela_a" localSheetId="0">'Kursy i wyliczenia'!$A$1:$C$34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34" i="2" s="1"/>
  <c r="B50" i="2" s="1"/>
  <c r="E28" i="2"/>
  <c r="E29" i="2"/>
  <c r="E30" i="2"/>
  <c r="E31" i="2"/>
  <c r="E32" i="2"/>
  <c r="E33" i="2"/>
  <c r="H17" i="3"/>
  <c r="H13" i="3"/>
  <c r="H14" i="3" s="1"/>
  <c r="H15" i="3" s="1"/>
  <c r="H9" i="3"/>
  <c r="H10" i="3" s="1"/>
  <c r="H11" i="3" s="1"/>
  <c r="H5" i="3"/>
  <c r="H6" i="3" s="1"/>
  <c r="H1" i="3"/>
  <c r="H2" i="3" l="1"/>
  <c r="H3" i="3" s="1"/>
  <c r="H7" i="3"/>
  <c r="H18" i="3"/>
  <c r="H19" i="3" s="1"/>
  <c r="D55" i="2" l="1"/>
  <c r="E44" i="2"/>
  <c r="E43" i="2"/>
  <c r="E42" i="2"/>
  <c r="E41" i="2"/>
  <c r="E40" i="2"/>
  <c r="E39" i="2"/>
  <c r="E38" i="2"/>
  <c r="E37" i="2"/>
  <c r="E23" i="2"/>
  <c r="E22" i="2"/>
  <c r="E21" i="2"/>
  <c r="E20" i="2"/>
  <c r="D20" i="2"/>
  <c r="E19" i="2"/>
  <c r="E15" i="2"/>
  <c r="E14" i="2"/>
  <c r="E13" i="2"/>
  <c r="E12" i="2"/>
  <c r="E11" i="2"/>
  <c r="E9" i="2"/>
  <c r="E8" i="2"/>
  <c r="E7" i="2"/>
  <c r="E6" i="2"/>
  <c r="E5" i="2"/>
  <c r="E10" i="2" l="1"/>
  <c r="E16" i="2"/>
  <c r="E47" i="2" s="1"/>
  <c r="E24" i="2"/>
  <c r="E45" i="2"/>
  <c r="B4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D6A1F-10F0-470B-B902-34D1A761AC0E}" interval="30" name="Połączenie" type="4" refreshedVersion="8" background="1" refreshOnLoad="1" saveData="1">
    <webPr sourceData="1" parsePre="1" consecutive="1" url="https://nbp.pl/statystyka-i-sprawozdawczosc/kursy/tabela-a" htmlTables="1"/>
  </connection>
</connections>
</file>

<file path=xl/sharedStrings.xml><?xml version="1.0" encoding="utf-8"?>
<sst xmlns="http://schemas.openxmlformats.org/spreadsheetml/2006/main" count="191" uniqueCount="158">
  <si>
    <t>Kwota/miesiąc</t>
  </si>
  <si>
    <t>Od kiedy?</t>
  </si>
  <si>
    <t>Data złożenia oferty</t>
  </si>
  <si>
    <t>ILOŚĆ</t>
  </si>
  <si>
    <t>KOSZT</t>
  </si>
  <si>
    <t>suma</t>
  </si>
  <si>
    <t>Usługi dodatkowe:</t>
  </si>
  <si>
    <t>NAZWA USŁUGI</t>
  </si>
  <si>
    <t>JEDNOSTKA</t>
  </si>
  <si>
    <t>KOSZT/mc</t>
  </si>
  <si>
    <t>Sieć wewnętrzna - 1Gbit/s</t>
  </si>
  <si>
    <t>szt.</t>
  </si>
  <si>
    <t>vConnect</t>
  </si>
  <si>
    <t>GB</t>
  </si>
  <si>
    <t>Adresacja IPv4</t>
  </si>
  <si>
    <t>h</t>
  </si>
  <si>
    <t>NAZWA LICENCJI</t>
  </si>
  <si>
    <t>TYP</t>
  </si>
  <si>
    <t>Data Space Shield - Firewall Premium - 10 reguł</t>
  </si>
  <si>
    <t>Data Space Shield - Geo Firewall - 1 kraj</t>
  </si>
  <si>
    <t>Data Space Shield - IPSEC</t>
  </si>
  <si>
    <t>Data Space Shield - SSL VPNs</t>
  </si>
  <si>
    <t>Data Space Shield - Guard DNS</t>
  </si>
  <si>
    <t>Data Space Shield - Webfiltering</t>
  </si>
  <si>
    <t>Data Space Shield - IDS/IPS/AV - 100Mbit/s</t>
  </si>
  <si>
    <t>Data Space Shield - vDOM</t>
  </si>
  <si>
    <t>RAZEM</t>
  </si>
  <si>
    <t>Czas kontraktu (w miesiącach)</t>
  </si>
  <si>
    <t>Wdrożenie</t>
  </si>
  <si>
    <t>Ilość godzin</t>
  </si>
  <si>
    <t>Cena za 1h</t>
  </si>
  <si>
    <t>Wdrożenie administracyjne</t>
  </si>
  <si>
    <t>Maszyna wirtualna:</t>
  </si>
  <si>
    <t>KOMPONENT</t>
  </si>
  <si>
    <t>WARTOŚĆ/MIESIĄC</t>
  </si>
  <si>
    <t>vCPU</t>
  </si>
  <si>
    <t xml:space="preserve">nd. </t>
  </si>
  <si>
    <t>RAM</t>
  </si>
  <si>
    <t>Dysk</t>
  </si>
  <si>
    <t>NVMe</t>
  </si>
  <si>
    <t>0,45 za GB - do 200 GB</t>
  </si>
  <si>
    <t>0,37 za GB - 201-400 GB</t>
  </si>
  <si>
    <t>0,32 za GB - 400+ GB</t>
  </si>
  <si>
    <t>Profil wydajnościowy dysku</t>
  </si>
  <si>
    <t>Profil 1</t>
  </si>
  <si>
    <t>Profil 1 - 0% cena dysku</t>
  </si>
  <si>
    <t>Profil 2</t>
  </si>
  <si>
    <t>Profil 2 - 10% ceny dysku</t>
  </si>
  <si>
    <t>Profil 3</t>
  </si>
  <si>
    <t>Profil 3 - 20% ceny dysku</t>
  </si>
  <si>
    <t>Backup</t>
  </si>
  <si>
    <t>Backup lenovo</t>
  </si>
  <si>
    <t>0,2 x Ilość dysku maszyny w GB</t>
  </si>
  <si>
    <t>Strefa bezpieczeństwa</t>
  </si>
  <si>
    <t>Pierwsza</t>
  </si>
  <si>
    <t>Pierwsza - 0% wartości maszyny</t>
  </si>
  <si>
    <t>Druga</t>
  </si>
  <si>
    <t>Druga - 10% wartości maszyny</t>
  </si>
  <si>
    <t>Gbit/s</t>
  </si>
  <si>
    <t>Replikacja Backupu</t>
  </si>
  <si>
    <t>Godziny administracyjne (h) - Tier III</t>
  </si>
  <si>
    <t>Dodatkowe licencje CSP:</t>
  </si>
  <si>
    <t>Windows Server 2022 Standard - 8 Core License Pack 1 Year</t>
  </si>
  <si>
    <t>Paczka - 8 sztuk, roczna</t>
  </si>
  <si>
    <t>Windows Server 2022 Standard - 8 Core License Pack 3 Year</t>
  </si>
  <si>
    <t>Paczka - 8 sztuk, 3-letnia</t>
  </si>
  <si>
    <t>Windows Server 2022 CAL - 1 User CAL - 1 year</t>
  </si>
  <si>
    <t>szt., roczna</t>
  </si>
  <si>
    <t>Windows Server 2022 CAL - 1 User CAL - 3 year</t>
  </si>
  <si>
    <t>szt., 3-letnia</t>
  </si>
  <si>
    <t>Windows Server 2022 Remote Desktop Services - 1 User CAL 1 Year</t>
  </si>
  <si>
    <t>Windows Server 2022 Remote Desktop Services - 1 User CAL 3 Year</t>
  </si>
  <si>
    <t>Windows Server 2022 Remote Desktop Services - 1 Device CAL - perpetual</t>
  </si>
  <si>
    <t>szt., wieczysta</t>
  </si>
  <si>
    <t>Usługi security:</t>
  </si>
  <si>
    <t>Mbit/s</t>
  </si>
  <si>
    <t>Cena końcowa oferty (Wartość składowych oferty/miesiąc</t>
  </si>
  <si>
    <t>Ilość maszyn</t>
  </si>
  <si>
    <t>Razem</t>
  </si>
  <si>
    <t>Nazwa waluty</t>
  </si>
  <si>
    <t>Kod waluty</t>
  </si>
  <si>
    <t>Kurs średni</t>
  </si>
  <si>
    <t>Machine #1</t>
  </si>
  <si>
    <t>Wyliczenia dysków</t>
  </si>
  <si>
    <t>bat (Tajlandia)</t>
  </si>
  <si>
    <t>1 THB</t>
  </si>
  <si>
    <t>Profil wydajnościowy</t>
  </si>
  <si>
    <t>dolar amerykański</t>
  </si>
  <si>
    <t>1 USD</t>
  </si>
  <si>
    <t>dolar australijski</t>
  </si>
  <si>
    <t>1 AUD</t>
  </si>
  <si>
    <t>dolar Hongkongu</t>
  </si>
  <si>
    <t>1 HKD</t>
  </si>
  <si>
    <t>Machine #2</t>
  </si>
  <si>
    <t>dolar kanadyjski</t>
  </si>
  <si>
    <t>1 CAD</t>
  </si>
  <si>
    <t>dolar nowozelandzki</t>
  </si>
  <si>
    <t>1 NZD</t>
  </si>
  <si>
    <t>dolar singapurski</t>
  </si>
  <si>
    <t>1 SGD</t>
  </si>
  <si>
    <t>euro</t>
  </si>
  <si>
    <t>1 EUR</t>
  </si>
  <si>
    <t>Machine #3</t>
  </si>
  <si>
    <t>forint (Węgry)</t>
  </si>
  <si>
    <t>100 HUF</t>
  </si>
  <si>
    <t>frank szwajcarski</t>
  </si>
  <si>
    <t>1 CHF</t>
  </si>
  <si>
    <t>funt szterling</t>
  </si>
  <si>
    <t>1 GBP</t>
  </si>
  <si>
    <t>hrywna (Ukraina)</t>
  </si>
  <si>
    <t>1 UAH</t>
  </si>
  <si>
    <t>Machine #4</t>
  </si>
  <si>
    <t>jen (Japonia)</t>
  </si>
  <si>
    <t>100 JPY</t>
  </si>
  <si>
    <t>korona czeska</t>
  </si>
  <si>
    <t>1 CZK</t>
  </si>
  <si>
    <t>korona duńska</t>
  </si>
  <si>
    <t>1 DKK</t>
  </si>
  <si>
    <t>korona islandzka</t>
  </si>
  <si>
    <t>100 ISK</t>
  </si>
  <si>
    <t>Machine #5</t>
  </si>
  <si>
    <t>korona norweska</t>
  </si>
  <si>
    <t>1 NOK</t>
  </si>
  <si>
    <t>korona szwedzka</t>
  </si>
  <si>
    <t>1 SEK</t>
  </si>
  <si>
    <t>lej rumuński</t>
  </si>
  <si>
    <t>1 RON</t>
  </si>
  <si>
    <t>lew (Bułgaria)</t>
  </si>
  <si>
    <t>1 BGN</t>
  </si>
  <si>
    <t>lira turecka</t>
  </si>
  <si>
    <t>1 TRY</t>
  </si>
  <si>
    <t>nowy izraelski szekel</t>
  </si>
  <si>
    <t>1 ILS</t>
  </si>
  <si>
    <t>peso chilijskie</t>
  </si>
  <si>
    <t>100 CLP</t>
  </si>
  <si>
    <t>peso filipińskie</t>
  </si>
  <si>
    <t>1 PHP</t>
  </si>
  <si>
    <t>peso meksykańskie</t>
  </si>
  <si>
    <t>1 MXN</t>
  </si>
  <si>
    <t>rand (Republika Południowej Afryki)</t>
  </si>
  <si>
    <t>1 ZAR</t>
  </si>
  <si>
    <t>real (Brazylia)</t>
  </si>
  <si>
    <t>1 BRL</t>
  </si>
  <si>
    <t>ringgit (Malezja)</t>
  </si>
  <si>
    <t>1 MYR</t>
  </si>
  <si>
    <t>rupia indonezyjska</t>
  </si>
  <si>
    <t>10000 IDR</t>
  </si>
  <si>
    <t>rupia indyjska</t>
  </si>
  <si>
    <t>100 INR</t>
  </si>
  <si>
    <t>won południowokoreański</t>
  </si>
  <si>
    <t>100 KRW</t>
  </si>
  <si>
    <t>yuan renminbi (Chiny)</t>
  </si>
  <si>
    <t>1 CNY</t>
  </si>
  <si>
    <t>SDR (MFW)</t>
  </si>
  <si>
    <t>1 XDR</t>
  </si>
  <si>
    <t>Cena jednorazowa oferty (licencje)</t>
  </si>
  <si>
    <t>Rozbudowa obecnego VPSa</t>
  </si>
  <si>
    <t>SUNEWMED+ WOCHNA Sp.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</si>
</sst>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0"/>
      <color rgb="FF0000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b/>
      <sz val="10"/>
      <color theme="1"/>
      <name val="Calibri"/>
      <family val="2"/>
      <charset val="238"/>
    </font>
    <font>
      <b/>
      <sz val="10"/>
      <color rgb="FF3F3F3F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2" borderId="1" applyNumberFormat="0" applyAlignment="0" applyProtection="0"/>
  </cellStyleXfs>
  <cellXfs count="7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3" fillId="4" borderId="2" xfId="0" applyFont="1" applyFill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44" fontId="3" fillId="0" borderId="3" xfId="2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/>
    <xf numFmtId="44" fontId="4" fillId="0" borderId="3" xfId="2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right"/>
    </xf>
    <xf numFmtId="44" fontId="5" fillId="0" borderId="3" xfId="2" applyFont="1" applyBorder="1"/>
    <xf numFmtId="2" fontId="3" fillId="0" borderId="3" xfId="0" applyNumberFormat="1" applyFont="1" applyBorder="1" applyAlignment="1">
      <alignment horizontal="center"/>
    </xf>
    <xf numFmtId="164" fontId="7" fillId="2" borderId="1" xfId="1" applyNumberFormat="1" applyFont="1" applyFill="1" applyBorder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 wrapText="1"/>
    </xf>
    <xf numFmtId="1" fontId="4" fillId="0" borderId="2" xfId="0" quotePrefix="1" applyNumberFormat="1" applyFont="1" applyBorder="1" applyAlignment="1">
      <alignment horizontal="right"/>
    </xf>
    <xf numFmtId="0" fontId="5" fillId="0" borderId="0" xfId="0" applyFont="1"/>
    <xf numFmtId="0" fontId="8" fillId="0" borderId="0" xfId="0" applyFont="1"/>
    <xf numFmtId="2" fontId="3" fillId="0" borderId="10" xfId="0" applyNumberFormat="1" applyFont="1" applyBorder="1" applyAlignment="1">
      <alignment horizontal="right" wrapText="1"/>
    </xf>
    <xf numFmtId="2" fontId="3" fillId="0" borderId="10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right"/>
    </xf>
    <xf numFmtId="2" fontId="3" fillId="0" borderId="7" xfId="0" applyNumberFormat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44" fontId="4" fillId="0" borderId="11" xfId="2" applyFont="1" applyBorder="1"/>
    <xf numFmtId="44" fontId="0" fillId="0" borderId="0" xfId="0" applyNumberFormat="1"/>
    <xf numFmtId="0" fontId="6" fillId="0" borderId="0" xfId="0" applyFont="1" applyAlignment="1">
      <alignment vertical="center"/>
    </xf>
    <xf numFmtId="44" fontId="4" fillId="0" borderId="11" xfId="2" applyFont="1" applyBorder="1" applyAlignment="1">
      <alignment horizontal="right"/>
    </xf>
    <xf numFmtId="43" fontId="3" fillId="0" borderId="3" xfId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9" xfId="0" applyFont="1" applyBorder="1" applyAlignment="1">
      <alignment horizontal="right"/>
    </xf>
    <xf numFmtId="44" fontId="6" fillId="0" borderId="9" xfId="2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3" fillId="0" borderId="3" xfId="0" applyNumberFormat="1" applyFont="1" applyBorder="1"/>
    <xf numFmtId="0" fontId="1" fillId="2" borderId="1" xfId="3" applyAlignment="1">
      <alignment horizontal="right"/>
    </xf>
    <xf numFmtId="44" fontId="1" fillId="2" borderId="1" xfId="3" applyNumberFormat="1"/>
    <xf numFmtId="0" fontId="7" fillId="2" borderId="12" xfId="3" applyFont="1" applyBorder="1" applyAlignment="1">
      <alignment horizontal="center" wrapText="1"/>
    </xf>
    <xf numFmtId="44" fontId="7" fillId="2" borderId="1" xfId="3" applyNumberFormat="1" applyFont="1"/>
    <xf numFmtId="0" fontId="7" fillId="2" borderId="12" xfId="3" applyFont="1" applyBorder="1" applyAlignment="1">
      <alignment horizontal="center" vertical="top"/>
    </xf>
    <xf numFmtId="44" fontId="7" fillId="2" borderId="1" xfId="2" applyFont="1" applyFill="1" applyBorder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2" fillId="0" borderId="0" xfId="0" applyFont="1"/>
    <xf numFmtId="44" fontId="0" fillId="5" borderId="13" xfId="2" applyFont="1" applyFill="1" applyBorder="1"/>
    <xf numFmtId="44" fontId="10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right" vertical="center"/>
    </xf>
    <xf numFmtId="1" fontId="4" fillId="0" borderId="8" xfId="0" applyNumberFormat="1" applyFont="1" applyBorder="1" applyAlignment="1">
      <alignment horizontal="right" vertical="center"/>
    </xf>
    <xf numFmtId="1" fontId="4" fillId="0" borderId="9" xfId="0" applyNumberFormat="1" applyFont="1" applyBorder="1" applyAlignment="1">
      <alignment horizontal="right" vertical="center"/>
    </xf>
  </cellXfs>
  <cellStyles count="4">
    <cellStyle name="Dane wyjściowe" xfId="3" builtinId="21"/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mian.celebudzki\Documents\Cennik%20Dedyk%20i%20VPS%20+%20oferty%20-%2030.10.2023.xlsx" TargetMode="External"/><Relationship Id="rId1" Type="http://schemas.openxmlformats.org/officeDocument/2006/relationships/externalLinkPath" Target="/Users/damian.celebudzki/Documents/Cennik%20Dedyk%20i%20VPS%20+%20oferty%20-%2030.10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rsy i wyliczenia"/>
      <sheetName val="Wycena serwera dedykowanego v4"/>
      <sheetName val="Wycena VPSów v4"/>
      <sheetName val="Cennik - dane"/>
      <sheetName val="Wycena VPSów"/>
      <sheetName val="Wycena VPSów v3 - IDEA"/>
      <sheetName val="Oferta - dla klienta (Dedyk) v2"/>
      <sheetName val="Oferta - dla klienta (VPS) v2"/>
      <sheetName val="Oferta - dla klienta(Hybrid) v2"/>
      <sheetName val="Oferta - materiał"/>
    </sheetNames>
    <sheetDataSet>
      <sheetData sheetId="0"/>
      <sheetData sheetId="1"/>
      <sheetData sheetId="2"/>
      <sheetData sheetId="3"/>
      <sheetData sheetId="4">
        <row r="5">
          <cell r="C5">
            <v>200</v>
          </cell>
          <cell r="D5" t="str">
            <v>Profil 2</v>
          </cell>
        </row>
        <row r="6">
          <cell r="C6">
            <v>150</v>
          </cell>
          <cell r="D6" t="str">
            <v>Profil 2</v>
          </cell>
        </row>
        <row r="7">
          <cell r="C7">
            <v>300</v>
          </cell>
          <cell r="D7" t="str">
            <v>Profil 2</v>
          </cell>
        </row>
        <row r="8">
          <cell r="C8">
            <v>500</v>
          </cell>
          <cell r="D8" t="str">
            <v>Profil 2</v>
          </cell>
        </row>
        <row r="9">
          <cell r="C9">
            <v>50</v>
          </cell>
          <cell r="D9" t="str">
            <v>Profil 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a-a" refreshOnLoad="1" connectionId="1" xr16:uid="{EECB5BD2-41FD-43D4-926C-6092ABEF6C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E003-45E2-43CD-B617-770BE77540C8}">
  <dimension ref="A1:H34"/>
  <sheetViews>
    <sheetView workbookViewId="0">
      <selection activeCell="C9" sqref="C9"/>
    </sheetView>
  </sheetViews>
  <sheetFormatPr defaultRowHeight="12.75" x14ac:dyDescent="0.2"/>
  <cols>
    <col min="1" max="1" width="30" bestFit="1" customWidth="1"/>
    <col min="2" max="2" width="9.7109375" bestFit="1" customWidth="1"/>
    <col min="3" max="3" width="10" bestFit="1" customWidth="1"/>
    <col min="6" max="6" width="10.5703125" bestFit="1" customWidth="1"/>
    <col min="7" max="7" width="47.85546875" bestFit="1" customWidth="1"/>
    <col min="8" max="8" width="9.7109375" bestFit="1" customWidth="1"/>
  </cols>
  <sheetData>
    <row r="1" spans="1:8" x14ac:dyDescent="0.2">
      <c r="A1" t="s">
        <v>79</v>
      </c>
      <c r="B1" t="s">
        <v>80</v>
      </c>
      <c r="C1" t="s">
        <v>81</v>
      </c>
      <c r="F1" s="58" t="s">
        <v>82</v>
      </c>
      <c r="G1" s="55" t="s">
        <v>83</v>
      </c>
      <c r="H1" s="56">
        <f>IF(200&gt;'[1]Wycena VPSów'!C5,'[1]Wycena VPSów'!C5*0.45,IF(400&gt;'[1]Wycena VPSów'!C5&gt;200,'[1]Wycena VPSów'!C5*0.37,IF(500&gt;'[1]Wycena VPSów'!C5&gt;400,'[1]Wycena VPSów'!C5*0.32,"Niepoprawna wartość dysku")))</f>
        <v>74</v>
      </c>
    </row>
    <row r="2" spans="1:8" x14ac:dyDescent="0.2">
      <c r="A2" t="s">
        <v>84</v>
      </c>
      <c r="B2" t="s">
        <v>85</v>
      </c>
      <c r="C2">
        <v>0.1138</v>
      </c>
      <c r="F2" s="58"/>
      <c r="G2" s="55" t="s">
        <v>86</v>
      </c>
      <c r="H2">
        <f>IF('[1]Wycena VPSów'!D5="Profil 1",0,IF('[1]Wycena VPSów'!D5="Profil 2",H1*0.1,IF('[1]Wycena VPSów'!D5="Profil 3",H1*(0.2))))</f>
        <v>7.4</v>
      </c>
    </row>
    <row r="3" spans="1:8" x14ac:dyDescent="0.2">
      <c r="A3" t="s">
        <v>87</v>
      </c>
      <c r="B3" t="s">
        <v>88</v>
      </c>
      <c r="C3">
        <v>3.9937999999999998</v>
      </c>
      <c r="H3" s="57">
        <f>SUM(H1:H2)</f>
        <v>81.400000000000006</v>
      </c>
    </row>
    <row r="4" spans="1:8" x14ac:dyDescent="0.2">
      <c r="A4" t="s">
        <v>89</v>
      </c>
      <c r="B4" t="s">
        <v>90</v>
      </c>
      <c r="C4">
        <v>2.6211000000000002</v>
      </c>
    </row>
    <row r="5" spans="1:8" x14ac:dyDescent="0.2">
      <c r="A5" t="s">
        <v>91</v>
      </c>
      <c r="B5" t="s">
        <v>92</v>
      </c>
      <c r="C5">
        <v>0.51239999999999997</v>
      </c>
      <c r="F5" s="58" t="s">
        <v>93</v>
      </c>
      <c r="G5" s="55" t="s">
        <v>83</v>
      </c>
      <c r="H5" s="56">
        <f>IF(200&gt;'[1]Wycena VPSów'!C6,'[1]Wycena VPSów'!C6*0.45,IF(400&gt;'[1]Wycena VPSów'!C6&gt;200,'[1]Wycena VPSów'!C6*0.37,IF(500&gt;'[1]Wycena VPSów'!C6&gt;400,'[1]Wycena VPSów'!C6*0.32,"Niepoprawna wartość dysku")))</f>
        <v>67.5</v>
      </c>
    </row>
    <row r="6" spans="1:8" x14ac:dyDescent="0.2">
      <c r="A6" t="s">
        <v>94</v>
      </c>
      <c r="B6" t="s">
        <v>95</v>
      </c>
      <c r="C6">
        <v>2.9152</v>
      </c>
      <c r="F6" s="58"/>
      <c r="G6" s="55" t="s">
        <v>86</v>
      </c>
      <c r="H6">
        <f>IF('[1]Wycena VPSów'!D6="Profil 1",0,IF('[1]Wycena VPSów'!D6="Profil 2",H5*0.1,IF('[1]Wycena VPSów'!D6="Profil 3",H5*(0.2))))</f>
        <v>6.75</v>
      </c>
    </row>
    <row r="7" spans="1:8" x14ac:dyDescent="0.2">
      <c r="A7" t="s">
        <v>96</v>
      </c>
      <c r="B7" t="s">
        <v>97</v>
      </c>
      <c r="C7">
        <v>2.4127999999999998</v>
      </c>
      <c r="H7" s="57">
        <f>SUM(H5:H6)</f>
        <v>74.25</v>
      </c>
    </row>
    <row r="8" spans="1:8" x14ac:dyDescent="0.2">
      <c r="A8" t="s">
        <v>98</v>
      </c>
      <c r="B8" t="s">
        <v>99</v>
      </c>
      <c r="C8">
        <v>2.9819</v>
      </c>
    </row>
    <row r="9" spans="1:8" x14ac:dyDescent="0.2">
      <c r="A9" t="s">
        <v>100</v>
      </c>
      <c r="B9" t="s">
        <v>101</v>
      </c>
      <c r="C9">
        <v>4.3680000000000003</v>
      </c>
      <c r="F9" s="58" t="s">
        <v>102</v>
      </c>
      <c r="G9" s="55" t="s">
        <v>83</v>
      </c>
      <c r="H9" s="56">
        <f>IF(200&gt;'[1]Wycena VPSów'!C7,'[1]Wycena VPSów'!C7*0.45,IF(400&gt;'[1]Wycena VPSów'!C7&gt;200,'[1]Wycena VPSów'!C7*0.37,IF(500&gt;'[1]Wycena VPSów'!C7&gt;400,'[1]Wycena VPSów'!C7*0.32,"Niepoprawna wartość dysku")))</f>
        <v>111</v>
      </c>
    </row>
    <row r="10" spans="1:8" x14ac:dyDescent="0.2">
      <c r="A10" t="s">
        <v>103</v>
      </c>
      <c r="B10" t="s">
        <v>104</v>
      </c>
      <c r="C10">
        <v>1.1521999999999999</v>
      </c>
      <c r="F10" s="58"/>
      <c r="G10" s="55" t="s">
        <v>86</v>
      </c>
      <c r="H10">
        <f>IF('[1]Wycena VPSów'!D7="Profil 1",0,IF('[1]Wycena VPSów'!D7="Profil 2",H9*0.1,IF('[1]Wycena VPSów'!D7="Profil 3",H9*(0.2))))</f>
        <v>11.100000000000001</v>
      </c>
    </row>
    <row r="11" spans="1:8" x14ac:dyDescent="0.2">
      <c r="A11" t="s">
        <v>105</v>
      </c>
      <c r="B11" t="s">
        <v>106</v>
      </c>
      <c r="C11">
        <v>4.5247999999999999</v>
      </c>
      <c r="H11" s="57">
        <f>SUM(H9:H10)</f>
        <v>122.1</v>
      </c>
    </row>
    <row r="12" spans="1:8" x14ac:dyDescent="0.2">
      <c r="A12" t="s">
        <v>107</v>
      </c>
      <c r="B12" t="s">
        <v>108</v>
      </c>
      <c r="C12">
        <v>4.9960000000000004</v>
      </c>
    </row>
    <row r="13" spans="1:8" x14ac:dyDescent="0.2">
      <c r="A13" t="s">
        <v>109</v>
      </c>
      <c r="B13" t="s">
        <v>110</v>
      </c>
      <c r="C13">
        <v>0.11070000000000001</v>
      </c>
      <c r="F13" s="58" t="s">
        <v>111</v>
      </c>
      <c r="G13" s="55" t="s">
        <v>83</v>
      </c>
      <c r="H13" s="56">
        <f>IF(200&gt;'[1]Wycena VPSów'!C8,'[1]Wycena VPSów'!C8*0.45,IF(400&gt;'[1]Wycena VPSów'!C8&gt;200,'[1]Wycena VPSów'!C8*0.37,IF(500&gt;'[1]Wycena VPSów'!C8&gt;400,'[1]Wycena VPSów'!C8*0.32,"Niepoprawna wartość dysku")))</f>
        <v>185</v>
      </c>
    </row>
    <row r="14" spans="1:8" x14ac:dyDescent="0.2">
      <c r="A14" t="s">
        <v>112</v>
      </c>
      <c r="B14" t="s">
        <v>113</v>
      </c>
      <c r="C14">
        <v>2.6947999999999999</v>
      </c>
      <c r="F14" s="58"/>
      <c r="G14" s="55" t="s">
        <v>86</v>
      </c>
      <c r="H14">
        <f>IF('[1]Wycena VPSów'!D8="Profil 1",0,IF('[1]Wycena VPSów'!D8="Profil 2",H13*0.1,IF('[1]Wycena VPSów'!D8="Profil 3",H13*(0.2))))</f>
        <v>18.5</v>
      </c>
    </row>
    <row r="15" spans="1:8" x14ac:dyDescent="0.2">
      <c r="A15" t="s">
        <v>114</v>
      </c>
      <c r="B15" t="s">
        <v>115</v>
      </c>
      <c r="C15">
        <v>0.1782</v>
      </c>
      <c r="H15" s="57">
        <f>SUM(H13:H14)</f>
        <v>203.5</v>
      </c>
    </row>
    <row r="16" spans="1:8" x14ac:dyDescent="0.2">
      <c r="A16" t="s">
        <v>116</v>
      </c>
      <c r="B16" t="s">
        <v>117</v>
      </c>
      <c r="C16">
        <v>0.58579999999999999</v>
      </c>
    </row>
    <row r="17" spans="1:8" x14ac:dyDescent="0.2">
      <c r="A17" t="s">
        <v>118</v>
      </c>
      <c r="B17" t="s">
        <v>119</v>
      </c>
      <c r="C17">
        <v>2.8679999999999999</v>
      </c>
      <c r="F17" s="58" t="s">
        <v>120</v>
      </c>
      <c r="G17" s="55" t="s">
        <v>83</v>
      </c>
      <c r="H17" s="56">
        <f>IF(200&gt;'[1]Wycena VPSów'!C9,'[1]Wycena VPSów'!C9*0.45,IF(400&gt;'[1]Wycena VPSów'!C9&gt;200,'[1]Wycena VPSów'!C9*0.37,IF(500&gt;'[1]Wycena VPSów'!C33&gt;400,'[1]Wycena VPSów'!C9*0.32,"Niepoprawna wartość dysku")))</f>
        <v>22.5</v>
      </c>
    </row>
    <row r="18" spans="1:8" x14ac:dyDescent="0.2">
      <c r="A18" t="s">
        <v>121</v>
      </c>
      <c r="B18" t="s">
        <v>122</v>
      </c>
      <c r="C18">
        <v>0.372</v>
      </c>
      <c r="F18" s="58"/>
      <c r="G18" s="55" t="s">
        <v>86</v>
      </c>
      <c r="H18">
        <f>IF('[1]Wycena VPSów'!D9="Profil 1",0,IF('[1]Wycena VPSów'!D9="Profil 2",H17*0.1,IF('[1]Wycena VPSów'!D9="Profil 3",H17*(0.2))))</f>
        <v>2.25</v>
      </c>
    </row>
    <row r="19" spans="1:8" x14ac:dyDescent="0.2">
      <c r="A19" t="s">
        <v>123</v>
      </c>
      <c r="B19" t="s">
        <v>124</v>
      </c>
      <c r="C19">
        <v>0.38150000000000001</v>
      </c>
      <c r="H19" s="57">
        <f>SUM(H17:H18)</f>
        <v>24.75</v>
      </c>
    </row>
    <row r="20" spans="1:8" x14ac:dyDescent="0.2">
      <c r="A20" t="s">
        <v>125</v>
      </c>
      <c r="B20" t="s">
        <v>126</v>
      </c>
      <c r="C20">
        <v>0.87870000000000004</v>
      </c>
    </row>
    <row r="21" spans="1:8" x14ac:dyDescent="0.2">
      <c r="A21" t="s">
        <v>127</v>
      </c>
      <c r="B21" t="s">
        <v>128</v>
      </c>
      <c r="C21">
        <v>2.2332999999999998</v>
      </c>
    </row>
    <row r="22" spans="1:8" x14ac:dyDescent="0.2">
      <c r="A22" t="s">
        <v>129</v>
      </c>
      <c r="B22" t="s">
        <v>130</v>
      </c>
      <c r="C22">
        <v>0.13900000000000001</v>
      </c>
    </row>
    <row r="23" spans="1:8" x14ac:dyDescent="0.2">
      <c r="A23" t="s">
        <v>131</v>
      </c>
      <c r="B23" t="s">
        <v>132</v>
      </c>
      <c r="C23">
        <v>1.0726</v>
      </c>
    </row>
    <row r="24" spans="1:8" x14ac:dyDescent="0.2">
      <c r="A24" t="s">
        <v>133</v>
      </c>
      <c r="B24" t="s">
        <v>134</v>
      </c>
      <c r="C24">
        <v>0.44950000000000001</v>
      </c>
    </row>
    <row r="25" spans="1:8" x14ac:dyDescent="0.2">
      <c r="A25" t="s">
        <v>135</v>
      </c>
      <c r="B25" t="s">
        <v>136</v>
      </c>
      <c r="C25">
        <v>7.2099999999999997E-2</v>
      </c>
    </row>
    <row r="26" spans="1:8" x14ac:dyDescent="0.2">
      <c r="A26" t="s">
        <v>137</v>
      </c>
      <c r="B26" t="s">
        <v>138</v>
      </c>
      <c r="C26">
        <v>0.23280000000000001</v>
      </c>
    </row>
    <row r="27" spans="1:8" x14ac:dyDescent="0.2">
      <c r="A27" t="s">
        <v>139</v>
      </c>
      <c r="B27" t="s">
        <v>140</v>
      </c>
      <c r="C27">
        <v>0.2175</v>
      </c>
    </row>
    <row r="28" spans="1:8" x14ac:dyDescent="0.2">
      <c r="A28" t="s">
        <v>141</v>
      </c>
      <c r="B28" t="s">
        <v>142</v>
      </c>
      <c r="C28">
        <v>0.81399999999999995</v>
      </c>
    </row>
    <row r="29" spans="1:8" x14ac:dyDescent="0.2">
      <c r="A29" t="s">
        <v>143</v>
      </c>
      <c r="B29" t="s">
        <v>144</v>
      </c>
      <c r="C29">
        <v>0.85570000000000002</v>
      </c>
    </row>
    <row r="30" spans="1:8" x14ac:dyDescent="0.2">
      <c r="A30" t="s">
        <v>145</v>
      </c>
      <c r="B30" t="s">
        <v>146</v>
      </c>
      <c r="C30">
        <v>2.5859000000000001</v>
      </c>
    </row>
    <row r="31" spans="1:8" x14ac:dyDescent="0.2">
      <c r="A31" t="s">
        <v>147</v>
      </c>
      <c r="B31" t="s">
        <v>148</v>
      </c>
      <c r="C31">
        <v>4.7915000000000001</v>
      </c>
    </row>
    <row r="32" spans="1:8" x14ac:dyDescent="0.2">
      <c r="A32" t="s">
        <v>149</v>
      </c>
      <c r="B32" t="s">
        <v>150</v>
      </c>
      <c r="C32">
        <v>0.30969999999999998</v>
      </c>
    </row>
    <row r="33" spans="1:3" x14ac:dyDescent="0.2">
      <c r="A33" t="s">
        <v>151</v>
      </c>
      <c r="B33" t="s">
        <v>152</v>
      </c>
      <c r="C33">
        <v>0.5575</v>
      </c>
    </row>
    <row r="34" spans="1:3" x14ac:dyDescent="0.2">
      <c r="A34" t="s">
        <v>153</v>
      </c>
      <c r="B34" t="s">
        <v>154</v>
      </c>
      <c r="C34">
        <v>5.3311999999999999</v>
      </c>
    </row>
  </sheetData>
  <mergeCells count="5">
    <mergeCell ref="F1:F2"/>
    <mergeCell ref="F5:F6"/>
    <mergeCell ref="F9:F10"/>
    <mergeCell ref="F13:F14"/>
    <mergeCell ref="F17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0A03-F699-4173-B1CF-8A10C41B9642}">
  <dimension ref="A1:V1027"/>
  <sheetViews>
    <sheetView tabSelected="1" zoomScale="120" zoomScaleNormal="120" workbookViewId="0">
      <selection activeCell="C11" sqref="C11"/>
    </sheetView>
  </sheetViews>
  <sheetFormatPr defaultColWidth="12.5703125" defaultRowHeight="15" customHeight="1" x14ac:dyDescent="0.2"/>
  <cols>
    <col min="1" max="1" width="38.85546875" customWidth="1"/>
    <col min="2" max="2" width="23.140625" customWidth="1"/>
    <col min="3" max="3" width="13.28515625" customWidth="1"/>
    <col min="4" max="4" width="27.28515625" customWidth="1"/>
    <col min="5" max="5" width="16.5703125" bestFit="1" customWidth="1"/>
    <col min="6" max="6" width="17.7109375" bestFit="1" customWidth="1"/>
    <col min="7" max="7" width="26.85546875" bestFit="1" customWidth="1"/>
    <col min="8" max="8" width="8.140625" bestFit="1" customWidth="1"/>
    <col min="9" max="9" width="14.140625" bestFit="1" customWidth="1"/>
    <col min="10" max="12" width="7.5703125" customWidth="1"/>
    <col min="13" max="13" width="22" customWidth="1"/>
    <col min="14" max="26" width="7.5703125" customWidth="1"/>
  </cols>
  <sheetData>
    <row r="1" spans="1:13" s="24" customFormat="1" ht="12.75" x14ac:dyDescent="0.2">
      <c r="A1" s="1" t="s">
        <v>157</v>
      </c>
      <c r="B1" s="1" t="s">
        <v>156</v>
      </c>
      <c r="C1" s="1" t="s">
        <v>0</v>
      </c>
      <c r="D1" s="1" t="s">
        <v>1</v>
      </c>
      <c r="E1" s="1" t="s">
        <v>2</v>
      </c>
      <c r="F1" s="23"/>
      <c r="G1" s="23"/>
      <c r="H1" s="23"/>
      <c r="I1" s="23"/>
    </row>
    <row r="2" spans="1:13" ht="12.75" x14ac:dyDescent="0.2">
      <c r="A2" s="2"/>
      <c r="B2" s="2"/>
      <c r="C2" s="2"/>
      <c r="D2" s="2"/>
      <c r="E2" s="2"/>
      <c r="F2" s="2"/>
      <c r="G2" s="2"/>
      <c r="H2" s="2"/>
      <c r="I2" s="2"/>
    </row>
    <row r="3" spans="1:13" ht="12.75" x14ac:dyDescent="0.2">
      <c r="A3" s="60" t="s">
        <v>32</v>
      </c>
      <c r="B3" s="60"/>
      <c r="C3" s="60"/>
      <c r="D3" s="60"/>
      <c r="E3" s="60"/>
      <c r="F3" s="2"/>
      <c r="G3" s="2"/>
      <c r="H3" s="2"/>
      <c r="I3" s="2"/>
    </row>
    <row r="4" spans="1:13" ht="12.75" x14ac:dyDescent="0.2">
      <c r="A4" s="3" t="s">
        <v>33</v>
      </c>
      <c r="B4" s="3" t="s">
        <v>17</v>
      </c>
      <c r="C4" s="3" t="s">
        <v>3</v>
      </c>
      <c r="D4" s="7" t="s">
        <v>9</v>
      </c>
      <c r="E4" s="8" t="s">
        <v>34</v>
      </c>
      <c r="F4" s="2"/>
    </row>
    <row r="5" spans="1:13" ht="12.75" x14ac:dyDescent="0.2">
      <c r="A5" s="5" t="s">
        <v>35</v>
      </c>
      <c r="B5" s="25" t="s">
        <v>36</v>
      </c>
      <c r="C5" s="26">
        <v>8</v>
      </c>
      <c r="D5" s="27">
        <v>18</v>
      </c>
      <c r="E5" s="21">
        <f>C5*D5</f>
        <v>144</v>
      </c>
      <c r="F5" s="2"/>
    </row>
    <row r="6" spans="1:13" ht="12.75" x14ac:dyDescent="0.2">
      <c r="A6" s="5" t="s">
        <v>37</v>
      </c>
      <c r="B6" s="25" t="s">
        <v>36</v>
      </c>
      <c r="C6" s="26">
        <v>16</v>
      </c>
      <c r="D6" s="27">
        <v>10</v>
      </c>
      <c r="E6" s="21">
        <f>C6*D6</f>
        <v>160</v>
      </c>
      <c r="F6" s="2"/>
    </row>
    <row r="7" spans="1:13" ht="12.75" x14ac:dyDescent="0.2">
      <c r="A7" s="62" t="s">
        <v>38</v>
      </c>
      <c r="B7" s="65" t="s">
        <v>39</v>
      </c>
      <c r="C7" s="68">
        <v>320</v>
      </c>
      <c r="D7" s="28" t="s">
        <v>40</v>
      </c>
      <c r="E7" s="21">
        <f>IF(200&gt;=C7,C7*0.45,)</f>
        <v>0</v>
      </c>
      <c r="F7" s="2"/>
    </row>
    <row r="8" spans="1:13" ht="12.75" x14ac:dyDescent="0.2">
      <c r="A8" s="63"/>
      <c r="B8" s="66"/>
      <c r="C8" s="69"/>
      <c r="D8" s="28" t="s">
        <v>41</v>
      </c>
      <c r="E8" s="21">
        <f>IF(AND(200&lt;C7,400&gt;=C7),C7*0.37,)</f>
        <v>118.4</v>
      </c>
      <c r="F8" s="2"/>
    </row>
    <row r="9" spans="1:13" ht="12.75" x14ac:dyDescent="0.2">
      <c r="A9" s="64"/>
      <c r="B9" s="67"/>
      <c r="C9" s="70"/>
      <c r="D9" s="28" t="s">
        <v>42</v>
      </c>
      <c r="E9" s="21">
        <f>IF(400&lt;C7,C7*0.32,)</f>
        <v>0</v>
      </c>
      <c r="F9" s="2"/>
    </row>
    <row r="10" spans="1:13" ht="12.75" x14ac:dyDescent="0.2">
      <c r="A10" s="62" t="s">
        <v>43</v>
      </c>
      <c r="B10" s="25" t="s">
        <v>44</v>
      </c>
      <c r="C10" s="29"/>
      <c r="D10" s="28" t="s">
        <v>45</v>
      </c>
      <c r="E10" s="21">
        <f>IF(C10=1,(E7+E8+E9)*0,0)</f>
        <v>0</v>
      </c>
      <c r="F10" s="30"/>
      <c r="I10" s="31"/>
      <c r="L10" s="31"/>
    </row>
    <row r="11" spans="1:13" ht="12.75" x14ac:dyDescent="0.2">
      <c r="A11" s="63"/>
      <c r="B11" s="25" t="s">
        <v>46</v>
      </c>
      <c r="C11" s="29"/>
      <c r="D11" s="32" t="s">
        <v>47</v>
      </c>
      <c r="E11" s="21">
        <f>IF(C11=1,(E7+E8+E9)*0.1,0)</f>
        <v>0</v>
      </c>
      <c r="F11" s="2"/>
      <c r="I11" s="31"/>
      <c r="L11" s="31"/>
    </row>
    <row r="12" spans="1:13" ht="12.75" x14ac:dyDescent="0.2">
      <c r="A12" s="64"/>
      <c r="B12" s="25" t="s">
        <v>48</v>
      </c>
      <c r="C12" s="29"/>
      <c r="D12" s="32" t="s">
        <v>49</v>
      </c>
      <c r="E12" s="21">
        <f>IF(C12=1,(E7+E8+E9)*0.2,0)</f>
        <v>0</v>
      </c>
      <c r="F12" s="2"/>
      <c r="I12" s="31"/>
      <c r="L12" s="31"/>
    </row>
    <row r="13" spans="1:13" ht="12.75" x14ac:dyDescent="0.2">
      <c r="A13" s="5" t="s">
        <v>50</v>
      </c>
      <c r="B13" s="25" t="s">
        <v>51</v>
      </c>
      <c r="C13" s="26">
        <v>320</v>
      </c>
      <c r="D13" s="33" t="s">
        <v>52</v>
      </c>
      <c r="E13" s="21">
        <f>C13*0.2</f>
        <v>64</v>
      </c>
      <c r="F13" s="2"/>
      <c r="I13" s="31"/>
      <c r="L13" s="31"/>
    </row>
    <row r="14" spans="1:13" ht="12.75" x14ac:dyDescent="0.2">
      <c r="A14" s="62" t="s">
        <v>53</v>
      </c>
      <c r="B14" s="25" t="s">
        <v>54</v>
      </c>
      <c r="C14" s="34">
        <v>1</v>
      </c>
      <c r="D14" s="35" t="s">
        <v>55</v>
      </c>
      <c r="E14" s="21">
        <f>IF(B14="Pierwsza",0,IF(B14="Druga",((E5+E6+E7+E8+E9+E10+E11+E12+E13)*0.1),0))</f>
        <v>0</v>
      </c>
      <c r="F14" s="2"/>
      <c r="I14" s="31"/>
      <c r="L14" s="31"/>
    </row>
    <row r="15" spans="1:13" ht="12.75" x14ac:dyDescent="0.2">
      <c r="A15" s="64"/>
      <c r="B15" s="25" t="s">
        <v>56</v>
      </c>
      <c r="C15" s="34"/>
      <c r="D15" s="35" t="s">
        <v>57</v>
      </c>
      <c r="E15" s="21">
        <f>IF(C15=1,(E5+E6+E7+E8+E9+E10+E11+E12+E13)*0.1,0)</f>
        <v>0</v>
      </c>
      <c r="F15" s="2"/>
      <c r="I15" s="31"/>
      <c r="L15" s="31"/>
    </row>
    <row r="16" spans="1:13" ht="12.75" x14ac:dyDescent="0.2">
      <c r="A16" s="2"/>
      <c r="B16" s="2"/>
      <c r="C16" s="2"/>
      <c r="D16" s="36" t="s">
        <v>5</v>
      </c>
      <c r="E16" s="37">
        <f>SUM(E5:E15)</f>
        <v>486.4</v>
      </c>
      <c r="F16" s="38"/>
      <c r="J16" s="31"/>
      <c r="M16" s="31"/>
    </row>
    <row r="17" spans="1:16" ht="12.75" x14ac:dyDescent="0.2">
      <c r="A17" s="59" t="s">
        <v>6</v>
      </c>
      <c r="B17" s="59"/>
      <c r="C17" s="59"/>
      <c r="D17" s="59"/>
      <c r="E17" s="59"/>
      <c r="F17" s="39"/>
      <c r="G17" s="39"/>
      <c r="H17" s="39"/>
      <c r="I17" s="39"/>
      <c r="M17" s="31"/>
      <c r="P17" s="31"/>
    </row>
    <row r="18" spans="1:16" ht="12.75" x14ac:dyDescent="0.2">
      <c r="A18" s="7" t="s">
        <v>7</v>
      </c>
      <c r="B18" s="8" t="s">
        <v>8</v>
      </c>
      <c r="C18" s="9" t="s">
        <v>3</v>
      </c>
      <c r="D18" s="8" t="s">
        <v>9</v>
      </c>
      <c r="E18" s="8" t="s">
        <v>34</v>
      </c>
      <c r="J18" s="31"/>
      <c r="M18" s="31"/>
    </row>
    <row r="19" spans="1:16" ht="12.75" x14ac:dyDescent="0.2">
      <c r="A19" s="10" t="s">
        <v>10</v>
      </c>
      <c r="B19" s="11" t="s">
        <v>58</v>
      </c>
      <c r="C19" s="4">
        <v>0</v>
      </c>
      <c r="D19" s="12">
        <v>6</v>
      </c>
      <c r="E19" s="12">
        <f>C19*D19</f>
        <v>0</v>
      </c>
      <c r="J19" s="31"/>
      <c r="M19" s="31"/>
    </row>
    <row r="20" spans="1:16" ht="12.75" x14ac:dyDescent="0.2">
      <c r="A20" s="10" t="s">
        <v>59</v>
      </c>
      <c r="B20" s="11" t="s">
        <v>13</v>
      </c>
      <c r="C20" s="4">
        <v>0</v>
      </c>
      <c r="D20" s="12">
        <f>0.2</f>
        <v>0.2</v>
      </c>
      <c r="E20" s="12">
        <f>C20*D20</f>
        <v>0</v>
      </c>
      <c r="J20" s="31"/>
      <c r="M20" s="31"/>
    </row>
    <row r="21" spans="1:16" ht="12.75" x14ac:dyDescent="0.2">
      <c r="A21" s="10" t="s">
        <v>12</v>
      </c>
      <c r="B21" s="11" t="s">
        <v>11</v>
      </c>
      <c r="C21" s="4">
        <v>0</v>
      </c>
      <c r="D21" s="12">
        <v>299</v>
      </c>
      <c r="E21" s="12">
        <f>C21*D21</f>
        <v>0</v>
      </c>
      <c r="J21" s="31"/>
      <c r="M21" s="31"/>
    </row>
    <row r="22" spans="1:16" ht="12.75" x14ac:dyDescent="0.2">
      <c r="A22" s="10" t="s">
        <v>14</v>
      </c>
      <c r="B22" s="11" t="s">
        <v>11</v>
      </c>
      <c r="C22" s="4">
        <v>0</v>
      </c>
      <c r="D22" s="12">
        <v>8</v>
      </c>
      <c r="E22" s="12">
        <f>C22*D22</f>
        <v>0</v>
      </c>
      <c r="J22" s="31"/>
      <c r="M22" s="31"/>
    </row>
    <row r="23" spans="1:16" ht="12.75" x14ac:dyDescent="0.2">
      <c r="A23" s="10" t="s">
        <v>60</v>
      </c>
      <c r="B23" s="11" t="s">
        <v>15</v>
      </c>
      <c r="C23" s="4">
        <v>0</v>
      </c>
      <c r="D23" s="12">
        <v>250</v>
      </c>
      <c r="E23" s="12">
        <f>C23*D23</f>
        <v>0</v>
      </c>
      <c r="J23" s="31"/>
      <c r="M23" s="31"/>
    </row>
    <row r="24" spans="1:16" ht="12.75" x14ac:dyDescent="0.2">
      <c r="A24" s="2"/>
      <c r="B24" s="6"/>
      <c r="C24" s="2"/>
      <c r="D24" s="36" t="s">
        <v>5</v>
      </c>
      <c r="E24" s="40">
        <f>SUM(E19:E23)</f>
        <v>0</v>
      </c>
      <c r="J24" s="31"/>
      <c r="M24" s="31"/>
    </row>
    <row r="25" spans="1:16" ht="12.75" x14ac:dyDescent="0.2">
      <c r="A25" s="60" t="s">
        <v>61</v>
      </c>
      <c r="B25" s="60"/>
      <c r="C25" s="60"/>
      <c r="D25" s="60"/>
      <c r="E25" s="60"/>
      <c r="F25" s="30"/>
      <c r="G25" s="30"/>
      <c r="H25" s="30"/>
      <c r="I25" s="30"/>
      <c r="M25" s="31"/>
      <c r="P25" s="31"/>
    </row>
    <row r="26" spans="1:16" ht="12.75" x14ac:dyDescent="0.2">
      <c r="A26" s="3" t="s">
        <v>16</v>
      </c>
      <c r="B26" s="3" t="s">
        <v>17</v>
      </c>
      <c r="C26" s="9" t="s">
        <v>3</v>
      </c>
      <c r="D26" s="8" t="s">
        <v>4</v>
      </c>
      <c r="E26" s="8" t="s">
        <v>34</v>
      </c>
      <c r="I26" s="31"/>
      <c r="L26" s="31"/>
    </row>
    <row r="27" spans="1:16" ht="25.5" x14ac:dyDescent="0.2">
      <c r="A27" s="13" t="s">
        <v>62</v>
      </c>
      <c r="B27" s="14" t="s">
        <v>63</v>
      </c>
      <c r="C27" s="15">
        <v>0</v>
      </c>
      <c r="D27" s="15">
        <v>0</v>
      </c>
      <c r="E27" s="41">
        <f>D27*C27*'Kursy i wyliczenia'!$C$9</f>
        <v>0</v>
      </c>
      <c r="I27" s="31"/>
      <c r="L27" s="31"/>
    </row>
    <row r="28" spans="1:16" ht="25.5" x14ac:dyDescent="0.2">
      <c r="A28" s="13" t="s">
        <v>64</v>
      </c>
      <c r="B28" s="14" t="s">
        <v>65</v>
      </c>
      <c r="C28" s="15">
        <v>0</v>
      </c>
      <c r="D28" s="15">
        <v>0</v>
      </c>
      <c r="E28" s="41">
        <f>D28*C28*'Kursy i wyliczenia'!$C$9</f>
        <v>0</v>
      </c>
      <c r="I28" s="31"/>
      <c r="L28" s="31"/>
    </row>
    <row r="29" spans="1:16" ht="12.75" x14ac:dyDescent="0.2">
      <c r="A29" s="13" t="s">
        <v>66</v>
      </c>
      <c r="B29" s="14" t="s">
        <v>67</v>
      </c>
      <c r="C29" s="15">
        <v>0</v>
      </c>
      <c r="D29" s="15">
        <v>0</v>
      </c>
      <c r="E29" s="41">
        <f>D29*C29*'Kursy i wyliczenia'!$C$9</f>
        <v>0</v>
      </c>
      <c r="I29" s="31"/>
      <c r="L29" s="31"/>
    </row>
    <row r="30" spans="1:16" ht="12.75" x14ac:dyDescent="0.2">
      <c r="A30" s="13" t="s">
        <v>68</v>
      </c>
      <c r="B30" s="14" t="s">
        <v>69</v>
      </c>
      <c r="C30" s="15">
        <v>0</v>
      </c>
      <c r="D30" s="15">
        <v>0</v>
      </c>
      <c r="E30" s="41">
        <f>D30*C30*'Kursy i wyliczenia'!$C$9</f>
        <v>0</v>
      </c>
      <c r="I30" s="31"/>
      <c r="L30" s="31"/>
    </row>
    <row r="31" spans="1:16" ht="25.5" x14ac:dyDescent="0.2">
      <c r="A31" s="13" t="s">
        <v>70</v>
      </c>
      <c r="B31" s="14" t="s">
        <v>67</v>
      </c>
      <c r="C31" s="15">
        <v>0</v>
      </c>
      <c r="D31" s="15">
        <v>0</v>
      </c>
      <c r="E31" s="41">
        <f>D31*C31*'Kursy i wyliczenia'!$C$9</f>
        <v>0</v>
      </c>
      <c r="I31" s="31"/>
      <c r="L31" s="31"/>
    </row>
    <row r="32" spans="1:16" ht="25.5" x14ac:dyDescent="0.2">
      <c r="A32" s="13" t="s">
        <v>71</v>
      </c>
      <c r="B32" s="14" t="s">
        <v>69</v>
      </c>
      <c r="C32" s="15">
        <v>0</v>
      </c>
      <c r="D32" s="15">
        <v>0</v>
      </c>
      <c r="E32" s="41">
        <f>D32*C32*'Kursy i wyliczenia'!$C$9</f>
        <v>0</v>
      </c>
      <c r="I32" s="31"/>
      <c r="L32" s="31"/>
    </row>
    <row r="33" spans="1:22" ht="25.5" x14ac:dyDescent="0.2">
      <c r="A33" s="13" t="s">
        <v>72</v>
      </c>
      <c r="B33" s="14" t="s">
        <v>73</v>
      </c>
      <c r="C33" s="15">
        <v>0</v>
      </c>
      <c r="D33" s="15">
        <v>0</v>
      </c>
      <c r="E33" s="41">
        <f>D33*C33*'Kursy i wyliczenia'!$C$9</f>
        <v>0</v>
      </c>
      <c r="I33" s="31"/>
      <c r="L33" s="31"/>
    </row>
    <row r="34" spans="1:22" ht="12.75" x14ac:dyDescent="0.2">
      <c r="A34" s="42"/>
      <c r="B34" s="42"/>
      <c r="C34" s="30"/>
      <c r="D34" s="43" t="s">
        <v>5</v>
      </c>
      <c r="E34" s="44">
        <f>SUM(E27:E33)</f>
        <v>0</v>
      </c>
      <c r="K34" s="31"/>
      <c r="N34" s="31"/>
    </row>
    <row r="35" spans="1:22" ht="12.75" x14ac:dyDescent="0.2">
      <c r="A35" s="61" t="s">
        <v>74</v>
      </c>
      <c r="B35" s="61"/>
      <c r="C35" s="61"/>
      <c r="D35" s="61"/>
      <c r="E35" s="61"/>
      <c r="F35" s="42"/>
      <c r="G35" s="42"/>
      <c r="H35" s="42"/>
      <c r="I35" s="42"/>
      <c r="M35" s="31"/>
      <c r="P35" s="31"/>
    </row>
    <row r="36" spans="1:22" ht="12.75" x14ac:dyDescent="0.2">
      <c r="A36" s="8" t="s">
        <v>7</v>
      </c>
      <c r="B36" s="8" t="s">
        <v>8</v>
      </c>
      <c r="C36" s="9" t="s">
        <v>3</v>
      </c>
      <c r="D36" s="8" t="s">
        <v>9</v>
      </c>
      <c r="E36" s="8" t="s">
        <v>34</v>
      </c>
      <c r="H36" s="31"/>
      <c r="K36" s="31"/>
    </row>
    <row r="37" spans="1:22" ht="12.75" x14ac:dyDescent="0.2">
      <c r="A37" s="17" t="s">
        <v>18</v>
      </c>
      <c r="B37" s="45" t="s">
        <v>11</v>
      </c>
      <c r="C37" s="15">
        <v>0</v>
      </c>
      <c r="D37" s="16">
        <v>99</v>
      </c>
      <c r="E37" s="46">
        <f t="shared" ref="E37:E44" si="0">D37*C37</f>
        <v>0</v>
      </c>
      <c r="H37" s="31"/>
      <c r="K37" s="31"/>
    </row>
    <row r="38" spans="1:22" ht="12.75" x14ac:dyDescent="0.2">
      <c r="A38" s="17" t="s">
        <v>19</v>
      </c>
      <c r="B38" s="45" t="s">
        <v>11</v>
      </c>
      <c r="C38" s="15">
        <v>0</v>
      </c>
      <c r="D38" s="16">
        <v>199</v>
      </c>
      <c r="E38" s="46">
        <f t="shared" si="0"/>
        <v>0</v>
      </c>
      <c r="H38" s="31"/>
      <c r="K38" s="31"/>
    </row>
    <row r="39" spans="1:22" ht="12.75" x14ac:dyDescent="0.2">
      <c r="A39" s="17" t="s">
        <v>20</v>
      </c>
      <c r="B39" s="45" t="s">
        <v>11</v>
      </c>
      <c r="C39" s="15">
        <v>0</v>
      </c>
      <c r="D39" s="16">
        <v>199</v>
      </c>
      <c r="E39" s="46">
        <f t="shared" si="0"/>
        <v>0</v>
      </c>
      <c r="H39" s="31"/>
      <c r="K39" s="31"/>
    </row>
    <row r="40" spans="1:22" ht="12.75" x14ac:dyDescent="0.2">
      <c r="A40" s="17" t="s">
        <v>21</v>
      </c>
      <c r="B40" s="45" t="s">
        <v>11</v>
      </c>
      <c r="C40" s="15">
        <v>0</v>
      </c>
      <c r="D40" s="16">
        <v>25</v>
      </c>
      <c r="E40" s="46">
        <f t="shared" si="0"/>
        <v>0</v>
      </c>
      <c r="H40" s="31"/>
      <c r="K40" s="31"/>
    </row>
    <row r="41" spans="1:22" ht="12.75" x14ac:dyDescent="0.2">
      <c r="A41" s="17" t="s">
        <v>22</v>
      </c>
      <c r="B41" s="45" t="s">
        <v>11</v>
      </c>
      <c r="C41" s="15">
        <v>0</v>
      </c>
      <c r="D41" s="16">
        <v>399</v>
      </c>
      <c r="E41" s="46">
        <f t="shared" si="0"/>
        <v>0</v>
      </c>
      <c r="H41" s="31"/>
      <c r="K41" s="31"/>
    </row>
    <row r="42" spans="1:22" ht="12.75" x14ac:dyDescent="0.2">
      <c r="A42" s="17" t="s">
        <v>23</v>
      </c>
      <c r="B42" s="18" t="s">
        <v>11</v>
      </c>
      <c r="C42" s="15">
        <v>0</v>
      </c>
      <c r="D42" s="16">
        <v>399</v>
      </c>
      <c r="E42" s="46">
        <f t="shared" si="0"/>
        <v>0</v>
      </c>
      <c r="I42" s="31"/>
    </row>
    <row r="43" spans="1:22" ht="12.75" x14ac:dyDescent="0.2">
      <c r="A43" s="17" t="s">
        <v>24</v>
      </c>
      <c r="B43" s="45" t="s">
        <v>75</v>
      </c>
      <c r="C43" s="15">
        <v>0</v>
      </c>
      <c r="D43" s="16">
        <v>1399</v>
      </c>
      <c r="E43" s="46">
        <f t="shared" si="0"/>
        <v>0</v>
      </c>
      <c r="H43" s="31"/>
      <c r="I43" s="31"/>
      <c r="L43" s="31"/>
    </row>
    <row r="44" spans="1:22" ht="12.75" x14ac:dyDescent="0.2">
      <c r="A44" s="17" t="s">
        <v>25</v>
      </c>
      <c r="B44" s="45" t="s">
        <v>11</v>
      </c>
      <c r="C44" s="15">
        <v>0</v>
      </c>
      <c r="D44" s="16">
        <v>999</v>
      </c>
      <c r="E44" s="46">
        <f t="shared" si="0"/>
        <v>0</v>
      </c>
      <c r="J44" s="31"/>
      <c r="M44" s="31"/>
    </row>
    <row r="45" spans="1:22" ht="12.75" x14ac:dyDescent="0.2">
      <c r="A45" s="2"/>
      <c r="B45" s="2"/>
      <c r="C45" s="2"/>
      <c r="D45" s="19" t="s">
        <v>5</v>
      </c>
      <c r="E45" s="20">
        <f>SUM(E37:E44)</f>
        <v>0</v>
      </c>
      <c r="V45" s="31"/>
    </row>
    <row r="46" spans="1:22" ht="12.75" x14ac:dyDescent="0.2">
      <c r="C46" s="2"/>
      <c r="E46" s="2"/>
      <c r="F46" s="2"/>
      <c r="G46" s="2"/>
      <c r="H46" s="2"/>
      <c r="I46" s="2"/>
      <c r="Q46" s="31"/>
    </row>
    <row r="47" spans="1:22" x14ac:dyDescent="0.25">
      <c r="D47" s="47" t="s">
        <v>26</v>
      </c>
      <c r="E47" s="48">
        <f>E16+E24+E34+E45</f>
        <v>486.4</v>
      </c>
      <c r="L47" s="31"/>
    </row>
    <row r="48" spans="1:22" ht="12.75" x14ac:dyDescent="0.2">
      <c r="L48" s="31"/>
    </row>
    <row r="49" spans="1:17" ht="25.5" x14ac:dyDescent="0.2">
      <c r="A49" s="49" t="s">
        <v>76</v>
      </c>
      <c r="B49" s="50">
        <f>E16*B51+E24+E45</f>
        <v>486.4</v>
      </c>
      <c r="L49" s="31"/>
    </row>
    <row r="50" spans="1:17" ht="12.75" x14ac:dyDescent="0.2">
      <c r="A50" s="49" t="s">
        <v>155</v>
      </c>
      <c r="B50" s="50">
        <f>E34</f>
        <v>0</v>
      </c>
      <c r="L50" s="31"/>
    </row>
    <row r="51" spans="1:17" ht="12.75" x14ac:dyDescent="0.2">
      <c r="A51" s="49" t="s">
        <v>77</v>
      </c>
      <c r="B51" s="22">
        <v>1</v>
      </c>
      <c r="L51" s="31"/>
    </row>
    <row r="52" spans="1:17" ht="12.75" x14ac:dyDescent="0.2">
      <c r="A52" s="51" t="s">
        <v>27</v>
      </c>
      <c r="B52" s="22">
        <v>1</v>
      </c>
      <c r="H52" s="31"/>
      <c r="I52" s="31"/>
      <c r="Q52" s="31"/>
    </row>
    <row r="53" spans="1:17" ht="12.75" x14ac:dyDescent="0.2">
      <c r="J53" s="31"/>
      <c r="K53" s="31"/>
    </row>
    <row r="54" spans="1:17" ht="12.75" customHeight="1" x14ac:dyDescent="0.2">
      <c r="A54" s="49" t="s">
        <v>28</v>
      </c>
      <c r="B54" s="52" t="s">
        <v>29</v>
      </c>
      <c r="C54" s="52" t="s">
        <v>30</v>
      </c>
      <c r="D54" s="52" t="s">
        <v>78</v>
      </c>
    </row>
    <row r="55" spans="1:17" ht="12.75" customHeight="1" x14ac:dyDescent="0.2">
      <c r="A55" s="17" t="s">
        <v>31</v>
      </c>
      <c r="B55" s="17">
        <v>0</v>
      </c>
      <c r="C55" s="17">
        <v>250</v>
      </c>
      <c r="D55" s="17">
        <f>C55*B55</f>
        <v>0</v>
      </c>
    </row>
    <row r="56" spans="1:17" ht="12.75" customHeight="1" x14ac:dyDescent="0.2">
      <c r="A56" s="53"/>
    </row>
    <row r="57" spans="1:17" ht="12.75" customHeight="1" x14ac:dyDescent="0.2">
      <c r="A57" s="54"/>
      <c r="B57" s="54"/>
    </row>
    <row r="58" spans="1:17" ht="12.75" customHeight="1" x14ac:dyDescent="0.2">
      <c r="A58" s="54"/>
      <c r="B58" s="54"/>
    </row>
    <row r="59" spans="1:17" ht="12.75" customHeight="1" x14ac:dyDescent="0.2">
      <c r="A59" s="54"/>
      <c r="B59" s="54"/>
    </row>
    <row r="60" spans="1:17" ht="12.75" customHeight="1" x14ac:dyDescent="0.2"/>
    <row r="61" spans="1:17" ht="12.75" customHeight="1" x14ac:dyDescent="0.2"/>
    <row r="62" spans="1:17" ht="12.75" customHeight="1" x14ac:dyDescent="0.2"/>
    <row r="63" spans="1:17" ht="12.75" customHeight="1" x14ac:dyDescent="0.2"/>
    <row r="64" spans="1:1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</sheetData>
  <mergeCells count="9">
    <mergeCell ref="A17:E17"/>
    <mergeCell ref="A25:E25"/>
    <mergeCell ref="A35:E35"/>
    <mergeCell ref="A3:E3"/>
    <mergeCell ref="A7:A9"/>
    <mergeCell ref="B7:B9"/>
    <mergeCell ref="C7:C9"/>
    <mergeCell ref="A10:A12"/>
    <mergeCell ref="A14:A15"/>
  </mergeCells>
  <dataValidations count="8">
    <dataValidation type="list" allowBlank="1" showInputMessage="1" showErrorMessage="1" sqref="B14" xr:uid="{E52184D0-741D-49A1-AC4D-0C67140AF576}">
      <formula1>"Pierwsza"</formula1>
    </dataValidation>
    <dataValidation type="list" allowBlank="1" showInputMessage="1" showErrorMessage="1" sqref="B12" xr:uid="{428EFC96-D13A-411D-ADFE-07CE88B6FDAE}">
      <formula1>"Profil 3"</formula1>
    </dataValidation>
    <dataValidation type="list" allowBlank="1" showInputMessage="1" showErrorMessage="1" sqref="B11" xr:uid="{21F22C4E-27C0-47B8-8EB2-C4452E1B5374}">
      <formula1>"Profil 2"</formula1>
    </dataValidation>
    <dataValidation type="list" allowBlank="1" showInputMessage="1" showErrorMessage="1" sqref="B10" xr:uid="{98E9C34D-F4C9-4695-8976-D036CDFC10A9}">
      <formula1>"Profil 1"</formula1>
    </dataValidation>
    <dataValidation type="whole" allowBlank="1" showInputMessage="1" showErrorMessage="1" sqref="C7:C9" xr:uid="{C8AED3EB-853D-4440-B08E-0BA285A7C085}">
      <formula1>0</formula1>
      <formula2>1000</formula2>
    </dataValidation>
    <dataValidation allowBlank="1" showInputMessage="1" showErrorMessage="1" promptTitle="Pole automatyczne" prompt="Pole automatyczne na bazie wybranych usług security." sqref="C21:C22" xr:uid="{8CB90027-09B3-4B1E-A636-7EB1D03FCFE7}"/>
    <dataValidation type="list" allowBlank="1" showInputMessage="1" showErrorMessage="1" sqref="B15" xr:uid="{9C0470B5-8ACE-469C-A92F-D39563DC0479}">
      <formula1>"Druga"</formula1>
    </dataValidation>
    <dataValidation type="list" allowBlank="1" showInputMessage="1" showErrorMessage="1" sqref="B13" xr:uid="{C62361B5-543A-4822-971C-7C51BF012E34}">
      <formula1>"Backup lenovo"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Kursy i wyliczenia</vt:lpstr>
      <vt:lpstr>Wycena VPSów</vt:lpstr>
      <vt:lpstr>'Kursy i wyliczenia'!tabela_a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Celebudzki</dc:creator>
  <cp:lastModifiedBy>Damian Golał</cp:lastModifiedBy>
  <dcterms:created xsi:type="dcterms:W3CDTF">2023-11-02T09:39:03Z</dcterms:created>
  <dcterms:modified xsi:type="dcterms:W3CDTF">2025-03-16T18:26:55Z</dcterms:modified>
</cp:coreProperties>
</file>