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писок" sheetId="1" state="visible" r:id="rId2"/>
    <sheet name="Отзывы" sheetId="2" state="visible" r:id="rId3"/>
    <sheet name="ТехническийЛист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<sst xmlns="http://schemas.openxmlformats.org/spreadsheetml/2006/main" count="3689" uniqueCount="1060">
  <si>
    <t xml:space="preserve">C-Key</t>
  </si>
  <si>
    <t xml:space="preserve">Discord</t>
  </si>
  <si>
    <t xml:space="preserve">Карма</t>
  </si>
  <si>
    <t xml:space="preserve">Доступ выдан</t>
  </si>
  <si>
    <t xml:space="preserve">Билет</t>
  </si>
  <si>
    <t xml:space="preserve">IgorKa</t>
  </si>
  <si>
    <t xml:space="preserve">sir_valera</t>
  </si>
  <si>
    <t xml:space="preserve">koceryzkaa</t>
  </si>
  <si>
    <t xml:space="preserve">pasha989q</t>
  </si>
  <si>
    <t xml:space="preserve">sampletestboy2</t>
  </si>
  <si>
    <t xml:space="preserve">KAZAK</t>
  </si>
  <si>
    <t xml:space="preserve">kazak228</t>
  </si>
  <si>
    <t xml:space="preserve">Xepple</t>
  </si>
  <si>
    <t xml:space="preserve">xepplethecatapult</t>
  </si>
  <si>
    <t xml:space="preserve">red200150 28.03.24
suseimus перманентно</t>
  </si>
  <si>
    <t xml:space="preserve">Alec</t>
  </si>
  <si>
    <t xml:space="preserve">defounding</t>
  </si>
  <si>
    <t xml:space="preserve">Mk1</t>
  </si>
  <si>
    <t xml:space="preserve">mossio</t>
  </si>
  <si>
    <t xml:space="preserve">depresh</t>
  </si>
  <si>
    <t xml:space="preserve">depresh_zxc</t>
  </si>
  <si>
    <t xml:space="preserve">Eriso4ka</t>
  </si>
  <si>
    <t xml:space="preserve">eriso4ka1789</t>
  </si>
  <si>
    <t xml:space="preserve">Bonbui</t>
  </si>
  <si>
    <t xml:space="preserve">bonquai</t>
  </si>
  <si>
    <t xml:space="preserve">Kunka
</t>
  </si>
  <si>
    <t xml:space="preserve">shurali2008</t>
  </si>
  <si>
    <t xml:space="preserve">supjoke</t>
  </si>
  <si>
    <t xml:space="preserve">nexochyxa_</t>
  </si>
  <si>
    <t xml:space="preserve">KEEYN</t>
  </si>
  <si>
    <t xml:space="preserve">keeyn</t>
  </si>
  <si>
    <t xml:space="preserve">Seeker_of_Hope</t>
  </si>
  <si>
    <t xml:space="preserve">neytral_channel</t>
  </si>
  <si>
    <t xml:space="preserve">-</t>
  </si>
  <si>
    <t xml:space="preserve">McDonaldsObamaBurger</t>
  </si>
  <si>
    <t xml:space="preserve">mcdonaldsobamaburger</t>
  </si>
  <si>
    <t xml:space="preserve">JuBoTHoe</t>
  </si>
  <si>
    <t xml:space="preserve">jubothoez</t>
  </si>
  <si>
    <t xml:space="preserve">Vova_Vist</t>
  </si>
  <si>
    <t xml:space="preserve">help_me2023</t>
  </si>
  <si>
    <t xml:space="preserve">Egor_Corovin</t>
  </si>
  <si>
    <t xml:space="preserve">ega_2008</t>
  </si>
  <si>
    <t xml:space="preserve">SLizeNFaD</t>
  </si>
  <si>
    <t xml:space="preserve">slizenfad</t>
  </si>
  <si>
    <t xml:space="preserve">crsxvv</t>
  </si>
  <si>
    <t xml:space="preserve">spokoynich21</t>
  </si>
  <si>
    <t xml:space="preserve">Vektor</t>
  </si>
  <si>
    <t xml:space="preserve">callfromvoid</t>
  </si>
  <si>
    <t xml:space="preserve">Icetea</t>
  </si>
  <si>
    <t xml:space="preserve">Mobjarod</t>
  </si>
  <si>
    <t xml:space="preserve">FreezeCactus</t>
  </si>
  <si>
    <t xml:space="preserve">frcts</t>
  </si>
  <si>
    <t xml:space="preserve">Parmezan</t>
  </si>
  <si>
    <t xml:space="preserve">ya_pomidorka</t>
  </si>
  <si>
    <t xml:space="preserve">OneHellSinG</t>
  </si>
  <si>
    <t xml:space="preserve">yobenboben00</t>
  </si>
  <si>
    <t xml:space="preserve">DetectiveWood</t>
  </si>
  <si>
    <t xml:space="preserve">detective_wood</t>
  </si>
  <si>
    <t xml:space="preserve">Dremer</t>
  </si>
  <si>
    <t xml:space="preserve">kuuxxiinng</t>
  </si>
  <si>
    <t xml:space="preserve">Sir_Felix</t>
  </si>
  <si>
    <t xml:space="preserve">lune_felix</t>
  </si>
  <si>
    <t xml:space="preserve">arisuhori 29.08.24 x43x 09.11.24</t>
  </si>
  <si>
    <t xml:space="preserve">YarikVodila</t>
  </si>
  <si>
    <t xml:space="preserve">regeton</t>
  </si>
  <si>
    <t xml:space="preserve">*</t>
  </si>
  <si>
    <t xml:space="preserve">zaharkahight</t>
  </si>
  <si>
    <t xml:space="preserve">meowmeowpurrrr</t>
  </si>
  <si>
    <t xml:space="preserve">bussyhuntsman 22.06.24</t>
  </si>
  <si>
    <t xml:space="preserve">gogiko</t>
  </si>
  <si>
    <t xml:space="preserve">BlackMesaGTO</t>
  </si>
  <si>
    <t xml:space="preserve">blackmesagto</t>
  </si>
  <si>
    <t xml:space="preserve">ARKA7</t>
  </si>
  <si>
    <t xml:space="preserve">Donga</t>
  </si>
  <si>
    <t xml:space="preserve">Donga#7098</t>
  </si>
  <si>
    <t xml:space="preserve">GRAMOPHONKE</t>
  </si>
  <si>
    <t xml:space="preserve">gramophonke</t>
  </si>
  <si>
    <t xml:space="preserve">LusCor</t>
  </si>
  <si>
    <t xml:space="preserve">Luscor</t>
  </si>
  <si>
    <t xml:space="preserve">K_i_r</t>
  </si>
  <si>
    <t xml:space="preserve">d_i_a_b_l_o</t>
  </si>
  <si>
    <t xml:space="preserve">PufikiKu</t>
  </si>
  <si>
    <t xml:space="preserve">puf1k8863</t>
  </si>
  <si>
    <t xml:space="preserve">amonra20169</t>
  </si>
  <si>
    <t xml:space="preserve">Frisemo</t>
  </si>
  <si>
    <t xml:space="preserve">frisemo</t>
  </si>
  <si>
    <t xml:space="preserve">NikerkaSS13</t>
  </si>
  <si>
    <t xml:space="preserve">nikerkass13</t>
  </si>
  <si>
    <t xml:space="preserve">yunevka</t>
  </si>
  <si>
    <t xml:space="preserve">tuman207 diega</t>
  </si>
  <si>
    <t xml:space="preserve">flazermaster</t>
  </si>
  <si>
    <t xml:space="preserve">.flazerowo</t>
  </si>
  <si>
    <t xml:space="preserve">RomusOptimus</t>
  </si>
  <si>
    <t xml:space="preserve">Romul#4524</t>
  </si>
  <si>
    <t xml:space="preserve">Risident957</t>
  </si>
  <si>
    <t xml:space="preserve">Filin222</t>
  </si>
  <si>
    <t xml:space="preserve">snipik</t>
  </si>
  <si>
    <t xml:space="preserve">Akiro_F</t>
  </si>
  <si>
    <t xml:space="preserve">akiro_f</t>
  </si>
  <si>
    <t xml:space="preserve">Warbly</t>
  </si>
  <si>
    <t xml:space="preserve">warbly</t>
  </si>
  <si>
    <t xml:space="preserve">kompotik</t>
  </si>
  <si>
    <t xml:space="preserve">ko_mp_otik</t>
  </si>
  <si>
    <t xml:space="preserve">EkoRiri</t>
  </si>
  <si>
    <t xml:space="preserve">ekoriri</t>
  </si>
  <si>
    <t xml:space="preserve">Clostyan</t>
  </si>
  <si>
    <t xml:space="preserve">ZEIRNO</t>
  </si>
  <si>
    <t xml:space="preserve">hisniy</t>
  </si>
  <si>
    <t xml:space="preserve">Larisael</t>
  </si>
  <si>
    <t xml:space="preserve">larisael</t>
  </si>
  <si>
    <t xml:space="preserve">bolper</t>
  </si>
  <si>
    <t xml:space="preserve">Daymo</t>
  </si>
  <si>
    <t xml:space="preserve">daymo1565</t>
  </si>
  <si>
    <t xml:space="preserve">Snaipernoob</t>
  </si>
  <si>
    <t xml:space="preserve">i_zachem</t>
  </si>
  <si>
    <t xml:space="preserve">profil</t>
  </si>
  <si>
    <t xml:space="preserve">suseimus</t>
  </si>
  <si>
    <t xml:space="preserve">Alex3312</t>
  </si>
  <si>
    <t xml:space="preserve">alexksei3</t>
  </si>
  <si>
    <t xml:space="preserve">newnoob</t>
  </si>
  <si>
    <t xml:space="preserve">rubelaks</t>
  </si>
  <si>
    <t xml:space="preserve">Toros</t>
  </si>
  <si>
    <t xml:space="preserve">toros4</t>
  </si>
  <si>
    <t xml:space="preserve">inkmol 01.06.24 waratri 01.11.24</t>
  </si>
  <si>
    <t xml:space="preserve">wawewa221</t>
  </si>
  <si>
    <t xml:space="preserve">Minrik</t>
  </si>
  <si>
    <t xml:space="preserve">NekooTrap</t>
  </si>
  <si>
    <t xml:space="preserve">pg_9720</t>
  </si>
  <si>
    <t xml:space="preserve">Sergo76</t>
  </si>
  <si>
    <t xml:space="preserve">cergo.</t>
  </si>
  <si>
    <t xml:space="preserve">Pazrok</t>
  </si>
  <si>
    <t xml:space="preserve">pazrok</t>
  </si>
  <si>
    <t xml:space="preserve">LieEater</t>
  </si>
  <si>
    <t xml:space="preserve">tyomnii</t>
  </si>
  <si>
    <t xml:space="preserve">For_farcraft</t>
  </si>
  <si>
    <t xml:space="preserve">слава#7663</t>
  </si>
  <si>
    <t xml:space="preserve">SuperUltraGigachad</t>
  </si>
  <si>
    <t xml:space="preserve">no11124</t>
  </si>
  <si>
    <t xml:space="preserve">Bibsa</t>
  </si>
  <si>
    <t xml:space="preserve">vietnames</t>
  </si>
  <si>
    <t xml:space="preserve">Nikon</t>
  </si>
  <si>
    <t xml:space="preserve">nik.on</t>
  </si>
  <si>
    <t xml:space="preserve">C4PYB4R4R0LL</t>
  </si>
  <si>
    <t xml:space="preserve">burumbuzer</t>
  </si>
  <si>
    <t xml:space="preserve">ONS</t>
  </si>
  <si>
    <t xml:space="preserve">ons47</t>
  </si>
  <si>
    <t xml:space="preserve">20fox05</t>
  </si>
  <si>
    <t xml:space="preserve">11_augustus_11</t>
  </si>
  <si>
    <t xml:space="preserve">Auvn</t>
  </si>
  <si>
    <t xml:space="preserve">geshaplay</t>
  </si>
  <si>
    <t xml:space="preserve">Mega_Viper</t>
  </si>
  <si>
    <t xml:space="preserve">destroyer5545</t>
  </si>
  <si>
    <t xml:space="preserve">timon498</t>
  </si>
  <si>
    <t xml:space="preserve">kto_toil</t>
  </si>
  <si>
    <t xml:space="preserve">Ket_Ka</t>
  </si>
  <si>
    <t xml:space="preserve">ket_ka</t>
  </si>
  <si>
    <t xml:space="preserve">Kvister</t>
  </si>
  <si>
    <t xml:space="preserve">kvister</t>
  </si>
  <si>
    <t xml:space="preserve">arina__</t>
  </si>
  <si>
    <t xml:space="preserve">aredankatop</t>
  </si>
  <si>
    <t xml:space="preserve">voyketon</t>
  </si>
  <si>
    <t xml:space="preserve">Axxelium</t>
  </si>
  <si>
    <t xml:space="preserve">axxelium</t>
  </si>
  <si>
    <t xml:space="preserve">whete</t>
  </si>
  <si>
    <t xml:space="preserve">.whete</t>
  </si>
  <si>
    <t xml:space="preserve">GreyWarden</t>
  </si>
  <si>
    <t xml:space="preserve">greywarden312</t>
  </si>
  <si>
    <t xml:space="preserve">bandiKOtik</t>
  </si>
  <si>
    <t xml:space="preserve">bandikotik</t>
  </si>
  <si>
    <t xml:space="preserve">Lona</t>
  </si>
  <si>
    <t xml:space="preserve">peacfulli</t>
  </si>
  <si>
    <t xml:space="preserve">TheBoi</t>
  </si>
  <si>
    <t xml:space="preserve">noob7661</t>
  </si>
  <si>
    <t xml:space="preserve">Sileo</t>
  </si>
  <si>
    <t xml:space="preserve">sileo8056</t>
  </si>
  <si>
    <t xml:space="preserve">rews23</t>
  </si>
  <si>
    <t xml:space="preserve">gnom7995</t>
  </si>
  <si>
    <t xml:space="preserve">Phantom4502</t>
  </si>
  <si>
    <t xml:space="preserve">fantom5946</t>
  </si>
  <si>
    <t xml:space="preserve">FDutch</t>
  </si>
  <si>
    <t xml:space="preserve">Naru#2684</t>
  </si>
  <si>
    <t xml:space="preserve">rustic5 28.06.24</t>
  </si>
  <si>
    <t xml:space="preserve">Ryas </t>
  </si>
  <si>
    <t xml:space="preserve">.ryas</t>
  </si>
  <si>
    <t xml:space="preserve">Mittnuruodo</t>
  </si>
  <si>
    <t xml:space="preserve">DeTar637</t>
  </si>
  <si>
    <t xml:space="preserve">Rina_Epta</t>
  </si>
  <si>
    <t xml:space="preserve">rina_epta</t>
  </si>
  <si>
    <t xml:space="preserve">Tomsk</t>
  </si>
  <si>
    <t xml:space="preserve">tomsktoluene</t>
  </si>
  <si>
    <t xml:space="preserve">savvaferu</t>
  </si>
  <si>
    <t xml:space="preserve">ababusgannon 04.11.24</t>
  </si>
  <si>
    <t xml:space="preserve">Falke</t>
  </si>
  <si>
    <t xml:space="preserve">lazurazur</t>
  </si>
  <si>
    <t xml:space="preserve">memegod333</t>
  </si>
  <si>
    <t xml:space="preserve">chebureshka.</t>
  </si>
  <si>
    <t xml:space="preserve">Tuma</t>
  </si>
  <si>
    <t xml:space="preserve">tumanalexandr</t>
  </si>
  <si>
    <t xml:space="preserve">fodgit</t>
  </si>
  <si>
    <t xml:space="preserve">tol7375</t>
  </si>
  <si>
    <t xml:space="preserve">DecemberThisMonth</t>
  </si>
  <si>
    <t xml:space="preserve">yellowaysolitu</t>
  </si>
  <si>
    <t xml:space="preserve">Pelarchic</t>
  </si>
  <si>
    <t xml:space="preserve">pelarchic</t>
  </si>
  <si>
    <t xml:space="preserve">nexomeow</t>
  </si>
  <si>
    <t xml:space="preserve">texttipo</t>
  </si>
  <si>
    <t xml:space="preserve">terminagar</t>
  </si>
  <si>
    <t xml:space="preserve">terminagor</t>
  </si>
  <si>
    <t xml:space="preserve">Brg</t>
  </si>
  <si>
    <t xml:space="preserve">PabLO1</t>
  </si>
  <si>
    <t xml:space="preserve">cheltim</t>
  </si>
  <si>
    <t xml:space="preserve">Ziondant</t>
  </si>
  <si>
    <t xml:space="preserve">zipskant</t>
  </si>
  <si>
    <t xml:space="preserve">white_tr</t>
  </si>
  <si>
    <t xml:space="preserve">trwhite715</t>
  </si>
  <si>
    <t xml:space="preserve">Light_Lava</t>
  </si>
  <si>
    <t xml:space="preserve">de_liva</t>
  </si>
  <si>
    <t xml:space="preserve">Yarik2005</t>
  </si>
  <si>
    <t xml:space="preserve">yarik201005</t>
  </si>
  <si>
    <t xml:space="preserve">de21_</t>
  </si>
  <si>
    <t xml:space="preserve">strimer_</t>
  </si>
  <si>
    <t xml:space="preserve">a_na_xolodnom_ura</t>
  </si>
  <si>
    <t xml:space="preserve">patrik_krutoy_paren</t>
  </si>
  <si>
    <t xml:space="preserve">KAKTYC900</t>
  </si>
  <si>
    <t xml:space="preserve">kaktyc900</t>
  </si>
  <si>
    <t xml:space="preserve">terenti</t>
  </si>
  <si>
    <t xml:space="preserve">mkv289</t>
  </si>
  <si>
    <t xml:space="preserve">Rayan_Gosling715</t>
  </si>
  <si>
    <t xml:space="preserve"> rayan_gosling716</t>
  </si>
  <si>
    <t xml:space="preserve">HellMan1222567889012</t>
  </si>
  <si>
    <t xml:space="preserve">fete2325</t>
  </si>
  <si>
    <t xml:space="preserve">OtCshit</t>
  </si>
  <si>
    <t xml:space="preserve">sickler_pon</t>
  </si>
  <si>
    <t xml:space="preserve">cheapper</t>
  </si>
  <si>
    <t xml:space="preserve">cheapper_</t>
  </si>
  <si>
    <t xml:space="preserve">Curbjgjeg</t>
  </si>
  <si>
    <t xml:space="preserve">Curbigjeg</t>
  </si>
  <si>
    <t xml:space="preserve">RYKAch</t>
  </si>
  <si>
    <t xml:space="preserve">RYKAchort </t>
  </si>
  <si>
    <t xml:space="preserve">wentuiza</t>
  </si>
  <si>
    <t xml:space="preserve">Wentuiza</t>
  </si>
  <si>
    <t xml:space="preserve">Andrey_Zubov</t>
  </si>
  <si>
    <t xml:space="preserve">diegobrando0397</t>
  </si>
  <si>
    <t xml:space="preserve">Arsen22</t>
  </si>
  <si>
    <t xml:space="preserve">yolteri</t>
  </si>
  <si>
    <t xml:space="preserve">TochnoNeNabegator</t>
  </si>
  <si>
    <t xml:space="preserve">Clown3181</t>
  </si>
  <si>
    <t xml:space="preserve">Red200150</t>
  </si>
  <si>
    <t xml:space="preserve">red200150</t>
  </si>
  <si>
    <t xml:space="preserve">dantanat</t>
  </si>
  <si>
    <t xml:space="preserve">Alphabober</t>
  </si>
  <si>
    <t xml:space="preserve">kotecat</t>
  </si>
  <si>
    <t xml:space="preserve">MAXVETER</t>
  </si>
  <si>
    <t xml:space="preserve">gluhoydaun</t>
  </si>
  <si>
    <t xml:space="preserve">erty63000</t>
  </si>
  <si>
    <t xml:space="preserve">danil630</t>
  </si>
  <si>
    <t xml:space="preserve">Ivushkin</t>
  </si>
  <si>
    <t xml:space="preserve">ivuskin</t>
  </si>
  <si>
    <t xml:space="preserve">Vitas3g3</t>
  </si>
  <si>
    <t xml:space="preserve">medved_mr</t>
  </si>
  <si>
    <t xml:space="preserve">AnyLoo</t>
  </si>
  <si>
    <t xml:space="preserve">anyl0o</t>
  </si>
  <si>
    <t xml:space="preserve">logotip374</t>
  </si>
  <si>
    <t xml:space="preserve">ya1914</t>
  </si>
  <si>
    <t xml:space="preserve">chaha83</t>
  </si>
  <si>
    <t xml:space="preserve">Techno </t>
  </si>
  <si>
    <t xml:space="preserve">1techno1</t>
  </si>
  <si>
    <t xml:space="preserve">emptiness</t>
  </si>
  <si>
    <t xml:space="preserve">.injener.</t>
  </si>
  <si>
    <t xml:space="preserve">Asimov</t>
  </si>
  <si>
    <t xml:space="preserve">Xalo0099</t>
  </si>
  <si>
    <t xml:space="preserve">Wisdom</t>
  </si>
  <si>
    <t xml:space="preserve">laziclas</t>
  </si>
  <si>
    <t xml:space="preserve">zxxxhoik</t>
  </si>
  <si>
    <t xml:space="preserve">михалыч#6879</t>
  </si>
  <si>
    <t xml:space="preserve">Gix</t>
  </si>
  <si>
    <t xml:space="preserve">demzne</t>
  </si>
  <si>
    <t xml:space="preserve">Lifto</t>
  </si>
  <si>
    <t xml:space="preserve">gofor_987</t>
  </si>
  <si>
    <t xml:space="preserve">KairyCake</t>
  </si>
  <si>
    <t xml:space="preserve">kairycake</t>
  </si>
  <si>
    <t xml:space="preserve">Xiligan4ik</t>
  </si>
  <si>
    <t xml:space="preserve">Xiligan4ik_</t>
  </si>
  <si>
    <t xml:space="preserve">blub28</t>
  </si>
  <si>
    <t xml:space="preserve">Syndicate</t>
  </si>
  <si>
    <t xml:space="preserve">kotopes337</t>
  </si>
  <si>
    <t xml:space="preserve">real_psina1</t>
  </si>
  <si>
    <t xml:space="preserve">RoflsPOMIDORS21</t>
  </si>
  <si>
    <t xml:space="preserve">egor4ik_pain</t>
  </si>
  <si>
    <t xml:space="preserve">Keskorov</t>
  </si>
  <si>
    <t xml:space="preserve">keskorov</t>
  </si>
  <si>
    <t xml:space="preserve">CholkPock</t>
  </si>
  <si>
    <t xml:space="preserve">daniiiiiiiil</t>
  </si>
  <si>
    <t xml:space="preserve">Mautix</t>
  </si>
  <si>
    <t xml:space="preserve">.deadinside1</t>
  </si>
  <si>
    <t xml:space="preserve">Artur231</t>
  </si>
  <si>
    <t xml:space="preserve">artur0001</t>
  </si>
  <si>
    <t xml:space="preserve">Makot</t>
  </si>
  <si>
    <t xml:space="preserve">makot</t>
  </si>
  <si>
    <t xml:space="preserve">Polkovnik 667</t>
  </si>
  <si>
    <t xml:space="preserve">polkovnik667</t>
  </si>
  <si>
    <t xml:space="preserve">Poeno</t>
  </si>
  <si>
    <t xml:space="preserve">poeno</t>
  </si>
  <si>
    <t xml:space="preserve">YukiZaychik</t>
  </si>
  <si>
    <t xml:space="preserve">voronenok_91382</t>
  </si>
  <si>
    <t xml:space="preserve">Ut04ka</t>
  </si>
  <si>
    <t xml:space="preserve">ut04ka22801</t>
  </si>
  <si>
    <t xml:space="preserve">brofrombeach</t>
  </si>
  <si>
    <t xml:space="preserve">flufzer</t>
  </si>
  <si>
    <t xml:space="preserve">Bl1tz</t>
  </si>
  <si>
    <t xml:space="preserve">gleb_kozyavkin</t>
  </si>
  <si>
    <t xml:space="preserve">Anynah</t>
  </si>
  <si>
    <t xml:space="preserve">_anynah_</t>
  </si>
  <si>
    <t xml:space="preserve">discorrd_govno 23.06.24</t>
  </si>
  <si>
    <t xml:space="preserve">GrantedFiber987</t>
  </si>
  <si>
    <t xml:space="preserve">grantedfiber987</t>
  </si>
  <si>
    <t xml:space="preserve">Esoene</t>
  </si>
  <si>
    <t xml:space="preserve">Chavapchacha</t>
  </si>
  <si>
    <t xml:space="preserve">shark_valet </t>
  </si>
  <si>
    <t xml:space="preserve">bobrpupsik</t>
  </si>
  <si>
    <t xml:space="preserve">TumAn207</t>
  </si>
  <si>
    <t xml:space="preserve">tuman207</t>
  </si>
  <si>
    <t xml:space="preserve">Buika</t>
  </si>
  <si>
    <t xml:space="preserve">buhanocha</t>
  </si>
  <si>
    <t xml:space="preserve">alexisnotanoob</t>
  </si>
  <si>
    <t xml:space="preserve">NE_TAP04E7</t>
  </si>
  <si>
    <t xml:space="preserve">tap04e7</t>
  </si>
  <si>
    <t xml:space="preserve">Wolfeeee</t>
  </si>
  <si>
    <t xml:space="preserve">god2221</t>
  </si>
  <si>
    <t xml:space="preserve">Kalinsky</t>
  </si>
  <si>
    <t xml:space="preserve">Kalinskay</t>
  </si>
  <si>
    <t xml:space="preserve">Armweak</t>
  </si>
  <si>
    <t xml:space="preserve">murlocganis</t>
  </si>
  <si>
    <t xml:space="preserve">bbbukka</t>
  </si>
  <si>
    <t xml:space="preserve">lucky.ruby</t>
  </si>
  <si>
    <t xml:space="preserve">ILM</t>
  </si>
  <si>
    <t xml:space="preserve">Borsch91</t>
  </si>
  <si>
    <t xml:space="preserve">Dubinium</t>
  </si>
  <si>
    <t xml:space="preserve">dubinium</t>
  </si>
  <si>
    <t xml:space="preserve">probel_probelich</t>
  </si>
  <si>
    <t xml:space="preserve">krafton_</t>
  </si>
  <si>
    <t xml:space="preserve">OTBIT_pedro</t>
  </si>
  <si>
    <t xml:space="preserve">otbit_pedro</t>
  </si>
  <si>
    <t xml:space="preserve">egomagus</t>
  </si>
  <si>
    <t xml:space="preserve">AnyYakee</t>
  </si>
  <si>
    <t xml:space="preserve">anyyakee</t>
  </si>
  <si>
    <t xml:space="preserve">Samufaer</t>
  </si>
  <si>
    <t xml:space="preserve">samufaerr</t>
  </si>
  <si>
    <t xml:space="preserve">WhiteWolf</t>
  </si>
  <si>
    <t xml:space="preserve">._.whitewolf</t>
  </si>
  <si>
    <t xml:space="preserve">iharo4ek</t>
  </si>
  <si>
    <t xml:space="preserve">iharok</t>
  </si>
  <si>
    <t xml:space="preserve">Abanji</t>
  </si>
  <si>
    <t xml:space="preserve">ivan_korolev</t>
  </si>
  <si>
    <t xml:space="preserve">CheN</t>
  </si>
  <si>
    <t xml:space="preserve">lnqz1tor</t>
  </si>
  <si>
    <t xml:space="preserve">Daniel_Lynx</t>
  </si>
  <si>
    <t xml:space="preserve">daniellynx</t>
  </si>
  <si>
    <t xml:space="preserve">Legendary_Bebra</t>
  </si>
  <si>
    <t xml:space="preserve">ah_64_apache_guardian</t>
  </si>
  <si>
    <t xml:space="preserve">Malanisa</t>
  </si>
  <si>
    <t xml:space="preserve">malanisa</t>
  </si>
  <si>
    <t xml:space="preserve">Mishkas</t>
  </si>
  <si>
    <t xml:space="preserve">mishkas_artem</t>
  </si>
  <si>
    <t xml:space="preserve">phoenix6574</t>
  </si>
  <si>
    <t xml:space="preserve">phoenix6574_</t>
  </si>
  <si>
    <t xml:space="preserve">sladenkyytoster 23.06.24 willhhlm 01.08.24</t>
  </si>
  <si>
    <t xml:space="preserve">bobich2467</t>
  </si>
  <si>
    <t xml:space="preserve">darx9553</t>
  </si>
  <si>
    <t xml:space="preserve">Ketunar</t>
  </si>
  <si>
    <t xml:space="preserve">ketunar.</t>
  </si>
  <si>
    <t xml:space="preserve">fulok4392</t>
  </si>
  <si>
    <t xml:space="preserve">fulok228</t>
  </si>
  <si>
    <t xml:space="preserve">dexterg00n </t>
  </si>
  <si>
    <t xml:space="preserve">dextergoon</t>
  </si>
  <si>
    <t xml:space="preserve">alaraniel</t>
  </si>
  <si>
    <t xml:space="preserve">azerty.qosmos 15.08.24
matumbathebest. 05.11.24</t>
  </si>
  <si>
    <t xml:space="preserve">ArisMKD</t>
  </si>
  <si>
    <t xml:space="preserve">YarBack</t>
  </si>
  <si>
    <t xml:space="preserve">Intelectual</t>
  </si>
  <si>
    <t xml:space="preserve">spippy_1</t>
  </si>
  <si>
    <t xml:space="preserve">Argon1231231</t>
  </si>
  <si>
    <t xml:space="preserve">backrooms0</t>
  </si>
  <si>
    <t xml:space="preserve">roman9291</t>
  </si>
  <si>
    <t xml:space="preserve">roma_hdfjfg</t>
  </si>
  <si>
    <t xml:space="preserve">artemvar41</t>
  </si>
  <si>
    <t xml:space="preserve">MadMandarin</t>
  </si>
  <si>
    <t xml:space="preserve">madmandarin</t>
  </si>
  <si>
    <t xml:space="preserve">Biba_Superduperovich </t>
  </si>
  <si>
    <t xml:space="preserve">gleb_bibuster</t>
  </si>
  <si>
    <t xml:space="preserve">XgonemY</t>
  </si>
  <si>
    <t xml:space="preserve">da_da9035</t>
  </si>
  <si>
    <t xml:space="preserve">squeecher</t>
  </si>
  <si>
    <t xml:space="preserve">dosultren</t>
  </si>
  <si>
    <t xml:space="preserve">xTheEarthx</t>
  </si>
  <si>
    <t xml:space="preserve">xtheearthx</t>
  </si>
  <si>
    <t xml:space="preserve">BenDelashko</t>
  </si>
  <si>
    <t xml:space="preserve">dadada8017</t>
  </si>
  <si>
    <t xml:space="preserve">TechMan</t>
  </si>
  <si>
    <t xml:space="preserve">.tecnomaster</t>
  </si>
  <si>
    <t xml:space="preserve">Amarantain </t>
  </si>
  <si>
    <t xml:space="preserve">kirill13031</t>
  </si>
  <si>
    <t xml:space="preserve">Pos5only</t>
  </si>
  <si>
    <t xml:space="preserve">legotin212</t>
  </si>
  <si>
    <t xml:space="preserve">thoriumm</t>
  </si>
  <si>
    <t xml:space="preserve">pos3only 09.09.24</t>
  </si>
  <si>
    <t xml:space="preserve">ZLODEMONG</t>
  </si>
  <si>
    <t xml:space="preserve">Chert_V_Pogonah</t>
  </si>
  <si>
    <t xml:space="preserve">KrutoyZ</t>
  </si>
  <si>
    <t xml:space="preserve">Shaluntiks</t>
  </si>
  <si>
    <t xml:space="preserve">Shaluntik</t>
  </si>
  <si>
    <t xml:space="preserve">soulmasterok</t>
  </si>
  <si>
    <t xml:space="preserve">Klarent</t>
  </si>
  <si>
    <t xml:space="preserve">WebbyWeb </t>
  </si>
  <si>
    <t xml:space="preserve">webbyweb </t>
  </si>
  <si>
    <t xml:space="preserve">zvezdin</t>
  </si>
  <si>
    <t xml:space="preserve">sid0pob1x</t>
  </si>
  <si>
    <t xml:space="preserve">ensis</t>
  </si>
  <si>
    <t xml:space="preserve">Shakalisse</t>
  </si>
  <si>
    <t xml:space="preserve">SpiffoBurger</t>
  </si>
  <si>
    <t xml:space="preserve">pomoikaenota</t>
  </si>
  <si>
    <t xml:space="preserve">CrookLv</t>
  </si>
  <si>
    <t xml:space="preserve">crookielv</t>
  </si>
  <si>
    <t xml:space="preserve">Stuka</t>
  </si>
  <si>
    <t xml:space="preserve">fishcard 24.06.24</t>
  </si>
  <si>
    <t xml:space="preserve">kapitanjackposckoreika</t>
  </si>
  <si>
    <t xml:space="preserve">kapitanjackposkcoreika</t>
  </si>
  <si>
    <t xml:space="preserve">diega</t>
  </si>
  <si>
    <t xml:space="preserve">diega_</t>
  </si>
  <si>
    <t xml:space="preserve">Neons</t>
  </si>
  <si>
    <t xml:space="preserve">badplayer5645</t>
  </si>
  <si>
    <t xml:space="preserve">spotifaika</t>
  </si>
  <si>
    <t xml:space="preserve">s1ndi_ 03.04.2024</t>
  </si>
  <si>
    <t xml:space="preserve">GameTurn</t>
  </si>
  <si>
    <t xml:space="preserve">gameturn</t>
  </si>
  <si>
    <t xml:space="preserve">breton</t>
  </si>
  <si>
    <t xml:space="preserve">opencore</t>
  </si>
  <si>
    <t xml:space="preserve">RU_Stranger</t>
  </si>
  <si>
    <t xml:space="preserve">stranger_0666</t>
  </si>
  <si>
    <t xml:space="preserve">Baby_Isaac</t>
  </si>
  <si>
    <t xml:space="preserve">_voidoll_</t>
  </si>
  <si>
    <t xml:space="preserve">sleepy_fox1 20.05.24</t>
  </si>
  <si>
    <t xml:space="preserve">Mr_Luor</t>
  </si>
  <si>
    <t xml:space="preserve">reservmrluor</t>
  </si>
  <si>
    <t xml:space="preserve">ghyh.009 03.04.2024</t>
  </si>
  <si>
    <t xml:space="preserve">Pupachik</t>
  </si>
  <si>
    <t xml:space="preserve">alexan2345</t>
  </si>
  <si>
    <t xml:space="preserve">lina358</t>
  </si>
  <si>
    <t xml:space="preserve">linusik_lol</t>
  </si>
  <si>
    <t xml:space="preserve">S1ndi</t>
  </si>
  <si>
    <t xml:space="preserve">s1ndi_</t>
  </si>
  <si>
    <t xml:space="preserve">Nursam</t>
  </si>
  <si>
    <t xml:space="preserve">taburet29 09.07.24</t>
  </si>
  <si>
    <t xml:space="preserve">Tommy_Win</t>
  </si>
  <si>
    <t xml:space="preserve">barista_tommy</t>
  </si>
  <si>
    <t xml:space="preserve">seriozha</t>
  </si>
  <si>
    <t xml:space="preserve">seriozha_cefey</t>
  </si>
  <si>
    <t xml:space="preserve">Raskit</t>
  </si>
  <si>
    <t xml:space="preserve">raskit.</t>
  </si>
  <si>
    <t xml:space="preserve">pogiratelkar 28.03.2024</t>
  </si>
  <si>
    <t xml:space="preserve">RAHAMBALUK</t>
  </si>
  <si>
    <t xml:space="preserve">pogiratelkar</t>
  </si>
  <si>
    <t xml:space="preserve">robertkrapivin</t>
  </si>
  <si>
    <t xml:space="preserve">grrshok</t>
  </si>
  <si>
    <t xml:space="preserve">YriNyri</t>
  </si>
  <si>
    <t xml:space="preserve">yri_nouri</t>
  </si>
  <si>
    <t xml:space="preserve">GermanShpak</t>
  </si>
  <si>
    <t xml:space="preserve">tovarish_praporshik</t>
  </si>
  <si>
    <t xml:space="preserve">Meow_Slime</t>
  </si>
  <si>
    <t xml:space="preserve">soldier7777</t>
  </si>
  <si>
    <t xml:space="preserve">otimurpuv </t>
  </si>
  <si>
    <t xml:space="preserve">serjinseo</t>
  </si>
  <si>
    <t xml:space="preserve">Scarlatto</t>
  </si>
  <si>
    <t xml:space="preserve">scap_xv</t>
  </si>
  <si>
    <t xml:space="preserve">vanetonubok</t>
  </si>
  <si>
    <t xml:space="preserve">vaneto.</t>
  </si>
  <si>
    <t xml:space="preserve">fanigive 03.04.2024</t>
  </si>
  <si>
    <t xml:space="preserve">Pro100Gamer</t>
  </si>
  <si>
    <t xml:space="preserve">Gomer</t>
  </si>
  <si>
    <t xml:space="preserve">orix0689 10.07.24</t>
  </si>
  <si>
    <t xml:space="preserve">Vent20071 </t>
  </si>
  <si>
    <t xml:space="preserve">mivevevemeuveveveveumivuvuosas</t>
  </si>
  <si>
    <t xml:space="preserve">Daniloedc4</t>
  </si>
  <si>
    <t xml:space="preserve">dalles233</t>
  </si>
  <si>
    <t xml:space="preserve">dalles233 02.04.2024</t>
  </si>
  <si>
    <t xml:space="preserve">ghyh</t>
  </si>
  <si>
    <t xml:space="preserve">ghyh.009</t>
  </si>
  <si>
    <t xml:space="preserve">MrAstolfo</t>
  </si>
  <si>
    <t xml:space="preserve">fanigive</t>
  </si>
  <si>
    <t xml:space="preserve">Avgust</t>
  </si>
  <si>
    <t xml:space="preserve">whlc</t>
  </si>
  <si>
    <t xml:space="preserve">Krays</t>
  </si>
  <si>
    <t xml:space="preserve">_krays</t>
  </si>
  <si>
    <t xml:space="preserve">Ogawa</t>
  </si>
  <si>
    <t xml:space="preserve">_oo_i </t>
  </si>
  <si>
    <t xml:space="preserve">onionsenpai</t>
  </si>
  <si>
    <t xml:space="preserve">Artemka_958</t>
  </si>
  <si>
    <t xml:space="preserve">artemka_958</t>
  </si>
  <si>
    <t xml:space="preserve">.lowsly._57712 22.11.2024</t>
  </si>
  <si>
    <t xml:space="preserve">Pivokun</t>
  </si>
  <si>
    <t xml:space="preserve">eo546</t>
  </si>
  <si>
    <t xml:space="preserve">DHHarpajo</t>
  </si>
  <si>
    <t xml:space="preserve">dee.harpajo</t>
  </si>
  <si>
    <t xml:space="preserve">Takitain</t>
  </si>
  <si>
    <t xml:space="preserve">naori_cats 22.08.24</t>
  </si>
  <si>
    <t xml:space="preserve">kugooergooer</t>
  </si>
  <si>
    <t xml:space="preserve">Avee</t>
  </si>
  <si>
    <t xml:space="preserve">itzfluffycat</t>
  </si>
  <si>
    <t xml:space="preserve">Kistochka</t>
  </si>
  <si>
    <t xml:space="preserve">kicto4ka</t>
  </si>
  <si>
    <t xml:space="preserve">Hitchori</t>
  </si>
  <si>
    <t xml:space="preserve">DreakTheFantom</t>
  </si>
  <si>
    <t xml:space="preserve">EmpireDx</t>
  </si>
  <si>
    <t xml:space="preserve">imperatorduhov</t>
  </si>
  <si>
    <t xml:space="preserve">.seres. 03.08.24</t>
  </si>
  <si>
    <t xml:space="preserve">Asterio</t>
  </si>
  <si>
    <t xml:space="preserve">demon_aster</t>
  </si>
  <si>
    <t xml:space="preserve">PikaPopa</t>
  </si>
  <si>
    <t xml:space="preserve">ladnob</t>
  </si>
  <si>
    <t xml:space="preserve">Rem1</t>
  </si>
  <si>
    <t xml:space="preserve">rem1_114</t>
  </si>
  <si>
    <t xml:space="preserve">Cloud_Planet</t>
  </si>
  <si>
    <t xml:space="preserve">neptoon3925</t>
  </si>
  <si>
    <t xml:space="preserve">Elemental</t>
  </si>
  <si>
    <t xml:space="preserve">elementar
</t>
  </si>
  <si>
    <t xml:space="preserve">kiira20060107 29.04.24</t>
  </si>
  <si>
    <t xml:space="preserve">SeaGLaN</t>
  </si>
  <si>
    <t xml:space="preserve">Lokomotivich</t>
  </si>
  <si>
    <t xml:space="preserve">lokomotiv8195</t>
  </si>
  <si>
    <t xml:space="preserve">6ELblU</t>
  </si>
  <si>
    <t xml:space="preserve">6elblu_0331</t>
  </si>
  <si>
    <t xml:space="preserve">JustThisHans</t>
  </si>
  <si>
    <t xml:space="preserve">he0843</t>
  </si>
  <si>
    <t xml:space="preserve">Alice_Maniac</t>
  </si>
  <si>
    <t xml:space="preserve">alice_maniac</t>
  </si>
  <si>
    <t xml:space="preserve">MilkyUnicorn</t>
  </si>
  <si>
    <t xml:space="preserve">milkyunicorn</t>
  </si>
  <si>
    <t xml:space="preserve">Phoenix_</t>
  </si>
  <si>
    <t xml:space="preserve">phoenix_7002</t>
  </si>
  <si>
    <t xml:space="preserve">KlimSanych</t>
  </si>
  <si>
    <t xml:space="preserve">Mister Krit</t>
  </si>
  <si>
    <t xml:space="preserve">Murrxcha</t>
  </si>
  <si>
    <t xml:space="preserve">murrxcha</t>
  </si>
  <si>
    <t xml:space="preserve">BorigOn </t>
  </si>
  <si>
    <t xml:space="preserve">BorigOn</t>
  </si>
  <si>
    <t xml:space="preserve">La_Muerto</t>
  </si>
  <si>
    <t xml:space="preserve">yzbe4k</t>
  </si>
  <si>
    <t xml:space="preserve">KiIra</t>
  </si>
  <si>
    <t xml:space="preserve">kiira20060107</t>
  </si>
  <si>
    <t xml:space="preserve">Requiem4soul</t>
  </si>
  <si>
    <t xml:space="preserve">requiem4soul</t>
  </si>
  <si>
    <t xml:space="preserve">Zoki</t>
  </si>
  <si>
    <t xml:space="preserve">zoki1944</t>
  </si>
  <si>
    <t xml:space="preserve">Ukap</t>
  </si>
  <si>
    <t xml:space="preserve">Ukap.</t>
  </si>
  <si>
    <t xml:space="preserve">coolmen </t>
  </si>
  <si>
    <t xml:space="preserve">h782</t>
  </si>
  <si>
    <t xml:space="preserve">lapkee 29.04.24</t>
  </si>
  <si>
    <t xml:space="preserve">savva2508</t>
  </si>
  <si>
    <t xml:space="preserve">xz_hto_pisat</t>
  </si>
  <si>
    <t xml:space="preserve">kain69</t>
  </si>
  <si>
    <t xml:space="preserve">Kain690</t>
  </si>
  <si>
    <t xml:space="preserve">kripipasta 29.04.24</t>
  </si>
  <si>
    <t xml:space="preserve">Lapkee</t>
  </si>
  <si>
    <t xml:space="preserve">lapkee</t>
  </si>
  <si>
    <t xml:space="preserve">Madara_Yfa</t>
  </si>
  <si>
    <t xml:space="preserve">kripipasta</t>
  </si>
  <si>
    <t xml:space="preserve">GID</t>
  </si>
  <si>
    <t xml:space="preserve">Tamburin</t>
  </si>
  <si>
    <t xml:space="preserve">zalazim_na_dub_i_edim_pomidory</t>
  </si>
  <si>
    <t xml:space="preserve">Ruhig_Williams</t>
  </si>
  <si>
    <t xml:space="preserve">ruhig_williams</t>
  </si>
  <si>
    <t xml:space="preserve">epsi_lon_UwU</t>
  </si>
  <si>
    <t xml:space="preserve">fantomas_3</t>
  </si>
  <si>
    <t xml:space="preserve">randomhuman</t>
  </si>
  <si>
    <t xml:space="preserve">petrenko_mihail</t>
  </si>
  <si>
    <t xml:space="preserve">Yara_Slavich</t>
  </si>
  <si>
    <t xml:space="preserve">liubitelsandvichei</t>
  </si>
  <si>
    <t xml:space="preserve">zefirka08</t>
  </si>
  <si>
    <t xml:space="preserve">zefirka2008</t>
  </si>
  <si>
    <t xml:space="preserve">alt1123_ 18.08.24</t>
  </si>
  <si>
    <t xml:space="preserve">pobeditelVtoroy</t>
  </si>
  <si>
    <t xml:space="preserve">top_bat</t>
  </si>
  <si>
    <t xml:space="preserve">TumbochkaBlin</t>
  </si>
  <si>
    <t xml:space="preserve">tumbochkablin</t>
  </si>
  <si>
    <t xml:space="preserve">naoki_miyato 27.05.24</t>
  </si>
  <si>
    <t xml:space="preserve">DOdst3r</t>
  </si>
  <si>
    <t xml:space="preserve">binest</t>
  </si>
  <si>
    <t xml:space="preserve">Weed_Eater</t>
  </si>
  <si>
    <t xml:space="preserve">_weed_eater</t>
  </si>
  <si>
    <t xml:space="preserve">GEHERAL_XAOS999</t>
  </si>
  <si>
    <t xml:space="preserve">geheral_xaos</t>
  </si>
  <si>
    <t xml:space="preserve">metell5009</t>
  </si>
  <si>
    <t xml:space="preserve">slonik2002</t>
  </si>
  <si>
    <t xml:space="preserve">Agettub</t>
  </si>
  <si>
    <t xml:space="preserve">obosruhi</t>
  </si>
  <si>
    <t xml:space="preserve">Normalguy</t>
  </si>
  <si>
    <t xml:space="preserve">NullnSkull</t>
  </si>
  <si>
    <t xml:space="preserve">BerBer0s</t>
  </si>
  <si>
    <t xml:space="preserve">berber0s</t>
  </si>
  <si>
    <t xml:space="preserve">forkv</t>
  </si>
  <si>
    <t xml:space="preserve">13bat12</t>
  </si>
  <si>
    <t xml:space="preserve">Macfoll</t>
  </si>
  <si>
    <t xml:space="preserve">bolshesheti</t>
  </si>
  <si>
    <t xml:space="preserve">Babo9000</t>
  </si>
  <si>
    <t xml:space="preserve">babo92 </t>
  </si>
  <si>
    <t xml:space="preserve">WilliamMorris</t>
  </si>
  <si>
    <t xml:space="preserve">adam_williams_000_00</t>
  </si>
  <si>
    <t xml:space="preserve">JFrad</t>
  </si>
  <si>
    <t xml:space="preserve">_frad_</t>
  </si>
  <si>
    <t xml:space="preserve">jaga</t>
  </si>
  <si>
    <t xml:space="preserve">jagermaister228</t>
  </si>
  <si>
    <t xml:space="preserve">qvuka 15.05.24</t>
  </si>
  <si>
    <t xml:space="preserve">Prandan</t>
  </si>
  <si>
    <t xml:space="preserve">prandan</t>
  </si>
  <si>
    <t xml:space="preserve">Snaipron </t>
  </si>
  <si>
    <t xml:space="preserve">Snaipron</t>
  </si>
  <si>
    <t xml:space="preserve">Desyatkaa</t>
  </si>
  <si>
    <t xml:space="preserve">desyatkaa</t>
  </si>
  <si>
    <t xml:space="preserve">TUPACHEL</t>
  </si>
  <si>
    <t xml:space="preserve">anatoliysvarshicov</t>
  </si>
  <si>
    <t xml:space="preserve">CotoMan</t>
  </si>
  <si>
    <t xml:space="preserve">cotoman_</t>
  </si>
  <si>
    <t xml:space="preserve">MortiBi8585</t>
  </si>
  <si>
    <t xml:space="preserve">mort8585</t>
  </si>
  <si>
    <t xml:space="preserve">vyndervafla</t>
  </si>
  <si>
    <t xml:space="preserve">Vyndervafla.</t>
  </si>
  <si>
    <t xml:space="preserve">Ne1Tron</t>
  </si>
  <si>
    <t xml:space="preserve">neitron2523</t>
  </si>
  <si>
    <t xml:space="preserve">zofqgor</t>
  </si>
  <si>
    <t xml:space="preserve">wasderenko</t>
  </si>
  <si>
    <t xml:space="preserve">qvuka</t>
  </si>
  <si>
    <t xml:space="preserve">kontrosha </t>
  </si>
  <si>
    <t xml:space="preserve">kontrosha</t>
  </si>
  <si>
    <t xml:space="preserve">Sleepy_F0x5</t>
  </si>
  <si>
    <t xml:space="preserve">sleepy_fox1</t>
  </si>
  <si>
    <t xml:space="preserve">NoFo</t>
  </si>
  <si>
    <t xml:space="preserve">ilanbek</t>
  </si>
  <si>
    <t xml:space="preserve">Franz_Joseph</t>
  </si>
  <si>
    <t xml:space="preserve">thisisreallyshit</t>
  </si>
  <si>
    <t xml:space="preserve">Zeratick</t>
  </si>
  <si>
    <t xml:space="preserve">sd.v.uhcrum_8026</t>
  </si>
  <si>
    <t xml:space="preserve">DimoChi</t>
  </si>
  <si>
    <t xml:space="preserve">Dimo_megreli</t>
  </si>
  <si>
    <t xml:space="preserve">lememente</t>
  </si>
  <si>
    <t xml:space="preserve">limemint</t>
  </si>
  <si>
    <t xml:space="preserve">descente </t>
  </si>
  <si>
    <t xml:space="preserve">mnogo_znal </t>
  </si>
  <si>
    <t xml:space="preserve">danilaKryt</t>
  </si>
  <si>
    <t xml:space="preserve">dany2008sdf</t>
  </si>
  <si>
    <t xml:space="preserve">Zarya15</t>
  </si>
  <si>
    <t xml:space="preserve">zarya15</t>
  </si>
  <si>
    <t xml:space="preserve">Naoki_Miyato</t>
  </si>
  <si>
    <t xml:space="preserve">naoki_miyato</t>
  </si>
  <si>
    <t xml:space="preserve">ObamaBurgerMcDonalds</t>
  </si>
  <si>
    <t xml:space="preserve">z4h4r1k_08248</t>
  </si>
  <si>
    <t xml:space="preserve">MrGREED</t>
  </si>
  <si>
    <t xml:space="preserve">angrysugarisdanger</t>
  </si>
  <si>
    <t xml:space="preserve">BugVadik</t>
  </si>
  <si>
    <t xml:space="preserve">Ar2_ist</t>
  </si>
  <si>
    <t xml:space="preserve">hulenam</t>
  </si>
  <si>
    <t xml:space="preserve">MISTERjeck</t>
  </si>
  <si>
    <t xml:space="preserve">cocos3</t>
  </si>
  <si>
    <t xml:space="preserve">Ondroed</t>
  </si>
  <si>
    <t xml:space="preserve">InkMol</t>
  </si>
  <si>
    <t xml:space="preserve">inkmol</t>
  </si>
  <si>
    <t xml:space="preserve">SpotSnow</t>
  </si>
  <si>
    <t xml:space="preserve">shadowwing6328</t>
  </si>
  <si>
    <t xml:space="preserve">Pups_man</t>
  </si>
  <si>
    <t xml:space="preserve">gast_crimimal</t>
  </si>
  <si>
    <t xml:space="preserve">hsf</t>
  </si>
  <si>
    <t xml:space="preserve">hsf.</t>
  </si>
  <si>
    <t xml:space="preserve">metafonagnerat</t>
  </si>
  <si>
    <t xml:space="preserve">alexander_camen</t>
  </si>
  <si>
    <t xml:space="preserve">idoubtmymentalhealth 14.07.24</t>
  </si>
  <si>
    <t xml:space="preserve">Mladshiy_iventer_MK</t>
  </si>
  <si>
    <t xml:space="preserve">analnyitarakan</t>
  </si>
  <si>
    <t xml:space="preserve">Kor_dan</t>
  </si>
  <si>
    <t xml:space="preserve">kordan4811</t>
  </si>
  <si>
    <t xml:space="preserve">twenty</t>
  </si>
  <si>
    <t xml:space="preserve">twenty0_0</t>
  </si>
  <si>
    <t xml:space="preserve">dumbnparanoid</t>
  </si>
  <si>
    <t xml:space="preserve">Seven228</t>
  </si>
  <si>
    <t xml:space="preserve">seven221</t>
  </si>
  <si>
    <t xml:space="preserve">Kel_White</t>
  </si>
  <si>
    <t xml:space="preserve">dr_k_white</t>
  </si>
  <si>
    <t xml:space="preserve">ElEonDeX357</t>
  </si>
  <si>
    <t xml:space="preserve">eleondex357</t>
  </si>
  <si>
    <t xml:space="preserve">fepashel</t>
  </si>
  <si>
    <t xml:space="preserve">makspax</t>
  </si>
  <si>
    <t xml:space="preserve">lup9a</t>
  </si>
  <si>
    <t xml:space="preserve">GER01N</t>
  </si>
  <si>
    <t xml:space="preserve">geroy_01_nomer</t>
  </si>
  <si>
    <t xml:space="preserve">Nepture</t>
  </si>
  <si>
    <t xml:space="preserve">xxannax</t>
  </si>
  <si>
    <t xml:space="preserve">ivanidze</t>
  </si>
  <si>
    <t xml:space="preserve">ivanidze.</t>
  </si>
  <si>
    <t xml:space="preserve">xnoody</t>
  </si>
  <si>
    <t xml:space="preserve">talant6549</t>
  </si>
  <si>
    <t xml:space="preserve">Ricke</t>
  </si>
  <si>
    <t xml:space="preserve">getrockneterlebkuchenmann</t>
  </si>
  <si>
    <t xml:space="preserve">table545 15.06.24</t>
  </si>
  <si>
    <t xml:space="preserve">qwertyuiopiot 20.07.2024</t>
  </si>
  <si>
    <t xml:space="preserve">Banan_</t>
  </si>
  <si>
    <t xml:space="preserve">table545</t>
  </si>
  <si>
    <t xml:space="preserve">Luci</t>
  </si>
  <si>
    <t xml:space="preserve">lucishiz</t>
  </si>
  <si>
    <t xml:space="preserve">KonnorSmith</t>
  </si>
  <si>
    <t xml:space="preserve">konnorrk800</t>
  </si>
  <si>
    <t xml:space="preserve">Yusmax</t>
  </si>
  <si>
    <t xml:space="preserve">yusmax</t>
  </si>
  <si>
    <t xml:space="preserve">N0rth_Air</t>
  </si>
  <si>
    <t xml:space="preserve">Fluddik</t>
  </si>
  <si>
    <t xml:space="preserve">fluddik </t>
  </si>
  <si>
    <t xml:space="preserve">SWecher </t>
  </si>
  <si>
    <t xml:space="preserve">glitchlol</t>
  </si>
  <si>
    <t xml:space="preserve">bussyhuntsman</t>
  </si>
  <si>
    <t xml:space="preserve">Delta_Pawa</t>
  </si>
  <si>
    <t xml:space="preserve">discorrd_govno</t>
  </si>
  <si>
    <t xml:space="preserve">sladenkyytoster</t>
  </si>
  <si>
    <t xml:space="preserve">fishcard238</t>
  </si>
  <si>
    <t xml:space="preserve">fishcard</t>
  </si>
  <si>
    <t xml:space="preserve">minirubik</t>
  </si>
  <si>
    <t xml:space="preserve">world8005</t>
  </si>
  <si>
    <t xml:space="preserve">ggwp</t>
  </si>
  <si>
    <t xml:space="preserve">ggwp6396</t>
  </si>
  <si>
    <t xml:space="preserve">Stoloshkaw</t>
  </si>
  <si>
    <t xml:space="preserve">stoloshkaw</t>
  </si>
  <si>
    <t xml:space="preserve">IceOne</t>
  </si>
  <si>
    <t xml:space="preserve">rustic5</t>
  </si>
  <si>
    <t xml:space="preserve">Serega333</t>
  </si>
  <si>
    <t xml:space="preserve">Serega45756</t>
  </si>
  <si>
    <t xml:space="preserve">gegechka43</t>
  </si>
  <si>
    <t xml:space="preserve">gegechka431</t>
  </si>
  <si>
    <t xml:space="preserve">Zevs622</t>
  </si>
  <si>
    <t xml:space="preserve">BabyYoda</t>
  </si>
  <si>
    <t xml:space="preserve">ScoutPTH</t>
  </si>
  <si>
    <t xml:space="preserve">scoutpth</t>
  </si>
  <si>
    <t xml:space="preserve">Artemvar41</t>
  </si>
  <si>
    <t xml:space="preserve">TheWhat</t>
  </si>
  <si>
    <t xml:space="preserve">thewhat.1</t>
  </si>
  <si>
    <t xml:space="preserve">Cellingo</t>
  </si>
  <si>
    <t xml:space="preserve">spacerobustranger</t>
  </si>
  <si>
    <t xml:space="preserve">jsilverhand2.1</t>
  </si>
  <si>
    <t xml:space="preserve">Oguz0k</t>
  </si>
  <si>
    <t xml:space="preserve">monticor</t>
  </si>
  <si>
    <t xml:space="preserve">Donevinoll</t>
  </si>
  <si>
    <t xml:space="preserve">Advancer</t>
  </si>
  <si>
    <t xml:space="preserve">advancer0442</t>
  </si>
  <si>
    <t xml:space="preserve">Caledfwlch</t>
  </si>
  <si>
    <t xml:space="preserve">Sergyn</t>
  </si>
  <si>
    <t xml:space="preserve">Sergun'ya</t>
  </si>
  <si>
    <t xml:space="preserve">Tabypet</t>
  </si>
  <si>
    <t xml:space="preserve">taburet29</t>
  </si>
  <si>
    <t xml:space="preserve">The_Fiafi</t>
  </si>
  <si>
    <t xml:space="preserve">orix0689</t>
  </si>
  <si>
    <t xml:space="preserve">Mlefur</t>
  </si>
  <si>
    <t xml:space="preserve">huexil</t>
  </si>
  <si>
    <t xml:space="preserve">Ac1d</t>
  </si>
  <si>
    <t xml:space="preserve">ac0d</t>
  </si>
  <si>
    <t xml:space="preserve">PrimiesKeli</t>
  </si>
  <si>
    <t xml:space="preserve">sentryprimies</t>
  </si>
  <si>
    <t xml:space="preserve">okada</t>
  </si>
  <si>
    <t xml:space="preserve">idoubtmymentalhealth</t>
  </si>
  <si>
    <t xml:space="preserve">Cotofanhik</t>
  </si>
  <si>
    <t xml:space="preserve">junokasa</t>
  </si>
  <si>
    <t xml:space="preserve">k0vrik</t>
  </si>
  <si>
    <t xml:space="preserve">money_kovrik</t>
  </si>
  <si>
    <t xml:space="preserve">qwertyuiopiot</t>
  </si>
  <si>
    <t xml:space="preserve">Romani4life</t>
  </si>
  <si>
    <t xml:space="preserve">171cm55kg</t>
  </si>
  <si>
    <t xml:space="preserve">Kova_Cherry</t>
  </si>
  <si>
    <t xml:space="preserve">talvikirsikka</t>
  </si>
  <si>
    <t xml:space="preserve">Firemix </t>
  </si>
  <si>
    <t xml:space="preserve">firemix_</t>
  </si>
  <si>
    <t xml:space="preserve">lopka228228</t>
  </si>
  <si>
    <t xml:space="preserve">lesha_k</t>
  </si>
  <si>
    <t xml:space="preserve">usuha</t>
  </si>
  <si>
    <t xml:space="preserve">usuhaa</t>
  </si>
  <si>
    <t xml:space="preserve">SelenaWors</t>
  </si>
  <si>
    <t xml:space="preserve">rainwors</t>
  </si>
  <si>
    <t xml:space="preserve">Emil235</t>
  </si>
  <si>
    <t xml:space="preserve">_kawaszaki_</t>
  </si>
  <si>
    <t xml:space="preserve">Peach_Fox</t>
  </si>
  <si>
    <t xml:space="preserve">peach_fox.</t>
  </si>
  <si>
    <t xml:space="preserve">Vlad_Zero</t>
  </si>
  <si>
    <t xml:space="preserve">vldll</t>
  </si>
  <si>
    <t xml:space="preserve">ShaldenX</t>
  </si>
  <si>
    <t xml:space="preserve">shalder1</t>
  </si>
  <si>
    <t xml:space="preserve">Stalkerush</t>
  </si>
  <si>
    <t xml:space="preserve">stalker3628</t>
  </si>
  <si>
    <t xml:space="preserve">Willhhslm</t>
  </si>
  <si>
    <t xml:space="preserve">willhhlm</t>
  </si>
  <si>
    <t xml:space="preserve">Seres</t>
  </si>
  <si>
    <t xml:space="preserve">.seres.</t>
  </si>
  <si>
    <t xml:space="preserve">Zede</t>
  </si>
  <si>
    <t xml:space="preserve">ja_homak</t>
  </si>
  <si>
    <t xml:space="preserve">ravage</t>
  </si>
  <si>
    <t xml:space="preserve">ravage123321</t>
  </si>
  <si>
    <t xml:space="preserve">FrazyS</t>
  </si>
  <si>
    <t xml:space="preserve">.frazys</t>
  </si>
  <si>
    <t xml:space="preserve">koitorra</t>
  </si>
  <si>
    <t xml:space="preserve">Chimsbroker</t>
  </si>
  <si>
    <t xml:space="preserve">batalian</t>
  </si>
  <si>
    <t xml:space="preserve">Ebombiy</t>
  </si>
  <si>
    <t xml:space="preserve">lezhensola</t>
  </si>
  <si>
    <t xml:space="preserve">LoganLimond</t>
  </si>
  <si>
    <t xml:space="preserve">ivimiller</t>
  </si>
  <si>
    <t xml:space="preserve">HarlequinWW</t>
  </si>
  <si>
    <t xml:space="preserve">harlequinww</t>
  </si>
  <si>
    <t xml:space="preserve">wasdfru</t>
  </si>
  <si>
    <t xml:space="preserve">wasdfru_67816</t>
  </si>
  <si>
    <t xml:space="preserve">HCN</t>
  </si>
  <si>
    <t xml:space="preserve">rops3240</t>
  </si>
  <si>
    <t xml:space="preserve">administrator123</t>
  </si>
  <si>
    <t xml:space="preserve">jaredwelldane</t>
  </si>
  <si>
    <t xml:space="preserve">CECS99</t>
  </si>
  <si>
    <t xml:space="preserve">cecuss_03634</t>
  </si>
  <si>
    <t xml:space="preserve">tolmacila</t>
  </si>
  <si>
    <t xml:space="preserve">hit_vandal</t>
  </si>
  <si>
    <t xml:space="preserve">Wargentym </t>
  </si>
  <si>
    <t xml:space="preserve">wargentym</t>
  </si>
  <si>
    <t xml:space="preserve">RussiaSel</t>
  </si>
  <si>
    <t xml:space="preserve">ursugarmommy</t>
  </si>
  <si>
    <t xml:space="preserve">DarKilleR</t>
  </si>
  <si>
    <t xml:space="preserve">NamekaQosmos</t>
  </si>
  <si>
    <t xml:space="preserve">azerty.qosmos</t>
  </si>
  <si>
    <t xml:space="preserve">Bulldoger</t>
  </si>
  <si>
    <t xml:space="preserve">bulldoger0359_35640</t>
  </si>
  <si>
    <t xml:space="preserve">Jade_Kostrikov</t>
  </si>
  <si>
    <t xml:space="preserve">mrkostrikov</t>
  </si>
  <si>
    <t xml:space="preserve">ALT_1123</t>
  </si>
  <si>
    <t xml:space="preserve">alt1123_</t>
  </si>
  <si>
    <t xml:space="preserve">HamMaggotson</t>
  </si>
  <si>
    <t xml:space="preserve">hammaggotson</t>
  </si>
  <si>
    <t xml:space="preserve">Qwerty1234567</t>
  </si>
  <si>
    <t xml:space="preserve">coems1123</t>
  </si>
  <si>
    <t xml:space="preserve">CREAsTIVE</t>
  </si>
  <si>
    <t xml:space="preserve">creastive</t>
  </si>
  <si>
    <t xml:space="preserve">Sleweron</t>
  </si>
  <si>
    <t xml:space="preserve">Mimo_Sno</t>
  </si>
  <si>
    <t xml:space="preserve">vasspint</t>
  </si>
  <si>
    <t xml:space="preserve">Naori</t>
  </si>
  <si>
    <t xml:space="preserve">naori_cats</t>
  </si>
  <si>
    <t xml:space="preserve">B4D</t>
  </si>
  <si>
    <t xml:space="preserve">b4dded</t>
  </si>
  <si>
    <t xml:space="preserve">Grilby</t>
  </si>
  <si>
    <t xml:space="preserve">maxmim</t>
  </si>
  <si>
    <t xml:space="preserve">ArisuHori</t>
  </si>
  <si>
    <t xml:space="preserve">arisuhori</t>
  </si>
  <si>
    <t xml:space="preserve">revart</t>
  </si>
  <si>
    <t xml:space="preserve">rev_art</t>
  </si>
  <si>
    <t xml:space="preserve">Azimuth</t>
  </si>
  <si>
    <t xml:space="preserve">azimuth16</t>
  </si>
  <si>
    <t xml:space="preserve">vremya_veselja</t>
  </si>
  <si>
    <t xml:space="preserve">zavil_vernut_jevezo</t>
  </si>
  <si>
    <t xml:space="preserve">LII3ATEILbPeZD2013</t>
  </si>
  <si>
    <t xml:space="preserve">opergamer95</t>
  </si>
  <si>
    <t xml:space="preserve">dergestapo 25.10.24</t>
  </si>
  <si>
    <t xml:space="preserve">Slidopyt</t>
  </si>
  <si>
    <t xml:space="preserve">slidopyt</t>
  </si>
  <si>
    <t xml:space="preserve">GluWert</t>
  </si>
  <si>
    <t xml:space="preserve">gluwert</t>
  </si>
  <si>
    <t xml:space="preserve">1234BOG</t>
  </si>
  <si>
    <t xml:space="preserve">bog123</t>
  </si>
  <si>
    <t xml:space="preserve">observer_ward</t>
  </si>
  <si>
    <t xml:space="preserve">pos3only</t>
  </si>
  <si>
    <t xml:space="preserve">KapitanOgonek</t>
  </si>
  <si>
    <t xml:space="preserve">kapitan_ogonek</t>
  </si>
  <si>
    <t xml:space="preserve">lirgoy</t>
  </si>
  <si>
    <t xml:space="preserve">TheWalkingRad</t>
  </si>
  <si>
    <t xml:space="preserve">the_walking_rad</t>
  </si>
  <si>
    <t xml:space="preserve">Shinigam</t>
  </si>
  <si>
    <t xml:space="preserve">slarcovich</t>
  </si>
  <si>
    <t xml:space="preserve">KoQdiev</t>
  </si>
  <si>
    <t xml:space="preserve">koqdiev</t>
  </si>
  <si>
    <t xml:space="preserve">TotallyNotAJohnny</t>
  </si>
  <si>
    <t xml:space="preserve">totallynotajohnny</t>
  </si>
  <si>
    <t xml:space="preserve">DeimonFly</t>
  </si>
  <si>
    <t xml:space="preserve">deimonfly</t>
  </si>
  <si>
    <t xml:space="preserve">ILIARD</t>
  </si>
  <si>
    <t xml:space="preserve">qwe_9.</t>
  </si>
  <si>
    <t xml:space="preserve">soulter15</t>
  </si>
  <si>
    <t xml:space="preserve">unevks</t>
  </si>
  <si>
    <t xml:space="preserve">Tunijer</t>
  </si>
  <si>
    <t xml:space="preserve">live_a_1984</t>
  </si>
  <si>
    <t xml:space="preserve">Koting</t>
  </si>
  <si>
    <t xml:space="preserve">kotingsl</t>
  </si>
  <si>
    <t xml:space="preserve">metty_cri</t>
  </si>
  <si>
    <t xml:space="preserve">meeetttyyyy</t>
  </si>
  <si>
    <t xml:space="preserve">krevetksquad 31.10.24</t>
  </si>
  <si>
    <t xml:space="preserve">CkWyser</t>
  </si>
  <si>
    <t xml:space="preserve">sumraknix</t>
  </si>
  <si>
    <t xml:space="preserve">Morguea</t>
  </si>
  <si>
    <t xml:space="preserve">morguea</t>
  </si>
  <si>
    <t xml:space="preserve">sayrus76</t>
  </si>
  <si>
    <t xml:space="preserve">Gaqut</t>
  </si>
  <si>
    <t xml:space="preserve">space__explorer</t>
  </si>
  <si>
    <t xml:space="preserve">Nazar_TR42</t>
  </si>
  <si>
    <t xml:space="preserve">nazar_3411n0id</t>
  </si>
  <si>
    <t xml:space="preserve">Marci</t>
  </si>
  <si>
    <t xml:space="preserve">_sanab1_</t>
  </si>
  <si>
    <t xml:space="preserve">eisenkron</t>
  </si>
  <si>
    <t xml:space="preserve">i3r__</t>
  </si>
  <si>
    <t xml:space="preserve">Arto_Mayer</t>
  </si>
  <si>
    <t xml:space="preserve">arto_mayer</t>
  </si>
  <si>
    <t xml:space="preserve">Hodly</t>
  </si>
  <si>
    <t xml:space="preserve">zlalkoz</t>
  </si>
  <si>
    <t xml:space="preserve">Volter3308 14.11.24</t>
  </si>
  <si>
    <t xml:space="preserve">Nouma</t>
  </si>
  <si>
    <t xml:space="preserve">nouma0644_65245</t>
  </si>
  <si>
    <t xml:space="preserve">Bomjara387</t>
  </si>
  <si>
    <t xml:space="preserve">daunland</t>
  </si>
  <si>
    <t xml:space="preserve">retroder</t>
  </si>
  <si>
    <t xml:space="preserve">_retroder_</t>
  </si>
  <si>
    <t xml:space="preserve">Wustenfuchs </t>
  </si>
  <si>
    <t xml:space="preserve">wustenfuchs5257</t>
  </si>
  <si>
    <t xml:space="preserve">Tankist</t>
  </si>
  <si>
    <t xml:space="preserve">matvei8585</t>
  </si>
  <si>
    <t xml:space="preserve">Doner19</t>
  </si>
  <si>
    <t xml:space="preserve">doner4037</t>
  </si>
  <si>
    <t xml:space="preserve">Waldfogel</t>
  </si>
  <si>
    <t xml:space="preserve">waldfogel</t>
  </si>
  <si>
    <t xml:space="preserve">VREMYA_VESELJA</t>
  </si>
  <si>
    <t xml:space="preserve">Dizi</t>
  </si>
  <si>
    <t xml:space="preserve">_dizi_</t>
  </si>
  <si>
    <t xml:space="preserve">Mohan</t>
  </si>
  <si>
    <t xml:space="preserve">mohan__
</t>
  </si>
  <si>
    <t xml:space="preserve">Derkirill</t>
  </si>
  <si>
    <t xml:space="preserve">dergestapo</t>
  </si>
  <si>
    <t xml:space="preserve">Reinar</t>
  </si>
  <si>
    <t xml:space="preserve">silvester_reinar</t>
  </si>
  <si>
    <t xml:space="preserve">Markus_Kusalov</t>
  </si>
  <si>
    <t xml:space="preserve">pamdemonic</t>
  </si>
  <si>
    <t xml:space="preserve">JerryS</t>
  </si>
  <si>
    <t xml:space="preserve">jerry_sovok</t>
  </si>
  <si>
    <t xml:space="preserve">krevetkqqq</t>
  </si>
  <si>
    <t xml:space="preserve">krevetksquad</t>
  </si>
  <si>
    <t xml:space="preserve">MikaNir</t>
  </si>
  <si>
    <t xml:space="preserve">.radla</t>
  </si>
  <si>
    <t xml:space="preserve">Soda_Vl</t>
  </si>
  <si>
    <t xml:space="preserve">soda4e6</t>
  </si>
  <si>
    <t xml:space="preserve">waratri</t>
  </si>
  <si>
    <t xml:space="preserve">RaidenFantasy</t>
  </si>
  <si>
    <t xml:space="preserve">raidenfantasy</t>
  </si>
  <si>
    <t xml:space="preserve">pukloli</t>
  </si>
  <si>
    <t xml:space="preserve">ababusgannon</t>
  </si>
  <si>
    <t xml:space="preserve">Forten</t>
  </si>
  <si>
    <t xml:space="preserve">fortengamer</t>
  </si>
  <si>
    <t xml:space="preserve">matumbathebest</t>
  </si>
  <si>
    <t xml:space="preserve">matumbathebest.</t>
  </si>
  <si>
    <t xml:space="preserve">SfeeZ</t>
  </si>
  <si>
    <t xml:space="preserve">obaldui</t>
  </si>
  <si>
    <t xml:space="preserve">x43x</t>
  </si>
  <si>
    <t xml:space="preserve">Domovoy_Barabashka</t>
  </si>
  <si>
    <t xml:space="preserve">barabashka3187</t>
  </si>
  <si>
    <t xml:space="preserve">WordoloN</t>
  </si>
  <si>
    <t xml:space="preserve">iwordoloni</t>
  </si>
  <si>
    <t xml:space="preserve">Volter3213</t>
  </si>
  <si>
    <t xml:space="preserve">volter3308</t>
  </si>
  <si>
    <t xml:space="preserve">dineel6</t>
  </si>
  <si>
    <t xml:space="preserve">dana3375</t>
  </si>
  <si>
    <t xml:space="preserve">Fast05igroman</t>
  </si>
  <si>
    <t xml:space="preserve">fast05igroman</t>
  </si>
  <si>
    <t xml:space="preserve">banana_shkiper</t>
  </si>
  <si>
    <t xml:space="preserve">shkiper_piper</t>
  </si>
  <si>
    <t xml:space="preserve">lowsly</t>
  </si>
  <si>
    <t xml:space="preserve">.lowsly._57712</t>
  </si>
  <si>
    <t xml:space="preserve">Slevenius </t>
  </si>
  <si>
    <t xml:space="preserve">falco_off</t>
  </si>
  <si>
    <t xml:space="preserve">ID</t>
  </si>
  <si>
    <t xml:space="preserve">От кого</t>
  </si>
  <si>
    <t xml:space="preserve">На кого</t>
  </si>
  <si>
    <t xml:space="preserve">Ссылка на Discord</t>
  </si>
  <si>
    <t xml:space="preserve">Дата</t>
  </si>
  <si>
    <t xml:space="preserve">Изменение кармы</t>
  </si>
  <si>
    <t xml:space="preserve">Участие в собесах</t>
  </si>
  <si>
    <t xml:space="preserve">18,12.23</t>
  </si>
  <si>
    <t xml:space="preserve">24,12.23</t>
  </si>
  <si>
    <t xml:space="preserve">Феликс#7647</t>
  </si>
  <si>
    <t xml:space="preserve">Написал 5 отзв.</t>
  </si>
  <si>
    <t xml:space="preserve">Проход по системе "20"</t>
  </si>
  <si>
    <t xml:space="preserve">Текстовое собеседование</t>
  </si>
  <si>
    <t xml:space="preserve">that_russian715</t>
  </si>
  <si>
    <t xml:space="preserve">light_lava</t>
  </si>
  <si>
    <t xml:space="preserve">Автопроход 20</t>
  </si>
  <si>
    <t xml:space="preserve">Где мои законные</t>
  </si>
  <si>
    <t xml:space="preserve">пять кармы за отзывы</t>
  </si>
  <si>
    <t xml:space="preserve">НЕТ ПУТИ!</t>
  </si>
  <si>
    <t xml:space="preserve">система 20</t>
  </si>
  <si>
    <t xml:space="preserve">Проход по билету</t>
  </si>
  <si>
    <t xml:space="preserve">Система 20</t>
  </si>
  <si>
    <t xml:space="preserve">5 положительных отзывов</t>
  </si>
  <si>
    <t xml:space="preserve">20-ка</t>
  </si>
  <si>
    <t xml:space="preserve">текстовик</t>
  </si>
  <si>
    <t xml:space="preserve">оскорбительное поведение (рецедив)</t>
  </si>
  <si>
    <t xml:space="preserve">Устное предупреждение.</t>
  </si>
  <si>
    <t xml:space="preserve">Cамоантаг.</t>
  </si>
  <si>
    <t xml:space="preserve">валера лох</t>
  </si>
  <si>
    <t xml:space="preserve">vekus_pro</t>
  </si>
  <si>
    <t xml:space="preserve">Пересмотр кармы за текстовые собеседования.</t>
  </si>
  <si>
    <t xml:space="preserve">Начало новой системы.</t>
  </si>
  <si>
    <t xml:space="preserve">Дожиток старой системы</t>
  </si>
  <si>
    <t xml:space="preserve">Imperial Pass</t>
  </si>
  <si>
    <t xml:space="preserve">Полноценное начало новой системы.</t>
  </si>
  <si>
    <t xml:space="preserve">shish_men</t>
  </si>
  <si>
    <t xml:space="preserve">Возвращение после исключения</t>
  </si>
  <si>
    <t xml:space="preserve">lizemer</t>
  </si>
  <si>
    <t xml:space="preserve">Конкурс</t>
  </si>
  <si>
    <t xml:space="preserve">Билет от stranger_0666</t>
  </si>
  <si>
    <t xml:space="preserve">Neptoon#3925</t>
  </si>
  <si>
    <t xml:space="preserve">Билет от top_bat</t>
  </si>
  <si>
    <t xml:space="preserve">Билет от toros4</t>
  </si>
  <si>
    <t xml:space="preserve">Билет от talant6549</t>
  </si>
  <si>
    <t xml:space="preserve">Особенные обстоятельства</t>
  </si>
  <si>
    <t xml:space="preserve">Билет от meowmeowpurrrr</t>
  </si>
  <si>
    <t xml:space="preserve">Билет от gleb_kozyavkin</t>
  </si>
  <si>
    <t xml:space="preserve">Билет от mishkas_artem</t>
  </si>
  <si>
    <t xml:space="preserve">Билет от crookielv</t>
  </si>
  <si>
    <t xml:space="preserve">Билет от fantom5946</t>
  </si>
  <si>
    <t xml:space="preserve">adam_morris_000</t>
  </si>
  <si>
    <t xml:space="preserve">Прохождение собеседования после исключения</t>
  </si>
  <si>
    <t xml:space="preserve">NaDristanus_958</t>
  </si>
  <si>
    <t xml:space="preserve">Билет от s1ndi_</t>
  </si>
  <si>
    <t xml:space="preserve">Билет от vaneto.</t>
  </si>
  <si>
    <t xml:space="preserve">Билет от hsf.</t>
  </si>
  <si>
    <t xml:space="preserve">NO WAY.</t>
  </si>
  <si>
    <t xml:space="preserve">Билет на спец. условиях от xepplethecatapult</t>
  </si>
  <si>
    <t xml:space="preserve">19.07,24</t>
  </si>
  <si>
    <t xml:space="preserve">1 сезон | Участник</t>
  </si>
  <si>
    <t xml:space="preserve">1 сезон | 3 место</t>
  </si>
  <si>
    <t xml:space="preserve">1 сезон | 2 место</t>
  </si>
  <si>
    <t xml:space="preserve">(был выбран билет, 1 карма за участие)</t>
  </si>
  <si>
    <t xml:space="preserve">1 сезон | 1 место</t>
  </si>
  <si>
    <t xml:space="preserve">(кап 100 кармы)</t>
  </si>
  <si>
    <t xml:space="preserve">Билет от yunevka</t>
  </si>
  <si>
    <t xml:space="preserve">Skill Issue</t>
  </si>
  <si>
    <t xml:space="preserve">awava_</t>
  </si>
  <si>
    <t xml:space="preserve">&gt;100</t>
  </si>
  <si>
    <t xml:space="preserve">ссылка</t>
  </si>
  <si>
    <t xml:space="preserve">за написание отзыва</t>
  </si>
  <si>
    <t xml:space="preserve">Билет от dextergoon</t>
  </si>
  <si>
    <t xml:space="preserve">Лимит кармы  - 100</t>
  </si>
  <si>
    <t xml:space="preserve">2 сезон | 1 место</t>
  </si>
  <si>
    <t xml:space="preserve">2 сезон | За участие</t>
  </si>
  <si>
    <t xml:space="preserve">Билет от liubitelsandvichei</t>
  </si>
  <si>
    <t xml:space="preserve">Билет от dee.harpajo</t>
  </si>
  <si>
    <t xml:space="preserve">П1С</t>
  </si>
  <si>
    <t xml:space="preserve">помянем геймера</t>
  </si>
  <si>
    <t xml:space="preserve">Билет от lune_felix</t>
  </si>
  <si>
    <t xml:space="preserve">Билет от legotin212</t>
  </si>
  <si>
    <t xml:space="preserve">09.10,.24</t>
  </si>
  <si>
    <t xml:space="preserve">Билет от zavil_vernut_jevezo</t>
  </si>
  <si>
    <t xml:space="preserve">27.10,24</t>
  </si>
  <si>
    <t xml:space="preserve">Билет от kotingsl</t>
  </si>
  <si>
    <t xml:space="preserve">Билет от tomsktoluene</t>
  </si>
  <si>
    <t xml:space="preserve">Volter3308</t>
  </si>
  <si>
    <t xml:space="preserve">Билет от Arto_Mayer</t>
  </si>
  <si>
    <t xml:space="preserve">Билет от onionsenpai</t>
  </si>
  <si>
    <t xml:space="preserve">https://docs.google.com/spreadsheets/d/1uxLWCfiMXEW9uhwCmKolNNrj9MHwoHMph9pn7F46SlE/edit?usp=sharing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</si>
</sst>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"/>
    <numFmt numFmtId="166" formatCode="dd/mm/yy"/>
    <numFmt numFmtId="167" formatCode="General"/>
    <numFmt numFmtId="168" formatCode="dd\,mm\,yy"/>
    <numFmt numFmtId="169" formatCode="dd/mm/yyyy"/>
    <numFmt numFmtId="170" formatCode="[$р.-419]#,##0.00"/>
  </numFmts>
  <fonts count="30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1F1F1F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&quot;gg sans&quot;"/>
      <family val="0"/>
      <charset val="1"/>
    </font>
    <font>
      <sz val="9"/>
      <color rgb="FF000000"/>
      <name val="&quot;Google Sans&quot;"/>
      <family val="0"/>
      <charset val="1"/>
    </font>
    <font>
      <strike val="true"/>
      <sz val="10"/>
      <color rgb="FF000000"/>
      <name val="Arial"/>
      <family val="0"/>
      <charset val="1"/>
    </font>
    <font>
      <sz val="11"/>
      <color rgb="FF000000"/>
      <name val="&quot;gg sans&quot;"/>
      <family val="0"/>
      <charset val="1"/>
    </font>
    <font>
      <sz val="10"/>
      <color rgb="FF000000"/>
      <name val="&quot;gg sans&quot;"/>
      <family val="0"/>
      <charset val="1"/>
    </font>
    <font>
      <sz val="10"/>
      <color rgb="FF000000"/>
      <name val="Inherit"/>
      <family val="0"/>
      <charset val="1"/>
    </font>
    <font>
      <sz val="9"/>
      <color rgb="FF000000"/>
      <name val="Arial"/>
      <family val="0"/>
      <charset val="1"/>
    </font>
    <font>
      <sz val="10"/>
      <color rgb="FF000000"/>
      <name val="&quot;gg sans&quot;, &quot;Noto Sans&quot;, &quot;Helvetica Neue&quot;, Helvetica, Arial, sans-serif, &quot;Apple Symbols&quot;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1F1F1F"/>
      <name val="&quot;Google Sans&quot;"/>
      <family val="0"/>
      <charset val="1"/>
    </font>
    <font>
      <u val="single"/>
      <sz val="10"/>
      <color rgb="FF0000FF"/>
      <name val="Cambria"/>
      <family val="0"/>
      <charset val="1"/>
    </font>
    <font>
      <u val="single"/>
      <sz val="10"/>
      <color rgb="FF1155CC"/>
      <name val="Cambria"/>
      <family val="0"/>
      <charset val="1"/>
    </font>
    <font>
      <u val="single"/>
      <sz val="10"/>
      <color rgb="FF0B5394"/>
      <name val="Cambria"/>
      <family val="0"/>
      <charset val="1"/>
    </font>
    <font>
      <sz val="11"/>
      <color rgb="FFFF0000"/>
      <name val="Comic Sans MS"/>
      <family val="0"/>
      <charset val="1"/>
    </font>
    <font>
      <sz val="10"/>
      <color rgb="FFFF0000"/>
      <name val="Comic Sans MS"/>
      <family val="0"/>
      <charset val="1"/>
    </font>
    <font>
      <u val="single"/>
      <sz val="10"/>
      <color rgb="FF3C78D8"/>
      <name val="Cambria"/>
      <family val="0"/>
      <charset val="1"/>
    </font>
    <font>
      <u val="single"/>
      <sz val="10"/>
      <color rgb="FF4A86E8"/>
      <name val="Cambria"/>
      <family val="0"/>
      <charset val="1"/>
    </font>
    <font>
      <sz val="11"/>
      <color rgb="FF1F1F1F"/>
      <name val="Arial"/>
      <family val="0"/>
      <charset val="1"/>
    </font>
    <font>
      <u val="single"/>
      <sz val="10"/>
      <color rgb="FF4A86E8"/>
      <name val="Arial"/>
      <family val="0"/>
      <charset val="1"/>
    </font>
    <font>
      <sz val="11"/>
      <color rgb="FF000000"/>
      <name val="Inherit"/>
      <family val="0"/>
      <charset val="1"/>
    </font>
    <font>
      <sz val="11"/>
      <color rgb="FFFF0000"/>
      <name val="Impact"/>
      <family val="0"/>
      <charset val="1"/>
    </font>
    <font>
      <b val="true"/>
      <sz val="11"/>
      <color rgb="FFFF0000"/>
      <name val="Arial"/>
      <family val="0"/>
      <charset val="1"/>
    </font>
    <font>
      <sz val="12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4CCCC"/>
      </patternFill>
    </fill>
    <fill>
      <patternFill patternType="solid">
        <fgColor rgb="FFFFFFFF"/>
        <bgColor rgb="FFFFFFCC"/>
      </patternFill>
    </fill>
    <fill>
      <patternFill patternType="solid">
        <fgColor rgb="FFF4CCCC"/>
        <bgColor rgb="FFF9CB9C"/>
      </patternFill>
    </fill>
    <fill>
      <patternFill patternType="solid">
        <fgColor rgb="FFD9EAD3"/>
        <bgColor rgb="FFCCFFFF"/>
      </patternFill>
    </fill>
    <fill>
      <patternFill patternType="solid">
        <fgColor rgb="FF1155CC"/>
        <bgColor rgb="FF0B539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D9EAD3"/>
        </patternFill>
      </fill>
    </dxf>
    <dxf>
      <fill>
        <patternFill>
          <bgColor rgb="FFF4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F4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9CB9C"/>
      <rgbColor rgb="FF3C78D8"/>
      <rgbColor rgb="FF33CCCC"/>
      <rgbColor rgb="FF99CC00"/>
      <rgbColor rgb="FFFFCC00"/>
      <rgbColor rgb="FFFF9900"/>
      <rgbColor rgb="FFFF6600"/>
      <rgbColor rgb="FF4A86E8"/>
      <rgbColor rgb="FF969696"/>
      <rgbColor rgb="FF0B5394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iscord.com/channels/1040938900039929917/1269716789416427570/1270420397543653467" TargetMode="External"/><Relationship Id="rId2" Type="http://schemas.openxmlformats.org/officeDocument/2006/relationships/hyperlink" Target="https://discord.com/channels/1040938900039929917/1269982537137262693/1269982537137262693" TargetMode="External"/><Relationship Id="rId3" Type="http://schemas.openxmlformats.org/officeDocument/2006/relationships/hyperlink" Target="https://discord.com/channels/1040938900039929917/1269428345842696295/1270403516439072840" TargetMode="External"/><Relationship Id="rId4" Type="http://schemas.openxmlformats.org/officeDocument/2006/relationships/hyperlink" Target="https://discord.com/channels/1040938900039929917/1269428345842696295/1270403553902723175" TargetMode="External"/><Relationship Id="rId5" Type="http://schemas.openxmlformats.org/officeDocument/2006/relationships/hyperlink" Target="https://discord.com/channels/1040938900039929917/1269713108176343051/1271356004612964354" TargetMode="External"/><Relationship Id="rId6" Type="http://schemas.openxmlformats.org/officeDocument/2006/relationships/hyperlink" Target="https://discord.com/channels/1040938900039929917/1269713108176343051/1271356004612964354" TargetMode="External"/><Relationship Id="rId7" Type="http://schemas.openxmlformats.org/officeDocument/2006/relationships/hyperlink" Target="https://discord.com/channels/1040938900039929917/1269260903644139622/1270833079690203147" TargetMode="External"/><Relationship Id="rId8" Type="http://schemas.openxmlformats.org/officeDocument/2006/relationships/hyperlink" Target="https://discord.com/channels/1040938900039929917/1269260903644139622/1270833079690203147" TargetMode="External"/><Relationship Id="rId9" Type="http://schemas.openxmlformats.org/officeDocument/2006/relationships/hyperlink" Target="https://discord.com/channels/1040938900039929917/1269260903644139622/1270833079690203147" TargetMode="External"/><Relationship Id="rId10" Type="http://schemas.openxmlformats.org/officeDocument/2006/relationships/hyperlink" Target="https://discord.com/channels/1040938900039929917/1269260903644139622/1270833079690203147" TargetMode="External"/><Relationship Id="rId11" Type="http://schemas.openxmlformats.org/officeDocument/2006/relationships/hyperlink" Target="https://discord.com/channels/1040938900039929917/1269260903644139622/1271857594662649887" TargetMode="External"/><Relationship Id="rId12" Type="http://schemas.openxmlformats.org/officeDocument/2006/relationships/hyperlink" Target="https://discord.com/channels/1040938900039929917/1272224362338058342/1272970679565942927" TargetMode="External"/><Relationship Id="rId13" Type="http://schemas.openxmlformats.org/officeDocument/2006/relationships/hyperlink" Target="https://discord.com/channels/1040938900039929917/1272224362338058342/1272970679565942927" TargetMode="External"/><Relationship Id="rId14" Type="http://schemas.openxmlformats.org/officeDocument/2006/relationships/hyperlink" Target="https://discord.com/channels/1040938900039929917/1272994924261806091/1273336417086603376" TargetMode="External"/><Relationship Id="rId15" Type="http://schemas.openxmlformats.org/officeDocument/2006/relationships/hyperlink" Target="https://discord.com/channels/1040938900039929917/1273016067106668554/1274248461721800846" TargetMode="External"/><Relationship Id="rId16" Type="http://schemas.openxmlformats.org/officeDocument/2006/relationships/hyperlink" Target="https://discord.com/channels/1040938900039929917/1273016067106668554/1274248461721800846" TargetMode="External"/><Relationship Id="rId17" Type="http://schemas.openxmlformats.org/officeDocument/2006/relationships/hyperlink" Target="https://discord.com/channels/1040938900039929917/1273016067106668554/1274248461721800846" TargetMode="External"/><Relationship Id="rId18" Type="http://schemas.openxmlformats.org/officeDocument/2006/relationships/hyperlink" Target="https://discord.com/channels/1040938900039929917/1273016067106668554/1274248461721800846" TargetMode="External"/><Relationship Id="rId19" Type="http://schemas.openxmlformats.org/officeDocument/2006/relationships/hyperlink" Target="https://discord.com/channels/1040938900039929917/1273678309334450196/1274428267465670716" TargetMode="External"/><Relationship Id="rId20" Type="http://schemas.openxmlformats.org/officeDocument/2006/relationships/hyperlink" Target="https://discord.com/channels/1040938900039929917/1273678309334450196/1274428267465670716" TargetMode="External"/><Relationship Id="rId21" Type="http://schemas.openxmlformats.org/officeDocument/2006/relationships/hyperlink" Target="https://discord.com/channels/1040938900039929917/1273678309334450196/1274428267465670716" TargetMode="External"/><Relationship Id="rId22" Type="http://schemas.openxmlformats.org/officeDocument/2006/relationships/hyperlink" Target="https://discord.com/channels/1040938900039929917/1274383876902486076/1275154039151263845" TargetMode="External"/><Relationship Id="rId23" Type="http://schemas.openxmlformats.org/officeDocument/2006/relationships/hyperlink" Target="https://discord.com/channels/1040938900039929917/1274383876902486076/1275154039151263845" TargetMode="External"/><Relationship Id="rId24" Type="http://schemas.openxmlformats.org/officeDocument/2006/relationships/hyperlink" Target="https://discord.com/channels/1040938900039929917/1274383876902486076/1275154039151263845" TargetMode="External"/><Relationship Id="rId25" Type="http://schemas.openxmlformats.org/officeDocument/2006/relationships/hyperlink" Target="https://discord.com/channels/1040938900039929917/1274383876902486076/1275154039151263845" TargetMode="External"/><Relationship Id="rId26" Type="http://schemas.openxmlformats.org/officeDocument/2006/relationships/hyperlink" Target="https://discord.com/channels/1040938900039929917/1273263527942946928/1275815064519184427" TargetMode="External"/><Relationship Id="rId27" Type="http://schemas.openxmlformats.org/officeDocument/2006/relationships/hyperlink" Target="https://discord.com/channels/1040938900039929917/1275430946363015180/1276226706448978032" TargetMode="External"/><Relationship Id="rId28" Type="http://schemas.openxmlformats.org/officeDocument/2006/relationships/hyperlink" Target="https://discord.com/channels/1040938900039929917/1275430946363015180/1276226706448978032" TargetMode="External"/><Relationship Id="rId29" Type="http://schemas.openxmlformats.org/officeDocument/2006/relationships/hyperlink" Target="https://discord.com/channels/1040938900039929917/1275117635738275882/1276587272866631752" TargetMode="External"/><Relationship Id="rId30" Type="http://schemas.openxmlformats.org/officeDocument/2006/relationships/hyperlink" Target="https://discord.com/channels/1040938900039929917/1275117635738275882/1276587272866631752" TargetMode="External"/><Relationship Id="rId31" Type="http://schemas.openxmlformats.org/officeDocument/2006/relationships/hyperlink" Target="https://discord.com/channels/1040938900039929917/1275908031196172298/1276961183643209890" TargetMode="External"/><Relationship Id="rId32" Type="http://schemas.openxmlformats.org/officeDocument/2006/relationships/hyperlink" Target="https://discord.com/channels/1040938900039929917/1276228980285903001/1276961774033178738" TargetMode="External"/><Relationship Id="rId33" Type="http://schemas.openxmlformats.org/officeDocument/2006/relationships/hyperlink" Target="https://discord.com/channels/1040938900039929917/1276228980285903001/1276961774033178738" TargetMode="External"/><Relationship Id="rId34" Type="http://schemas.openxmlformats.org/officeDocument/2006/relationships/hyperlink" Target="https://discord.com/channels/1040938900039929917/1276255389947531377/1277611739399323779" TargetMode="External"/><Relationship Id="rId35" Type="http://schemas.openxmlformats.org/officeDocument/2006/relationships/hyperlink" Target="https://discord.com/channels/1040938900039929917/1276255389947531377/1277611739399323779" TargetMode="External"/><Relationship Id="rId36" Type="http://schemas.openxmlformats.org/officeDocument/2006/relationships/hyperlink" Target="https://discord.com/channels/1040938900039929917/1276255389947531377/1277611739399323779" TargetMode="External"/><Relationship Id="rId37" Type="http://schemas.openxmlformats.org/officeDocument/2006/relationships/hyperlink" Target="https://discord.com/channels/1040938900039929917/1276255389947531377/1277611739399323779" TargetMode="External"/><Relationship Id="rId38" Type="http://schemas.openxmlformats.org/officeDocument/2006/relationships/hyperlink" Target="https://discord.com/channels/1040938900039929917/1276255389947531377/1277611739399323779" TargetMode="External"/><Relationship Id="rId39" Type="http://schemas.openxmlformats.org/officeDocument/2006/relationships/hyperlink" Target="https://discord.com/channels/1040938900039929917/1274685430088073280/1277612805238821055" TargetMode="External"/><Relationship Id="rId40" Type="http://schemas.openxmlformats.org/officeDocument/2006/relationships/hyperlink" Target="https://discord.com/channels/1040938900039929917/1275361353439379457/1277615906360655966" TargetMode="External"/><Relationship Id="rId41" Type="http://schemas.openxmlformats.org/officeDocument/2006/relationships/hyperlink" Target="https://discord.com/channels/1040938900039929917/1276305269701349387/1277669564359905325" TargetMode="External"/><Relationship Id="rId42" Type="http://schemas.openxmlformats.org/officeDocument/2006/relationships/hyperlink" Target="https://discord.com/channels/1040938900039929917/1277291813450809364/1278703484027273329" TargetMode="External"/><Relationship Id="rId43" Type="http://schemas.openxmlformats.org/officeDocument/2006/relationships/hyperlink" Target="https://discord.com/channels/1040938900039929917/1277291813450809364/1278703484027273329" TargetMode="External"/><Relationship Id="rId44" Type="http://schemas.openxmlformats.org/officeDocument/2006/relationships/hyperlink" Target="https://discord.com/channels/1040938900039929917/1277356557662818447/1278705567853969499" TargetMode="External"/><Relationship Id="rId45" Type="http://schemas.openxmlformats.org/officeDocument/2006/relationships/hyperlink" Target="https://discord.com/channels/1040938900039929917/1277356557662818447/1278705567853969499" TargetMode="External"/><Relationship Id="rId46" Type="http://schemas.openxmlformats.org/officeDocument/2006/relationships/hyperlink" Target="https://discord.com/channels/1040938900039929917/1277714545917431890/1278773889186664565" TargetMode="External"/><Relationship Id="rId47" Type="http://schemas.openxmlformats.org/officeDocument/2006/relationships/hyperlink" Target="https://discord.com/channels/1040938900039929917/1277714545917431890/1278773889186664565" TargetMode="External"/><Relationship Id="rId48" Type="http://schemas.openxmlformats.org/officeDocument/2006/relationships/hyperlink" Target="https://discord.com/channels/1040938900039929917/1277714545917431890/1278773889186664565" TargetMode="External"/><Relationship Id="rId49" Type="http://schemas.openxmlformats.org/officeDocument/2006/relationships/hyperlink" Target="https://discord.com/channels/1040938900039929917/1277714545917431890/1278773889186664565" TargetMode="External"/><Relationship Id="rId50" Type="http://schemas.openxmlformats.org/officeDocument/2006/relationships/hyperlink" Target="https://discord.com/channels/1040938900039929917/1278454262149677179/1279498444779688008" TargetMode="External"/><Relationship Id="rId51" Type="http://schemas.openxmlformats.org/officeDocument/2006/relationships/hyperlink" Target="https://discord.com/channels/1040938900039929917/1278454262149677179/1279498444779688008" TargetMode="External"/><Relationship Id="rId52" Type="http://schemas.openxmlformats.org/officeDocument/2006/relationships/hyperlink" Target="https://discord.com/channels/1040938900039929917/1278732976448077935/1280109805016711240" TargetMode="External"/><Relationship Id="rId53" Type="http://schemas.openxmlformats.org/officeDocument/2006/relationships/hyperlink" Target="https://discord.com/channels/1040938900039929917/1278732976448077935/1280109805016711240" TargetMode="External"/><Relationship Id="rId54" Type="http://schemas.openxmlformats.org/officeDocument/2006/relationships/hyperlink" Target="https://discord.com/channels/1040938900039929917/1279165167158169661/1280199358427697153" TargetMode="External"/><Relationship Id="rId55" Type="http://schemas.openxmlformats.org/officeDocument/2006/relationships/hyperlink" Target="https://discord.com/channels/1040938900039929917/1279165167158169661/1280199358427697153" TargetMode="External"/><Relationship Id="rId56" Type="http://schemas.openxmlformats.org/officeDocument/2006/relationships/hyperlink" Target="https://discord.com/channels/1040938900039929917/1279200626319818853/1280203180537413755" TargetMode="External"/><Relationship Id="rId57" Type="http://schemas.openxmlformats.org/officeDocument/2006/relationships/hyperlink" Target="https://discord.com/channels/1040938900039929917/1279200626319818853/1280203180537413755" TargetMode="External"/><Relationship Id="rId58" Type="http://schemas.openxmlformats.org/officeDocument/2006/relationships/hyperlink" Target="https://discord.com/channels/1040938900039929917/1279200626319818853/1280203180537413755" TargetMode="External"/><Relationship Id="rId59" Type="http://schemas.openxmlformats.org/officeDocument/2006/relationships/hyperlink" Target="https://discord.com/channels/1040938900039929917/1279200626319818853/1280203180537413755" TargetMode="External"/><Relationship Id="rId60" Type="http://schemas.openxmlformats.org/officeDocument/2006/relationships/hyperlink" Target="https://discord.com/channels/1040938900039929917/1279791950882410527/1281201189890953287" TargetMode="External"/><Relationship Id="rId61" Type="http://schemas.openxmlformats.org/officeDocument/2006/relationships/hyperlink" Target="https://discord.com/channels/1040938900039929917/1280208907381510194" TargetMode="External"/><Relationship Id="rId62" Type="http://schemas.openxmlformats.org/officeDocument/2006/relationships/hyperlink" Target="https://discord.com/channels/1040938900039929917/1280790809486168076/1281683889961697323" TargetMode="External"/><Relationship Id="rId63" Type="http://schemas.openxmlformats.org/officeDocument/2006/relationships/hyperlink" Target="https://discord.com/channels/1040938900039929917/1280790809486168076/1281683889961697323" TargetMode="External"/><Relationship Id="rId64" Type="http://schemas.openxmlformats.org/officeDocument/2006/relationships/hyperlink" Target="https://discord.com/channels/1040938900039929917/1280789948743548981/1281684877162315836" TargetMode="External"/><Relationship Id="rId65" Type="http://schemas.openxmlformats.org/officeDocument/2006/relationships/hyperlink" Target="https://discord.com/channels/1040938900039929917/1280789948743548981/1281684877162315836" TargetMode="External"/><Relationship Id="rId66" Type="http://schemas.openxmlformats.org/officeDocument/2006/relationships/hyperlink" Target="https://discord.com/channels/1040938900039929917/1280167288451891253/1281878371868999741" TargetMode="External"/><Relationship Id="rId67" Type="http://schemas.openxmlformats.org/officeDocument/2006/relationships/hyperlink" Target="https://discord.com/channels/1040938900039929917/1280167288451891253/1281878371868999741" TargetMode="External"/><Relationship Id="rId68" Type="http://schemas.openxmlformats.org/officeDocument/2006/relationships/hyperlink" Target="https://discord.com/channels/1040938900039929917/1281690830532251708/1283419027334496258" TargetMode="External"/><Relationship Id="rId69" Type="http://schemas.openxmlformats.org/officeDocument/2006/relationships/hyperlink" Target="https://discord.com/channels/1040938900039929917/1281690830532251708/1283419027334496258" TargetMode="External"/><Relationship Id="rId70" Type="http://schemas.openxmlformats.org/officeDocument/2006/relationships/hyperlink" Target="https://discord.com/channels/1040938900039929917/1281690830532251708/1283419027334496258" TargetMode="External"/><Relationship Id="rId71" Type="http://schemas.openxmlformats.org/officeDocument/2006/relationships/hyperlink" Target="https://discord.com/channels/1040938900039929917/1283508609376063570" TargetMode="External"/><Relationship Id="rId72" Type="http://schemas.openxmlformats.org/officeDocument/2006/relationships/hyperlink" Target="https://discord.com/channels/1040938900039929917/1282756231198674994/1284234489731485803" TargetMode="External"/><Relationship Id="rId73" Type="http://schemas.openxmlformats.org/officeDocument/2006/relationships/hyperlink" Target="https://discord.com/channels/1040938900039929917/1282768815507243089/1284235935776772287" TargetMode="External"/><Relationship Id="rId74" Type="http://schemas.openxmlformats.org/officeDocument/2006/relationships/hyperlink" Target="https://discord.com/channels/1040938900039929917/1282768815507243089/1284235935776772287" TargetMode="External"/><Relationship Id="rId75" Type="http://schemas.openxmlformats.org/officeDocument/2006/relationships/hyperlink" Target="https://discord.com/channels/1040938900039929917/1282768815507243089/1284235935776772287" TargetMode="External"/><Relationship Id="rId76" Type="http://schemas.openxmlformats.org/officeDocument/2006/relationships/hyperlink" Target="https://discord.com/channels/1040938900039929917/1283682495438520421" TargetMode="External"/><Relationship Id="rId77" Type="http://schemas.openxmlformats.org/officeDocument/2006/relationships/hyperlink" Target="https://discord.com/channels/1040938900039929917/1283682495438520421" TargetMode="External"/><Relationship Id="rId78" Type="http://schemas.openxmlformats.org/officeDocument/2006/relationships/hyperlink" Target="https://discord.com/channels/1040938900039929917/1283682495438520421" TargetMode="External"/><Relationship Id="rId79" Type="http://schemas.openxmlformats.org/officeDocument/2006/relationships/hyperlink" Target="https://discord.com/channels/1040938900039929917/1283840094050062377/1285259468623319122" TargetMode="External"/><Relationship Id="rId80" Type="http://schemas.openxmlformats.org/officeDocument/2006/relationships/hyperlink" Target="https://discord.com/channels/1040938900039929917/1284595421540519977/1285604855641149512" TargetMode="External"/><Relationship Id="rId81" Type="http://schemas.openxmlformats.org/officeDocument/2006/relationships/hyperlink" Target="https://discord.com/channels/1040938900039929917/1284595421540519977/1285604855641149512" TargetMode="External"/><Relationship Id="rId82" Type="http://schemas.openxmlformats.org/officeDocument/2006/relationships/hyperlink" Target="https://discord.com/channels/1040938900039929917/1284583163447873638/1285605670426513439" TargetMode="External"/><Relationship Id="rId83" Type="http://schemas.openxmlformats.org/officeDocument/2006/relationships/hyperlink" Target="https://discord.com/channels/1040938900039929917/1284583163447873638/1285605670426513439" TargetMode="External"/><Relationship Id="rId84" Type="http://schemas.openxmlformats.org/officeDocument/2006/relationships/hyperlink" Target="https://discord.com/channels/1040938900039929917/1285328196350382110" TargetMode="External"/><Relationship Id="rId85" Type="http://schemas.openxmlformats.org/officeDocument/2006/relationships/hyperlink" Target="https://discord.com/channels/1040938900039929917/1285328196350382110" TargetMode="External"/><Relationship Id="rId86" Type="http://schemas.openxmlformats.org/officeDocument/2006/relationships/hyperlink" Target="https://discord.com/channels/1040938900039929917/1285493227817926697" TargetMode="External"/><Relationship Id="rId87" Type="http://schemas.openxmlformats.org/officeDocument/2006/relationships/hyperlink" Target="https://discord.com/channels/1040938900039929917/1285285005366530048/1286394046423629885" TargetMode="External"/><Relationship Id="rId88" Type="http://schemas.openxmlformats.org/officeDocument/2006/relationships/hyperlink" Target="https://discord.com/channels/1040938900039929917/1285285005366530048/1286394046423629885" TargetMode="External"/><Relationship Id="rId89" Type="http://schemas.openxmlformats.org/officeDocument/2006/relationships/hyperlink" Target="https://discord.com/channels/1040938900039929917/1285997978708086824/1287008529332572241" TargetMode="External"/><Relationship Id="rId90" Type="http://schemas.openxmlformats.org/officeDocument/2006/relationships/hyperlink" Target="https://discord.com/channels/1040938900039929917/1285997978708086824/1287008529332572241" TargetMode="External"/><Relationship Id="rId91" Type="http://schemas.openxmlformats.org/officeDocument/2006/relationships/hyperlink" Target="https://discord.com/channels/1040938900039929917/1285997978708086824/1287008529332572241" TargetMode="External"/><Relationship Id="rId92" Type="http://schemas.openxmlformats.org/officeDocument/2006/relationships/hyperlink" Target="https://discord.com/channels/1040938900039929917/1285997978708086824/1287008529332572241" TargetMode="External"/><Relationship Id="rId93" Type="http://schemas.openxmlformats.org/officeDocument/2006/relationships/hyperlink" Target="https://discord.com/channels/1040938900039929917/1286376149240381471/1287489100433195049" TargetMode="External"/><Relationship Id="rId94" Type="http://schemas.openxmlformats.org/officeDocument/2006/relationships/hyperlink" Target="https://discord.com/channels/1040938900039929917/1286376149240381471/1287489100433195049" TargetMode="External"/><Relationship Id="rId95" Type="http://schemas.openxmlformats.org/officeDocument/2006/relationships/hyperlink" Target="https://discord.com/channels/1040938900039929917/1285655968486523000/1287496422173966479" TargetMode="External"/><Relationship Id="rId96" Type="http://schemas.openxmlformats.org/officeDocument/2006/relationships/hyperlink" Target="https://discord.com/channels/1040938900039929917/1286165529656295435/1287789377002536991" TargetMode="External"/><Relationship Id="rId97" Type="http://schemas.openxmlformats.org/officeDocument/2006/relationships/hyperlink" Target="https://discord.com/channels/1040938900039929917/1286165529656295435/1287789377002536991" TargetMode="External"/><Relationship Id="rId98" Type="http://schemas.openxmlformats.org/officeDocument/2006/relationships/hyperlink" Target="https://discord.com/channels/1040938900039929917/1286165529656295435/1287789377002536991" TargetMode="External"/><Relationship Id="rId99" Type="http://schemas.openxmlformats.org/officeDocument/2006/relationships/hyperlink" Target="https://discord.com/channels/1040938900039929917/1286165529656295435/1287789377002536991" TargetMode="External"/><Relationship Id="rId100" Type="http://schemas.openxmlformats.org/officeDocument/2006/relationships/hyperlink" Target="https://discord.com/channels/1040938900039929917/1286165529656295435/1287789377002536991" TargetMode="External"/><Relationship Id="rId101" Type="http://schemas.openxmlformats.org/officeDocument/2006/relationships/hyperlink" Target="https://discord.com/channels/1040938900039929917/1286787317813608460/1288544994793230378" TargetMode="External"/><Relationship Id="rId102" Type="http://schemas.openxmlformats.org/officeDocument/2006/relationships/hyperlink" Target="https://discord.com/channels/1040938900039929917/1286787317813608460/1288544994793230378" TargetMode="External"/><Relationship Id="rId103" Type="http://schemas.openxmlformats.org/officeDocument/2006/relationships/hyperlink" Target="https://discord.com/channels/1040938900039929917/1286783625777643521/1288863705865388116" TargetMode="External"/><Relationship Id="rId104" Type="http://schemas.openxmlformats.org/officeDocument/2006/relationships/hyperlink" Target="https://discord.com/channels/1040938900039929917/1286783625777643521/1288863705865388116" TargetMode="External"/><Relationship Id="rId105" Type="http://schemas.openxmlformats.org/officeDocument/2006/relationships/hyperlink" Target="https://discord.com/channels/1040938900039929917/1289327078403080386/1289556846755057685" TargetMode="External"/><Relationship Id="rId106" Type="http://schemas.openxmlformats.org/officeDocument/2006/relationships/hyperlink" Target="https://discord.com/channels/1040938900039929917/1289327078403080386" TargetMode="External"/><Relationship Id="rId107" Type="http://schemas.openxmlformats.org/officeDocument/2006/relationships/hyperlink" Target="https://discord.com/channels/1040938900039929917/1289327078403080386" TargetMode="External"/><Relationship Id="rId108" Type="http://schemas.openxmlformats.org/officeDocument/2006/relationships/hyperlink" Target="https://discord.com/channels/1040938900039929917/1289589810629185650/1291062439902969919" TargetMode="External"/><Relationship Id="rId109" Type="http://schemas.openxmlformats.org/officeDocument/2006/relationships/hyperlink" Target="https://discord.com/channels/1040938900039929917/1290221220805087252" TargetMode="External"/><Relationship Id="rId110" Type="http://schemas.openxmlformats.org/officeDocument/2006/relationships/hyperlink" Target="https://discord.com/channels/1040938900039929917/1290221220805087252" TargetMode="External"/><Relationship Id="rId111" Type="http://schemas.openxmlformats.org/officeDocument/2006/relationships/hyperlink" Target="https://discord.com/channels/1040938900039929917/1290735260820308028/1291806571147300937" TargetMode="External"/><Relationship Id="rId112" Type="http://schemas.openxmlformats.org/officeDocument/2006/relationships/hyperlink" Target="https://discord.com/channels/1040938900039929917/1290735260820308028/1291806571147300937" TargetMode="External"/><Relationship Id="rId113" Type="http://schemas.openxmlformats.org/officeDocument/2006/relationships/hyperlink" Target="https://discord.com/channels/1040938900039929917/1290917177297338369/1291829206740766741" TargetMode="External"/><Relationship Id="rId114" Type="http://schemas.openxmlformats.org/officeDocument/2006/relationships/hyperlink" Target="https://discord.com/channels/1040938900039929917/1290917177297338369/1291829206740766741" TargetMode="External"/><Relationship Id="rId115" Type="http://schemas.openxmlformats.org/officeDocument/2006/relationships/hyperlink" Target="https://discord.com/channels/1040938900039929917/1291519473483780178" TargetMode="External"/><Relationship Id="rId116" Type="http://schemas.openxmlformats.org/officeDocument/2006/relationships/hyperlink" Target="https://discord.com/channels/1040938900039929917/1291519473483780178" TargetMode="External"/><Relationship Id="rId117" Type="http://schemas.openxmlformats.org/officeDocument/2006/relationships/hyperlink" Target="https://discord.com/channels/1040938900039929917/1292172834704982120/1292942431465115699" TargetMode="External"/><Relationship Id="rId118" Type="http://schemas.openxmlformats.org/officeDocument/2006/relationships/hyperlink" Target="https://discord.com/channels/1040938900039929917/1292172834704982120/1292942431465115699" TargetMode="External"/><Relationship Id="rId119" Type="http://schemas.openxmlformats.org/officeDocument/2006/relationships/hyperlink" Target="https://discord.com/channels/1040938900039929917/1292205709110280232/1293255272491647027" TargetMode="External"/><Relationship Id="rId120" Type="http://schemas.openxmlformats.org/officeDocument/2006/relationships/hyperlink" Target="https://discord.com/channels/1040938900039929917/1292205709110280232/1293255272491647027" TargetMode="External"/><Relationship Id="rId121" Type="http://schemas.openxmlformats.org/officeDocument/2006/relationships/hyperlink" Target="https://discord.com/channels/1040938900039929917/1292205709110280232/1293255272491647027" TargetMode="External"/><Relationship Id="rId122" Type="http://schemas.openxmlformats.org/officeDocument/2006/relationships/hyperlink" Target="https://discord.com/channels/1040938900039929917/1292205709110280232/1293255272491647027" TargetMode="External"/><Relationship Id="rId123" Type="http://schemas.openxmlformats.org/officeDocument/2006/relationships/hyperlink" Target="https://discord.com/channels/1040938900039929917/1292205709110280232/1293255272491647027" TargetMode="External"/><Relationship Id="rId124" Type="http://schemas.openxmlformats.org/officeDocument/2006/relationships/hyperlink" Target="https://discord.com/channels/1040938900039929917/1293323439901245512" TargetMode="External"/><Relationship Id="rId125" Type="http://schemas.openxmlformats.org/officeDocument/2006/relationships/hyperlink" Target="https://discord.com/channels/1040938900039929917/1293323439901245512" TargetMode="External"/><Relationship Id="rId126" Type="http://schemas.openxmlformats.org/officeDocument/2006/relationships/hyperlink" Target="https://discord.com/channels/1040938900039929917/1293323439901245512" TargetMode="External"/><Relationship Id="rId127" Type="http://schemas.openxmlformats.org/officeDocument/2006/relationships/hyperlink" Target="https://discord.com/channels/1040938900039929917/1293432292538056755" TargetMode="External"/><Relationship Id="rId128" Type="http://schemas.openxmlformats.org/officeDocument/2006/relationships/hyperlink" Target="https://discord.com/channels/1040938900039929917/1293432292538056755" TargetMode="External"/><Relationship Id="rId129" Type="http://schemas.openxmlformats.org/officeDocument/2006/relationships/hyperlink" Target="https://discord.com/channels/1040938900039929917/1293432292538056755" TargetMode="External"/><Relationship Id="rId130" Type="http://schemas.openxmlformats.org/officeDocument/2006/relationships/hyperlink" Target="https://discord.com/channels/1040938900039929917/1293136721466228756/1294722005727187035" TargetMode="External"/><Relationship Id="rId131" Type="http://schemas.openxmlformats.org/officeDocument/2006/relationships/hyperlink" Target="https://discord.com/channels/1040938900039929917/1293136721466228756/1294722005727187035" TargetMode="External"/><Relationship Id="rId132" Type="http://schemas.openxmlformats.org/officeDocument/2006/relationships/hyperlink" Target="https://discord.com/channels/1040938900039929917/1293136721466228756/1294722005727187035" TargetMode="External"/><Relationship Id="rId133" Type="http://schemas.openxmlformats.org/officeDocument/2006/relationships/hyperlink" Target="https://discord.com/channels/1040938900039929917/1293136721466228756/1294722005727187035" TargetMode="External"/><Relationship Id="rId134" Type="http://schemas.openxmlformats.org/officeDocument/2006/relationships/hyperlink" Target="https://discord.com/channels/1040938900039929917/1294781318185484369/1295795475936706601" TargetMode="External"/><Relationship Id="rId135" Type="http://schemas.openxmlformats.org/officeDocument/2006/relationships/hyperlink" Target="https://discord.com/channels/1040938900039929917/1294781318185484369/1295795475936706601" TargetMode="External"/><Relationship Id="rId136" Type="http://schemas.openxmlformats.org/officeDocument/2006/relationships/hyperlink" Target="https://discord.com/channels/1040938900039929917/1294781318185484369/1295795475936706601" TargetMode="External"/><Relationship Id="rId137" Type="http://schemas.openxmlformats.org/officeDocument/2006/relationships/hyperlink" Target="https://discord.com/channels/1040938900039929917/1296062967623716895" TargetMode="External"/><Relationship Id="rId138" Type="http://schemas.openxmlformats.org/officeDocument/2006/relationships/hyperlink" Target="https://discord.com/channels/1040938900039929917/1296062967623716895" TargetMode="External"/><Relationship Id="rId139" Type="http://schemas.openxmlformats.org/officeDocument/2006/relationships/hyperlink" Target="https://discord.com/channels/1040938900039929917/1297309542870417510/1297990315461836952" TargetMode="External"/><Relationship Id="rId140" Type="http://schemas.openxmlformats.org/officeDocument/2006/relationships/hyperlink" Target="https://discord.com/channels/1040938900039929917/1297627008452399105" TargetMode="External"/><Relationship Id="rId141" Type="http://schemas.openxmlformats.org/officeDocument/2006/relationships/hyperlink" Target="https://discord.com/channels/1040938900039929917/1297627008452399105" TargetMode="External"/><Relationship Id="rId142" Type="http://schemas.openxmlformats.org/officeDocument/2006/relationships/hyperlink" Target="https://discord.com/channels/1040938900039929917/1297643897933008906" TargetMode="External"/><Relationship Id="rId143" Type="http://schemas.openxmlformats.org/officeDocument/2006/relationships/hyperlink" Target="https://discord.com/channels/1040938900039929917/1297643897933008906" TargetMode="External"/><Relationship Id="rId144" Type="http://schemas.openxmlformats.org/officeDocument/2006/relationships/hyperlink" Target="https://discord.com/channels/1040938900039929917/1297642557525987348" TargetMode="External"/><Relationship Id="rId145" Type="http://schemas.openxmlformats.org/officeDocument/2006/relationships/hyperlink" Target="https://discord.com/channels/1040938900039929917/1297642557525987348" TargetMode="External"/><Relationship Id="rId146" Type="http://schemas.openxmlformats.org/officeDocument/2006/relationships/hyperlink" Target="https://discord.com/channels/1040938900039929917/1297642557525987348" TargetMode="External"/><Relationship Id="rId147" Type="http://schemas.openxmlformats.org/officeDocument/2006/relationships/hyperlink" Target="https://discord.com/channels/1040938900039929917/1299045522983616613/1299841078257778698" TargetMode="External"/><Relationship Id="rId148" Type="http://schemas.openxmlformats.org/officeDocument/2006/relationships/hyperlink" Target="https://discord.com/channels/1040938900039929917/1299045522983616613/1299841078257778698" TargetMode="External"/><Relationship Id="rId149" Type="http://schemas.openxmlformats.org/officeDocument/2006/relationships/hyperlink" Target="https://discord.com/channels/1040938900039929917/1299998541963591680" TargetMode="External"/><Relationship Id="rId150" Type="http://schemas.openxmlformats.org/officeDocument/2006/relationships/hyperlink" Target="https://discord.com/channels/1040938900039929917/1299998541963591680" TargetMode="External"/><Relationship Id="rId151" Type="http://schemas.openxmlformats.org/officeDocument/2006/relationships/hyperlink" Target="https://discord.com/channels/1040938900039929917/1299843805289381992" TargetMode="External"/><Relationship Id="rId152" Type="http://schemas.openxmlformats.org/officeDocument/2006/relationships/hyperlink" Target="https://discord.com/channels/1040938900039929917/1299843805289381992" TargetMode="External"/><Relationship Id="rId153" Type="http://schemas.openxmlformats.org/officeDocument/2006/relationships/hyperlink" Target="https://discord.com/channels/1040938900039929917/1299856168943878358" TargetMode="External"/><Relationship Id="rId154" Type="http://schemas.openxmlformats.org/officeDocument/2006/relationships/hyperlink" Target="https://discord.com/channels/1040938900039929917/1299856168943878358" TargetMode="External"/><Relationship Id="rId155" Type="http://schemas.openxmlformats.org/officeDocument/2006/relationships/hyperlink" Target="https://discord.com/channels/1040938900039929917/1299777373318942770" TargetMode="External"/><Relationship Id="rId156" Type="http://schemas.openxmlformats.org/officeDocument/2006/relationships/hyperlink" Target="https://discord.com/channels/1040938900039929917/1299777373318942770" TargetMode="External"/><Relationship Id="rId157" Type="http://schemas.openxmlformats.org/officeDocument/2006/relationships/hyperlink" Target="https://discord.com/channels/1040938900039929917/1299777373318942770" TargetMode="External"/><Relationship Id="rId158" Type="http://schemas.openxmlformats.org/officeDocument/2006/relationships/hyperlink" Target="https://discord.com/channels/1040938900039929917/1299977376385732668/1301634571959537674" TargetMode="External"/><Relationship Id="rId159" Type="http://schemas.openxmlformats.org/officeDocument/2006/relationships/hyperlink" Target="https://discord.com/channels/1040938900039929917/1300493221725606030/1301635604169097266" TargetMode="External"/><Relationship Id="rId160" Type="http://schemas.openxmlformats.org/officeDocument/2006/relationships/hyperlink" Target="https://discord.com/channels/1040938900039929917/1300493221725606030/1301635604169097266" TargetMode="External"/><Relationship Id="rId161" Type="http://schemas.openxmlformats.org/officeDocument/2006/relationships/hyperlink" Target="https://discord.com/channels/1040938900039929917/1300219366444634284/1301999944827408404" TargetMode="External"/><Relationship Id="rId162" Type="http://schemas.openxmlformats.org/officeDocument/2006/relationships/hyperlink" Target="https://discord.com/channels/1040938900039929917/1300219366444634284/1301999944827408404" TargetMode="External"/><Relationship Id="rId163" Type="http://schemas.openxmlformats.org/officeDocument/2006/relationships/hyperlink" Target="https://discord.com/channels/1040938900039929917/1300219366444634284/1301999944827408404" TargetMode="External"/><Relationship Id="rId164" Type="http://schemas.openxmlformats.org/officeDocument/2006/relationships/hyperlink" Target="https://discord.com/channels/1040938900039929917/1300400647656575008/1302000939733094402" TargetMode="External"/><Relationship Id="rId165" Type="http://schemas.openxmlformats.org/officeDocument/2006/relationships/hyperlink" Target="https://discord.com/channels/1040938900039929917/1300400647656575008/1302000939733094402" TargetMode="External"/><Relationship Id="rId166" Type="http://schemas.openxmlformats.org/officeDocument/2006/relationships/hyperlink" Target="https://discord.com/channels/1040938900039929917/1300400647656575008/1302000939733094402" TargetMode="External"/><Relationship Id="rId167" Type="http://schemas.openxmlformats.org/officeDocument/2006/relationships/hyperlink" Target="https://discord.com/channels/1040938900039929917/1301483322387730474" TargetMode="External"/><Relationship Id="rId168" Type="http://schemas.openxmlformats.org/officeDocument/2006/relationships/hyperlink" Target="https://discord.com/channels/1040938900039929917/1301483322387730474" TargetMode="External"/><Relationship Id="rId169" Type="http://schemas.openxmlformats.org/officeDocument/2006/relationships/hyperlink" Target="https://discord.com/channels/1040938900039929917/1301213168164405268" TargetMode="External"/><Relationship Id="rId170" Type="http://schemas.openxmlformats.org/officeDocument/2006/relationships/hyperlink" Target="https://discord.com/channels/1040938900039929917/1301213168164405268" TargetMode="External"/><Relationship Id="rId171" Type="http://schemas.openxmlformats.org/officeDocument/2006/relationships/hyperlink" Target="https://discord.com/channels/1040938900039929917/1301136443409956876" TargetMode="External"/><Relationship Id="rId172" Type="http://schemas.openxmlformats.org/officeDocument/2006/relationships/hyperlink" Target="https://discord.com/channels/1040938900039929917/1301136443409956876" TargetMode="External"/><Relationship Id="rId173" Type="http://schemas.openxmlformats.org/officeDocument/2006/relationships/hyperlink" Target="https://discord.com/channels/1040938900039929917/1301136443409956876" TargetMode="External"/><Relationship Id="rId174" Type="http://schemas.openxmlformats.org/officeDocument/2006/relationships/hyperlink" Target="https://discord.com/channels/1040938900039929917/1301136443409956876" TargetMode="External"/><Relationship Id="rId175" Type="http://schemas.openxmlformats.org/officeDocument/2006/relationships/hyperlink" Target="https://discord.com/channels/1040938900039929917/1301136443409956876" TargetMode="External"/><Relationship Id="rId176" Type="http://schemas.openxmlformats.org/officeDocument/2006/relationships/hyperlink" Target="https://discord.com/channels/1040938900039929917/1301987400917979176/1303351723502338100" TargetMode="External"/><Relationship Id="rId177" Type="http://schemas.openxmlformats.org/officeDocument/2006/relationships/hyperlink" Target="https://discord.com/channels/1040938900039929917/1301987400917979176/1303351723502338100" TargetMode="External"/><Relationship Id="rId178" Type="http://schemas.openxmlformats.org/officeDocument/2006/relationships/hyperlink" Target="https://discord.com/channels/1040938900039929917/1301987400917979176/1303351723502338100" TargetMode="External"/><Relationship Id="rId179" Type="http://schemas.openxmlformats.org/officeDocument/2006/relationships/hyperlink" Target="https://discord.com/channels/1040938900039929917/1302726509932580885" TargetMode="External"/><Relationship Id="rId180" Type="http://schemas.openxmlformats.org/officeDocument/2006/relationships/hyperlink" Target="https://discord.com/channels/1040938900039929917/1302726509932580885" TargetMode="External"/><Relationship Id="rId181" Type="http://schemas.openxmlformats.org/officeDocument/2006/relationships/hyperlink" Target="https://discord.com/channels/1040938900039929917/1302387518590816298" TargetMode="External"/><Relationship Id="rId182" Type="http://schemas.openxmlformats.org/officeDocument/2006/relationships/hyperlink" Target="https://discord.com/channels/1040938900039929917/1302387518590816298" TargetMode="External"/><Relationship Id="rId183" Type="http://schemas.openxmlformats.org/officeDocument/2006/relationships/hyperlink" Target="https://discord.com/channels/1040938900039929917/1301690122227548211" TargetMode="External"/><Relationship Id="rId184" Type="http://schemas.openxmlformats.org/officeDocument/2006/relationships/hyperlink" Target="https://discord.com/channels/1040938900039929917/1301690122227548211" TargetMode="External"/><Relationship Id="rId185" Type="http://schemas.openxmlformats.org/officeDocument/2006/relationships/hyperlink" Target="https://discord.com/channels/1040938900039929917/1302359293915435038/1303729014237696081" TargetMode="External"/><Relationship Id="rId186" Type="http://schemas.openxmlformats.org/officeDocument/2006/relationships/hyperlink" Target="https://discord.com/channels/1040938900039929917/1302637031914213496/1303747269874548880" TargetMode="External"/><Relationship Id="rId187" Type="http://schemas.openxmlformats.org/officeDocument/2006/relationships/hyperlink" Target="https://discord.com/channels/1040938900039929917/1303413512785367061" TargetMode="External"/><Relationship Id="rId188" Type="http://schemas.openxmlformats.org/officeDocument/2006/relationships/hyperlink" Target="https://discord.com/channels/1040938900039929917/1303413512785367061" TargetMode="External"/><Relationship Id="rId189" Type="http://schemas.openxmlformats.org/officeDocument/2006/relationships/hyperlink" Target="https://discord.com/channels/1040938900039929917/1303410587614576721" TargetMode="External"/><Relationship Id="rId190" Type="http://schemas.openxmlformats.org/officeDocument/2006/relationships/hyperlink" Target="https://discord.com/channels/1040938900039929917/1303410587614576721" TargetMode="External"/><Relationship Id="rId191" Type="http://schemas.openxmlformats.org/officeDocument/2006/relationships/hyperlink" Target="https://discord.com/channels/1040938900039929917/1303410587614576721" TargetMode="External"/><Relationship Id="rId192" Type="http://schemas.openxmlformats.org/officeDocument/2006/relationships/hyperlink" Target="https://discord.com/channels/1040938900039929917/1304902446136561674/1305904856309170226" TargetMode="External"/><Relationship Id="rId193" Type="http://schemas.openxmlformats.org/officeDocument/2006/relationships/hyperlink" Target="https://discord.com/channels/1040938900039929917/1304902446136561674/1305904856309170226" TargetMode="External"/><Relationship Id="rId194" Type="http://schemas.openxmlformats.org/officeDocument/2006/relationships/hyperlink" Target="https://discord.com/channels/1040938900039929917/1304902446136561674/1305904856309170226" TargetMode="External"/><Relationship Id="rId195" Type="http://schemas.openxmlformats.org/officeDocument/2006/relationships/hyperlink" Target="https://discord.com/channels/1040938900039929917/1304883566420820069/1305920455185666148" TargetMode="External"/><Relationship Id="rId196" Type="http://schemas.openxmlformats.org/officeDocument/2006/relationships/hyperlink" Target="https://discord.com/channels/1040938900039929917/1304883566420820069/1305920455185666148" TargetMode="External"/><Relationship Id="rId197" Type="http://schemas.openxmlformats.org/officeDocument/2006/relationships/hyperlink" Target="https://discord.com/channels/1040938900039929917/1304883566420820069/1305920455185666148" TargetMode="External"/><Relationship Id="rId198" Type="http://schemas.openxmlformats.org/officeDocument/2006/relationships/hyperlink" Target="https://discord.com/channels/1040938900039929917/1304883566420820069/1305920455185666148" TargetMode="External"/><Relationship Id="rId199" Type="http://schemas.openxmlformats.org/officeDocument/2006/relationships/hyperlink" Target="https://discord.com/channels/1040938900039929917/1304883566420820069/1305920455185666148" TargetMode="External"/><Relationship Id="rId200" Type="http://schemas.openxmlformats.org/officeDocument/2006/relationships/hyperlink" Target="https://discord.com/channels/1040938900039929917/1305206747295907953" TargetMode="External"/><Relationship Id="rId201" Type="http://schemas.openxmlformats.org/officeDocument/2006/relationships/hyperlink" Target="https://discord.com/channels/1040938900039929917/1305206747295907953" TargetMode="External"/><Relationship Id="rId202" Type="http://schemas.openxmlformats.org/officeDocument/2006/relationships/hyperlink" Target="https://discord.com/channels/1040938900039929917/1305206747295907953" TargetMode="External"/><Relationship Id="rId203" Type="http://schemas.openxmlformats.org/officeDocument/2006/relationships/hyperlink" Target="https://discord.com/channels/1040938900039929917/1305618686966632448" TargetMode="External"/><Relationship Id="rId204" Type="http://schemas.openxmlformats.org/officeDocument/2006/relationships/hyperlink" Target="https://discord.com/channels/1040938900039929917/1306992531359404122/1308075121164030022" TargetMode="External"/><Relationship Id="rId205" Type="http://schemas.openxmlformats.org/officeDocument/2006/relationships/hyperlink" Target="https://discord.com/channels/1040938900039929917/1306992531359404122/1308075121164030022" TargetMode="External"/><Relationship Id="rId206" Type="http://schemas.openxmlformats.org/officeDocument/2006/relationships/hyperlink" Target="https://discord.com/channels/1040938900039929917/1307254564176789534/1308468907228659763" TargetMode="External"/><Relationship Id="rId207" Type="http://schemas.openxmlformats.org/officeDocument/2006/relationships/hyperlink" Target="https://discord.com/channels/1040938900039929917/1307254564176789534/1308468907228659763" TargetMode="External"/><Relationship Id="rId208" Type="http://schemas.openxmlformats.org/officeDocument/2006/relationships/hyperlink" Target="https://discord.com/channels/1040938900039929917/1307254564176789534/1308468907228659763" TargetMode="External"/><Relationship Id="rId209" Type="http://schemas.openxmlformats.org/officeDocument/2006/relationships/hyperlink" Target="https://discord.com/channels/1040938900039929917/1307395971520659507" TargetMode="External"/><Relationship Id="rId210" Type="http://schemas.openxmlformats.org/officeDocument/2006/relationships/hyperlink" Target="https://discord.com/channels/1040938900039929917/1307395971520659507" TargetMode="External"/><Relationship Id="rId211" Type="http://schemas.openxmlformats.org/officeDocument/2006/relationships/hyperlink" Target="https://discord.com/channels/1040938900039929917/1307395971520659507" TargetMode="External"/><Relationship Id="rId212" Type="http://schemas.openxmlformats.org/officeDocument/2006/relationships/hyperlink" Target="https://discord.com/channels/1040938900039929917/1307395971520659507" TargetMode="External"/><Relationship Id="rId213" Type="http://schemas.openxmlformats.org/officeDocument/2006/relationships/hyperlink" Target="https://discord.com/channels/1040938900039929917/1307395971520659507" TargetMode="External"/><Relationship Id="rId214" Type="http://schemas.openxmlformats.org/officeDocument/2006/relationships/hyperlink" Target="https://discord.com/channels/1040938900039929917/1307395971520659507" TargetMode="External"/><Relationship Id="rId215" Type="http://schemas.openxmlformats.org/officeDocument/2006/relationships/hyperlink" Target="https://discord.com/channels/1040938900039929917/1307395971520659507" TargetMode="External"/><Relationship Id="rId216" Type="http://schemas.openxmlformats.org/officeDocument/2006/relationships/hyperlink" Target="https://discord.com/channels/1040938900039929917/1307395971520659507" TargetMode="External"/><Relationship Id="rId217" Type="http://schemas.openxmlformats.org/officeDocument/2006/relationships/hyperlink" Target="https://discord.com/channels/1040938900039929917/1307395971520659507" TargetMode="External"/><Relationship Id="rId218" Type="http://schemas.openxmlformats.org/officeDocument/2006/relationships/hyperlink" Target="https://discord.com/channels/1040938900039929917/1307395971520659507" TargetMode="External"/><Relationship Id="rId219" Type="http://schemas.openxmlformats.org/officeDocument/2006/relationships/hyperlink" Target="https://discord.com/channels/1040938900039929917/1307395971520659507" TargetMode="External"/><Relationship Id="rId220" Type="http://schemas.openxmlformats.org/officeDocument/2006/relationships/hyperlink" Target="https://discord.com/channels/1040938900039929917/1307640634416566282" TargetMode="External"/><Relationship Id="rId221" Type="http://schemas.openxmlformats.org/officeDocument/2006/relationships/hyperlink" Target="https://discord.com/channels/1040938900039929917/1307734451559731271/1308782771090751538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uxLWCfiMXEW9uhwCmKolNNrj9MHwoHMph9pn7F46SlE/edit?usp=shar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8" activePane="bottomLeft" state="frozen"/>
      <selection pane="topLeft" activeCell="A1" activeCellId="0" sqref="A1"/>
      <selection pane="bottomLeft" activeCell="D80" activeCellId="0" sqref="D8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9.75"/>
    <col collapsed="false" customWidth="true" hidden="false" outlineLevel="0" max="2" min="2" style="0" width="19"/>
    <col collapsed="false" customWidth="true" hidden="false" outlineLevel="0" max="4" min="3" style="0" width="18"/>
    <col collapsed="false" customWidth="true" hidden="false" outlineLevel="0" max="5" min="5" style="0" width="20"/>
    <col collapsed="false" customWidth="true" hidden="false" outlineLevel="0" max="6" min="6" style="0" width="35.89"/>
    <col collapsed="false" customWidth="true" hidden="false" outlineLevel="0" max="7" min="7" style="0" width="36.13"/>
    <col collapsed="false" customWidth="true" hidden="false" outlineLevel="0" max="26" min="8" style="0" width="18"/>
  </cols>
  <sheetData>
    <row r="1" customFormat="false" ht="23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23.25" hidden="false" customHeight="true" outlineLevel="0" collapsed="false">
      <c r="A2" s="4" t="s">
        <v>5</v>
      </c>
      <c r="B2" s="4" t="s">
        <v>6</v>
      </c>
      <c r="C2" s="3" t="n">
        <f aca="false">IF(B2="","",SUMIF(Отзывы!$C:$C,$B2,Отзывы!$F:$F)+ТехническийЛист!$C$1)</f>
        <v>76</v>
      </c>
      <c r="D2" s="3" t="str">
        <f aca="false">IFERROR(__xludf.dummyfunction("IMPORTRANGE('ТехническийЛист'!$B$1,""список!D""&amp;'ТехническийЛист'!$A2)"),"Есть доступ")</f>
        <v>Есть доступ</v>
      </c>
      <c r="E2" s="3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23.25" hidden="false" customHeight="true" outlineLevel="0" collapsed="false">
      <c r="A3" s="3" t="s">
        <v>7</v>
      </c>
      <c r="B3" s="3" t="s">
        <v>7</v>
      </c>
      <c r="C3" s="3" t="n">
        <f aca="false">IF(B3="","",SUMIF(Отзывы!$C:$C,$B3,Отзывы!$F:$F)+ТехническийЛист!$C$1)</f>
        <v>8</v>
      </c>
      <c r="D3" s="3" t="str">
        <f aca="false">IFERROR(__xludf.dummyfunction("IMPORTRANGE('ТехническийЛист'!$B$1,""список!D""&amp;'ТехническийЛист'!$A3)"),"Есть доступ")</f>
        <v>Есть доступ</v>
      </c>
      <c r="E3" s="3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23.25" hidden="false" customHeight="true" outlineLevel="0" collapsed="false">
      <c r="A4" s="5" t="s">
        <v>8</v>
      </c>
      <c r="B4" s="6" t="s">
        <v>9</v>
      </c>
      <c r="C4" s="3" t="n">
        <f aca="false">IF(B4="","",SUMIF(Отзывы!$C:$C,$B4,Отзывы!$F:$F)+ТехническийЛист!$C$1)</f>
        <v>49</v>
      </c>
      <c r="D4" s="3" t="str">
        <f aca="false">IFERROR(__xludf.dummyfunction("IMPORTRANGE('ТехническийЛист'!$B$1,""список!D""&amp;'ТехническийЛист'!$A4)"),"Есть доступ")</f>
        <v>Есть доступ</v>
      </c>
      <c r="E4" s="3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23.25" hidden="false" customHeight="true" outlineLevel="0" collapsed="false">
      <c r="A5" s="3" t="s">
        <v>10</v>
      </c>
      <c r="B5" s="3" t="s">
        <v>11</v>
      </c>
      <c r="C5" s="3" t="n">
        <f aca="false">IF(B5="","",SUMIF(Отзывы!$C:$C,$B5,Отзывы!$F:$F)+ТехническийЛист!$C$1)</f>
        <v>67</v>
      </c>
      <c r="D5" s="3" t="str">
        <f aca="false">IFERROR(__xludf.dummyfunction("IMPORTRANGE('ТехническийЛист'!$B$1,""список!D""&amp;'ТехническийЛист'!$A5)"),"Нет доступа")</f>
        <v>Нет доступа</v>
      </c>
      <c r="E5" s="3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23.25" hidden="false" customHeight="true" outlineLevel="0" collapsed="false">
      <c r="A6" s="3" t="s">
        <v>12</v>
      </c>
      <c r="B6" s="2" t="s">
        <v>13</v>
      </c>
      <c r="C6" s="3" t="n">
        <f aca="false">IF(B6="","",SUMIF(Отзывы!$C:$C,$B6,Отзывы!$F:$F)+ТехническийЛист!$C$1)</f>
        <v>97</v>
      </c>
      <c r="D6" s="3" t="str">
        <f aca="false">IFERROR(__xludf.dummyfunction("IMPORTRANGE('ТехническийЛист'!$B$1,""список!D""&amp;'ТехническийЛист'!$A6)"),"Есть доступ")</f>
        <v>Есть доступ</v>
      </c>
      <c r="E6" s="3" t="s">
        <v>14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23.25" hidden="false" customHeight="true" outlineLevel="0" collapsed="false">
      <c r="A7" s="3" t="s">
        <v>15</v>
      </c>
      <c r="B7" s="3" t="s">
        <v>16</v>
      </c>
      <c r="C7" s="3" t="n">
        <f aca="false">IF(B7="","",SUMIF(Отзывы!$C:$C,$B7,Отзывы!$F:$F)+ТехническийЛист!$C$1)</f>
        <v>54</v>
      </c>
      <c r="D7" s="3" t="str">
        <f aca="false">IFERROR(__xludf.dummyfunction("IMPORTRANGE('ТехническийЛист'!$B$1,""список!D""&amp;'ТехническийЛист'!$A7)"),"Есть доступ")</f>
        <v>Есть доступ</v>
      </c>
      <c r="E7" s="3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23.25" hidden="false" customHeight="true" outlineLevel="0" collapsed="false">
      <c r="A8" s="2" t="s">
        <v>17</v>
      </c>
      <c r="B8" s="2" t="s">
        <v>18</v>
      </c>
      <c r="C8" s="3" t="n">
        <f aca="false">IF(B8="","",SUMIF(Отзывы!$C:$C,$B8,Отзывы!$F:$F)+ТехническийЛист!$C$1)</f>
        <v>45</v>
      </c>
      <c r="D8" s="3" t="str">
        <f aca="false">IFERROR(__xludf.dummyfunction("IMPORTRANGE('ТехническийЛист'!$B$1,""список!D""&amp;'ТехническийЛист'!$A8)"),"Есть доступ")</f>
        <v>Есть доступ</v>
      </c>
      <c r="E8" s="3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23.25" hidden="false" customHeight="true" outlineLevel="0" collapsed="false">
      <c r="A9" s="3" t="s">
        <v>19</v>
      </c>
      <c r="B9" s="3" t="s">
        <v>20</v>
      </c>
      <c r="C9" s="3" t="n">
        <f aca="false">IF(B9="","",SUMIF(Отзывы!$C:$C,$B9,Отзывы!$F:$F)+ТехническийЛист!$C$1)</f>
        <v>59</v>
      </c>
      <c r="D9" s="3" t="str">
        <f aca="false">IFERROR(__xludf.dummyfunction("IMPORTRANGE('ТехническийЛист'!$B$1,""список!D""&amp;'ТехническийЛист'!$A9)"),"Есть доступ")</f>
        <v>Есть доступ</v>
      </c>
      <c r="E9" s="3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23.25" hidden="false" customHeight="true" outlineLevel="0" collapsed="false">
      <c r="A10" s="3" t="s">
        <v>21</v>
      </c>
      <c r="B10" s="3" t="s">
        <v>22</v>
      </c>
      <c r="C10" s="3" t="n">
        <f aca="false">IF(B10="","",SUMIF(Отзывы!$C:$C,$B10,Отзывы!$F:$F)+ТехническийЛист!$C$1)</f>
        <v>56</v>
      </c>
      <c r="D10" s="3" t="str">
        <f aca="false">IFERROR(__xludf.dummyfunction("IMPORTRANGE('ТехническийЛист'!$B$1,""список!D""&amp;'ТехническийЛист'!$A10)"),"Есть доступ")</f>
        <v>Есть доступ</v>
      </c>
      <c r="E10" s="3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23.25" hidden="false" customHeight="true" outlineLevel="0" collapsed="false">
      <c r="A11" s="5" t="s">
        <v>23</v>
      </c>
      <c r="B11" s="5" t="s">
        <v>24</v>
      </c>
      <c r="C11" s="3" t="n">
        <f aca="false">IF(B11="","",SUMIF(Отзывы!$C:$C,$B11,Отзывы!$F:$F)+ТехническийЛист!$C$1)</f>
        <v>52</v>
      </c>
      <c r="D11" s="3" t="str">
        <f aca="false">IFERROR(__xludf.dummyfunction("IMPORTRANGE('ТехническийЛист'!$B$1,""список!D""&amp;'ТехническийЛист'!$A11)"),"Есть доступ")</f>
        <v>Есть доступ</v>
      </c>
      <c r="E11" s="3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23.25" hidden="false" customHeight="true" outlineLevel="0" collapsed="false">
      <c r="A12" s="3" t="s">
        <v>25</v>
      </c>
      <c r="B12" s="5" t="s">
        <v>26</v>
      </c>
      <c r="C12" s="3" t="n">
        <f aca="false">IF(B12="","",SUMIF(Отзывы!$C:$C,$B12,Отзывы!$F:$F)+ТехническийЛист!$C$1)</f>
        <v>74</v>
      </c>
      <c r="D12" s="3" t="str">
        <f aca="false">IFERROR(__xludf.dummyfunction("IMPORTRANGE('ТехническийЛист'!$B$1,""список!D""&amp;'ТехническийЛист'!$A12)"),"Есть доступ")</f>
        <v>Есть доступ</v>
      </c>
      <c r="E12" s="3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23.25" hidden="false" customHeight="true" outlineLevel="0" collapsed="false">
      <c r="A13" s="5" t="s">
        <v>27</v>
      </c>
      <c r="B13" s="5" t="s">
        <v>28</v>
      </c>
      <c r="C13" s="3" t="n">
        <f aca="false">IF(B13="","",SUMIF(Отзывы!$C:$C,$B13,Отзывы!$F:$F)+ТехническийЛист!$C$1)</f>
        <v>32</v>
      </c>
      <c r="D13" s="3" t="str">
        <f aca="false">IFERROR(__xludf.dummyfunction("IMPORTRANGE('ТехническийЛист'!$B$1,""список!D""&amp;'ТехническийЛист'!$A13)"),"Нет доступа")</f>
        <v>Нет доступа</v>
      </c>
      <c r="E13" s="3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23.25" hidden="false" customHeight="true" outlineLevel="0" collapsed="false">
      <c r="A14" s="5" t="s">
        <v>29</v>
      </c>
      <c r="B14" s="5" t="s">
        <v>30</v>
      </c>
      <c r="C14" s="3" t="n">
        <f aca="false">IF(B14="","",SUMIF(Отзывы!$C:$C,$B14,Отзывы!$F:$F)+ТехническийЛист!$C$1)</f>
        <v>100</v>
      </c>
      <c r="D14" s="3" t="str">
        <f aca="false">IFERROR(__xludf.dummyfunction("IMPORTRANGE('ТехническийЛист'!$B$1,""список!D""&amp;'ТехническийЛист'!$A14)"),"Есть доступ")</f>
        <v>Есть доступ</v>
      </c>
      <c r="E14" s="3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23.25" hidden="false" customHeight="true" outlineLevel="0" collapsed="false">
      <c r="A15" s="5" t="s">
        <v>31</v>
      </c>
      <c r="B15" s="5" t="s">
        <v>32</v>
      </c>
      <c r="C15" s="3" t="n">
        <f aca="false">IF(B15="","",SUMIF(Отзывы!$C:$C,$B15,Отзывы!$F:$F)+ТехническийЛист!$C$1)</f>
        <v>53</v>
      </c>
      <c r="D15" s="3" t="str">
        <f aca="false">IFERROR(__xludf.dummyfunction("IMPORTRANGE('ТехническийЛист'!$B$1,""список!D""&amp;'ТехническийЛист'!$A15)"),"Есть доступ")</f>
        <v>Есть доступ</v>
      </c>
      <c r="E15" s="3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23.25" hidden="false" customHeight="true" outlineLevel="0" collapsed="false">
      <c r="A16" s="2" t="s">
        <v>33</v>
      </c>
      <c r="B16" s="2" t="s">
        <v>33</v>
      </c>
      <c r="C16" s="3" t="n">
        <f aca="false">IF(B16="","",SUMIF(Отзывы!$C:$C,$B16,Отзывы!$F:$F)+ТехническийЛист!$C$1)</f>
        <v>50</v>
      </c>
      <c r="D16" s="3" t="str">
        <f aca="false">IFERROR(__xludf.dummyfunction("IMPORTRANGE('ТехническийЛист'!$B$1,""список!D""&amp;'ТехническийЛист'!$A16)"),"Есть доступ")</f>
        <v>Есть доступ</v>
      </c>
      <c r="E16" s="3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23.25" hidden="false" customHeight="true" outlineLevel="0" collapsed="false">
      <c r="A17" s="2" t="s">
        <v>34</v>
      </c>
      <c r="B17" s="2" t="s">
        <v>35</v>
      </c>
      <c r="C17" s="3" t="n">
        <f aca="false">IF(B17="","",SUMIF(Отзывы!$C:$C,$B17,Отзывы!$F:$F)+ТехническийЛист!$C$1)</f>
        <v>50</v>
      </c>
      <c r="D17" s="3" t="str">
        <f aca="false">IFERROR(__xludf.dummyfunction("IMPORTRANGE('ТехническийЛист'!$B$1,""список!D""&amp;'ТехническийЛист'!$A17)"),"Есть доступ")</f>
        <v>Есть доступ</v>
      </c>
      <c r="E17" s="3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23.25" hidden="false" customHeight="true" outlineLevel="0" collapsed="false">
      <c r="A18" s="5" t="s">
        <v>36</v>
      </c>
      <c r="B18" s="5" t="s">
        <v>37</v>
      </c>
      <c r="C18" s="3" t="n">
        <f aca="false">IF(B18="","",SUMIF(Отзывы!$C:$C,$B18,Отзывы!$F:$F)+ТехническийЛист!$C$1)</f>
        <v>52</v>
      </c>
      <c r="D18" s="3" t="str">
        <f aca="false">IFERROR(__xludf.dummyfunction("IMPORTRANGE('ТехническийЛист'!$B$1,""список!D""&amp;'ТехническийЛист'!$A18)"),"Есть доступ")</f>
        <v>Есть доступ</v>
      </c>
      <c r="E18" s="3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23.25" hidden="false" customHeight="true" outlineLevel="0" collapsed="false">
      <c r="A19" s="5" t="s">
        <v>38</v>
      </c>
      <c r="B19" s="5" t="s">
        <v>39</v>
      </c>
      <c r="C19" s="3" t="n">
        <f aca="false">IF(B19="","",SUMIF(Отзывы!$C:$C,$B19,Отзывы!$F:$F)+ТехническийЛист!$C$1)</f>
        <v>0</v>
      </c>
      <c r="D19" s="3" t="str">
        <f aca="false">IFERROR(__xludf.dummyfunction("IMPORTRANGE('ТехническийЛист'!$B$1,""список!D""&amp;'ТехническийЛист'!$A19)"),"Нет доступа")</f>
        <v>Нет доступа</v>
      </c>
      <c r="E19" s="3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23.25" hidden="false" customHeight="true" outlineLevel="0" collapsed="false">
      <c r="A20" s="5" t="s">
        <v>40</v>
      </c>
      <c r="B20" s="5" t="s">
        <v>41</v>
      </c>
      <c r="C20" s="3" t="n">
        <f aca="false">IF(B20="","",SUMIF(Отзывы!$C:$C,$B20,Отзывы!$F:$F)+ТехническийЛист!$C$1)</f>
        <v>50</v>
      </c>
      <c r="D20" s="3" t="str">
        <f aca="false">IFERROR(__xludf.dummyfunction("IMPORTRANGE('ТехническийЛист'!$B$1,""список!D""&amp;'ТехническийЛист'!$A20)"),"Есть доступ")</f>
        <v>Есть доступ</v>
      </c>
      <c r="E20" s="3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23.25" hidden="false" customHeight="true" outlineLevel="0" collapsed="false">
      <c r="A21" s="5" t="s">
        <v>42</v>
      </c>
      <c r="B21" s="5" t="s">
        <v>43</v>
      </c>
      <c r="C21" s="3" t="n">
        <f aca="false">IF(B21="","",SUMIF(Отзывы!$C:$C,$B21,Отзывы!$F:$F)+ТехническийЛист!$C$1)</f>
        <v>54</v>
      </c>
      <c r="D21" s="3" t="str">
        <f aca="false">IFERROR(__xludf.dummyfunction("IMPORTRANGE('ТехническийЛист'!$B$1,""список!D""&amp;'ТехническийЛист'!$A21)"),"Есть доступ")</f>
        <v>Есть доступ</v>
      </c>
      <c r="E21" s="3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23.25" hidden="false" customHeight="true" outlineLevel="0" collapsed="false">
      <c r="A22" s="5" t="s">
        <v>44</v>
      </c>
      <c r="B22" s="5" t="s">
        <v>45</v>
      </c>
      <c r="C22" s="3" t="n">
        <f aca="false">IF(B22="","",SUMIF(Отзывы!$C:$C,$B22,Отзывы!$F:$F)+ТехническийЛист!$C$1)</f>
        <v>50</v>
      </c>
      <c r="D22" s="3" t="str">
        <f aca="false">IFERROR(__xludf.dummyfunction("IMPORTRANGE('ТехническийЛист'!$B$1,""список!D""&amp;'ТехническийЛист'!$A22)"),"Есть доступ")</f>
        <v>Есть доступ</v>
      </c>
      <c r="E22" s="3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23.25" hidden="false" customHeight="true" outlineLevel="0" collapsed="false">
      <c r="A23" s="5" t="s">
        <v>46</v>
      </c>
      <c r="B23" s="5" t="s">
        <v>47</v>
      </c>
      <c r="C23" s="3" t="n">
        <f aca="false">IF(B23="","",SUMIF(Отзывы!$C:$C,$B23,Отзывы!$F:$F)+ТехническийЛист!$C$1)</f>
        <v>60</v>
      </c>
      <c r="D23" s="3" t="str">
        <f aca="false">IFERROR(__xludf.dummyfunction("IMPORTRANGE('ТехническийЛист'!$B$1,""список!D""&amp;'ТехническийЛист'!$A23)"),"Есть доступ")</f>
        <v>Есть доступ</v>
      </c>
      <c r="E23" s="3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23.25" hidden="false" customHeight="true" outlineLevel="0" collapsed="false">
      <c r="A24" s="5" t="s">
        <v>48</v>
      </c>
      <c r="B24" s="5" t="s">
        <v>49</v>
      </c>
      <c r="C24" s="3" t="n">
        <f aca="false">IF(B24="","",SUMIF(Отзывы!$C:$C,$B24,Отзывы!$F:$F)+ТехническийЛист!$C$1)</f>
        <v>50</v>
      </c>
      <c r="D24" s="3" t="str">
        <f aca="false">IFERROR(__xludf.dummyfunction("IMPORTRANGE('ТехническийЛист'!$B$1,""список!D""&amp;'ТехническийЛист'!$A24)"),"Есть доступ")</f>
        <v>Есть доступ</v>
      </c>
      <c r="E24" s="3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23.25" hidden="false" customHeight="true" outlineLevel="0" collapsed="false">
      <c r="A25" s="5" t="s">
        <v>50</v>
      </c>
      <c r="B25" s="5" t="s">
        <v>51</v>
      </c>
      <c r="C25" s="3" t="n">
        <f aca="false">IF(B25="","",SUMIF(Отзывы!$C:$C,$B25,Отзывы!$F:$F)+ТехническийЛист!$C$1)</f>
        <v>62</v>
      </c>
      <c r="D25" s="3" t="str">
        <f aca="false">IFERROR(__xludf.dummyfunction("IMPORTRANGE('ТехническийЛист'!$B$1,""список!D""&amp;'ТехническийЛист'!$A25)"),"Есть доступ")</f>
        <v>Есть доступ</v>
      </c>
      <c r="E25" s="3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23.25" hidden="false" customHeight="true" outlineLevel="0" collapsed="false">
      <c r="A26" s="3" t="s">
        <v>52</v>
      </c>
      <c r="B26" s="3" t="s">
        <v>53</v>
      </c>
      <c r="C26" s="3" t="n">
        <f aca="false">IF(B26="","",SUMIF(Отзывы!$C:$C,$B26,Отзывы!$F:$F)+ТехническийЛист!$C$1)</f>
        <v>51</v>
      </c>
      <c r="D26" s="3" t="str">
        <f aca="false">IFERROR(__xludf.dummyfunction("IMPORTRANGE('ТехническийЛист'!$B$1,""список!D""&amp;'ТехническийЛист'!$A26)"),"Есть доступ")</f>
        <v>Есть доступ</v>
      </c>
      <c r="E26" s="3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23.25" hidden="false" customHeight="true" outlineLevel="0" collapsed="false">
      <c r="A27" s="3" t="s">
        <v>54</v>
      </c>
      <c r="B27" s="3" t="s">
        <v>55</v>
      </c>
      <c r="C27" s="3" t="n">
        <f aca="false">IF(B27="","",SUMIF(Отзывы!$C:$C,$B27,Отзывы!$F:$F)+ТехническийЛист!$C$1)</f>
        <v>52</v>
      </c>
      <c r="D27" s="3" t="str">
        <f aca="false">IFERROR(__xludf.dummyfunction("IMPORTRANGE('ТехническийЛист'!$B$1,""список!D""&amp;'ТехническийЛист'!$A27)"),"Есть доступ")</f>
        <v>Есть доступ</v>
      </c>
      <c r="E27" s="3"/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23.25" hidden="false" customHeight="true" outlineLevel="0" collapsed="false">
      <c r="A28" s="3" t="s">
        <v>56</v>
      </c>
      <c r="B28" s="3" t="s">
        <v>57</v>
      </c>
      <c r="C28" s="3" t="n">
        <f aca="false">IF(B28="","",SUMIF(Отзывы!$C:$C,$B28,Отзывы!$F:$F)+ТехническийЛист!$C$1)</f>
        <v>50</v>
      </c>
      <c r="D28" s="3" t="str">
        <f aca="false">IFERROR(__xludf.dummyfunction("IMPORTRANGE('ТехническийЛист'!$B$1,""список!D""&amp;'ТехническийЛист'!$A28)"),"Есть доступ")</f>
        <v>Есть доступ</v>
      </c>
      <c r="E28" s="3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23.25" hidden="false" customHeight="true" outlineLevel="0" collapsed="false">
      <c r="A29" s="3" t="s">
        <v>58</v>
      </c>
      <c r="B29" s="3" t="s">
        <v>59</v>
      </c>
      <c r="C29" s="3" t="n">
        <f aca="false">IF(B29="","",SUMIF(Отзывы!$C:$C,$B29,Отзывы!$F:$F)+ТехническийЛист!$C$1)</f>
        <v>43</v>
      </c>
      <c r="D29" s="3" t="str">
        <f aca="false">IFERROR(__xludf.dummyfunction("IMPORTRANGE('ТехническийЛист'!$B$1,""список!D""&amp;'ТехническийЛист'!$A29)"),"Есть доступ")</f>
        <v>Есть доступ</v>
      </c>
      <c r="E29" s="3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23.25" hidden="false" customHeight="true" outlineLevel="0" collapsed="false">
      <c r="A30" s="2" t="s">
        <v>60</v>
      </c>
      <c r="B30" s="2" t="s">
        <v>61</v>
      </c>
      <c r="C30" s="3" t="n">
        <f aca="false">IF(B30="","",SUMIF(Отзывы!$C:$C,$B30,Отзывы!$F:$F)+ТехническийЛист!$C$1)</f>
        <v>96</v>
      </c>
      <c r="D30" s="3" t="str">
        <f aca="false">IFERROR(__xludf.dummyfunction("IMPORTRANGE('ТехническийЛист'!$B$1,""список!D""&amp;'ТехническийЛист'!$A30)"),"Есть доступ")</f>
        <v>Есть доступ</v>
      </c>
      <c r="E30" s="2" t="s">
        <v>62</v>
      </c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23.25" hidden="false" customHeight="true" outlineLevel="0" collapsed="false">
      <c r="A31" s="2" t="s">
        <v>63</v>
      </c>
      <c r="B31" s="2" t="s">
        <v>64</v>
      </c>
      <c r="C31" s="3" t="n">
        <f aca="false">IF(B31="","",SUMIF(Отзывы!$C:$C,$B31,Отзывы!$F:$F)+ТехническийЛист!$C$1)</f>
        <v>20</v>
      </c>
      <c r="D31" s="3" t="str">
        <f aca="false">IFERROR(__xludf.dummyfunction("IMPORTRANGE('ТехническийЛист'!$B$1,""список!D""&amp;'ТехническийЛист'!$A31)"),"Есть доступ")</f>
        <v>Есть доступ</v>
      </c>
      <c r="E31" s="3"/>
      <c r="F31" s="2"/>
      <c r="G31" s="2"/>
      <c r="H31" s="3"/>
      <c r="I31" s="3" t="s">
        <v>65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23.25" hidden="false" customHeight="true" outlineLevel="0" collapsed="false">
      <c r="A32" s="2" t="s">
        <v>66</v>
      </c>
      <c r="B32" s="2" t="s">
        <v>67</v>
      </c>
      <c r="C32" s="3" t="n">
        <f aca="false">IF(B32="","",SUMIF(Отзывы!$C:$C,$B32,Отзывы!$F:$F)+ТехническийЛист!$C$1)</f>
        <v>67</v>
      </c>
      <c r="D32" s="3" t="str">
        <f aca="false">IFERROR(__xludf.dummyfunction("IMPORTRANGE('ТехническийЛист'!$B$1,""список!D""&amp;'ТехническийЛист'!$A32)"),"Есть доступ")</f>
        <v>Есть доступ</v>
      </c>
      <c r="E32" s="3" t="s">
        <v>68</v>
      </c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23.25" hidden="false" customHeight="true" outlineLevel="0" collapsed="false">
      <c r="A33" s="3" t="s">
        <v>69</v>
      </c>
      <c r="B33" s="3" t="s">
        <v>69</v>
      </c>
      <c r="C33" s="3" t="n">
        <f aca="false">IF(B33="","",SUMIF(Отзывы!$C:$C,$B33,Отзывы!$F:$F)+ТехническийЛист!$C$1)</f>
        <v>70</v>
      </c>
      <c r="D33" s="3" t="str">
        <f aca="false">IFERROR(__xludf.dummyfunction("IMPORTRANGE('ТехническийЛист'!$B$1,""список!D""&amp;'ТехническийЛист'!$A33)"),"Есть доступ")</f>
        <v>Есть доступ</v>
      </c>
      <c r="E33" s="3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23.25" hidden="false" customHeight="true" outlineLevel="0" collapsed="false">
      <c r="A34" s="5" t="s">
        <v>70</v>
      </c>
      <c r="B34" s="5" t="s">
        <v>71</v>
      </c>
      <c r="C34" s="3" t="n">
        <f aca="false">IF(B34="","",SUMIF(Отзывы!$C:$C,$B34,Отзывы!$F:$F)+ТехническийЛист!$C$1)</f>
        <v>50</v>
      </c>
      <c r="D34" s="3" t="str">
        <f aca="false">IFERROR(__xludf.dummyfunction("IMPORTRANGE('ТехническийЛист'!$B$1,""список!D""&amp;'ТехническийЛист'!$A34)"),"Есть доступ")</f>
        <v>Есть доступ</v>
      </c>
      <c r="E34" s="3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23.25" hidden="false" customHeight="true" outlineLevel="0" collapsed="false">
      <c r="A35" s="5" t="s">
        <v>72</v>
      </c>
      <c r="B35" s="5" t="s">
        <v>72</v>
      </c>
      <c r="C35" s="3" t="n">
        <f aca="false">IF(B35="","",SUMIF(Отзывы!$C:$C,$B35,Отзывы!$F:$F)+ТехническийЛист!$C$1)</f>
        <v>50</v>
      </c>
      <c r="D35" s="3" t="str">
        <f aca="false">IFERROR(__xludf.dummyfunction("IMPORTRANGE('ТехническийЛист'!$B$1,""список!D""&amp;'ТехническийЛист'!$A35)"),"Есть доступ")</f>
        <v>Есть доступ</v>
      </c>
      <c r="E35" s="3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23.25" hidden="false" customHeight="true" outlineLevel="0" collapsed="false">
      <c r="A36" s="5" t="s">
        <v>73</v>
      </c>
      <c r="B36" s="5" t="s">
        <v>74</v>
      </c>
      <c r="C36" s="3" t="n">
        <f aca="false">IF(B36="","",SUMIF(Отзывы!$C:$C,$B36,Отзывы!$F:$F)+ТехническийЛист!$C$1)</f>
        <v>50</v>
      </c>
      <c r="D36" s="3" t="str">
        <f aca="false">IFERROR(__xludf.dummyfunction("IMPORTRANGE('ТехническийЛист'!$B$1,""список!D""&amp;'ТехническийЛист'!$A36)"),"Есть доступ")</f>
        <v>Есть доступ</v>
      </c>
      <c r="E36" s="3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23.25" hidden="false" customHeight="true" outlineLevel="0" collapsed="false">
      <c r="A37" s="5" t="s">
        <v>75</v>
      </c>
      <c r="B37" s="5" t="s">
        <v>76</v>
      </c>
      <c r="C37" s="3" t="n">
        <f aca="false">IF(B37="","",SUMIF(Отзывы!$C:$C,$B37,Отзывы!$F:$F)+ТехническийЛист!$C$1)</f>
        <v>54</v>
      </c>
      <c r="D37" s="3" t="str">
        <f aca="false">IFERROR(__xludf.dummyfunction("IMPORTRANGE('ТехническийЛист'!$B$1,""список!D""&amp;'ТехническийЛист'!$A37)"),"Есть доступ")</f>
        <v>Есть доступ</v>
      </c>
      <c r="E37" s="3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23.25" hidden="false" customHeight="true" outlineLevel="0" collapsed="false">
      <c r="A38" s="5" t="s">
        <v>77</v>
      </c>
      <c r="B38" s="5" t="s">
        <v>78</v>
      </c>
      <c r="C38" s="3" t="n">
        <f aca="false">IF(B38="","",SUMIF(Отзывы!$C:$C,$B38,Отзывы!$F:$F)+ТехническийЛист!$C$1)</f>
        <v>50</v>
      </c>
      <c r="D38" s="3" t="str">
        <f aca="false">IFERROR(__xludf.dummyfunction("IMPORTRANGE('ТехническийЛист'!$B$1,""список!D""&amp;'ТехническийЛист'!$A38)"),"Нет доступа")</f>
        <v>Нет доступа</v>
      </c>
      <c r="E38" s="3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23.25" hidden="false" customHeight="true" outlineLevel="0" collapsed="false">
      <c r="A39" s="5" t="s">
        <v>79</v>
      </c>
      <c r="B39" s="5" t="s">
        <v>80</v>
      </c>
      <c r="C39" s="3" t="n">
        <f aca="false">IF(B39="","",SUMIF(Отзывы!$C:$C,$B39,Отзывы!$F:$F)+ТехническийЛист!$C$1)</f>
        <v>50</v>
      </c>
      <c r="D39" s="3" t="str">
        <f aca="false">IFERROR(__xludf.dummyfunction("IMPORTRANGE('ТехническийЛист'!$B$1,""список!D""&amp;'ТехническийЛист'!$A39)"),"Есть доступ")</f>
        <v>Есть доступ</v>
      </c>
      <c r="E39" s="3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23.25" hidden="false" customHeight="true" outlineLevel="0" collapsed="false">
      <c r="A40" s="5" t="s">
        <v>81</v>
      </c>
      <c r="B40" s="2" t="s">
        <v>82</v>
      </c>
      <c r="C40" s="3" t="n">
        <f aca="false">IF(B40="","",SUMIF(Отзывы!$C:$C,$B40,Отзывы!$F:$F)+ТехническийЛист!$C$1)</f>
        <v>50</v>
      </c>
      <c r="D40" s="3" t="str">
        <f aca="false">IFERROR(__xludf.dummyfunction("IMPORTRANGE('ТехническийЛист'!$B$1,""список!D""&amp;'ТехническийЛист'!$A40)"),"Есть доступ")</f>
        <v>Есть доступ</v>
      </c>
      <c r="E40" s="3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23.25" hidden="false" customHeight="true" outlineLevel="0" collapsed="false">
      <c r="A41" s="5" t="s">
        <v>83</v>
      </c>
      <c r="B41" s="5" t="s">
        <v>83</v>
      </c>
      <c r="C41" s="3" t="n">
        <f aca="false">IF(B41="","",SUMIF(Отзывы!$C:$C,$B41,Отзывы!$F:$F)+ТехническийЛист!$C$1)</f>
        <v>50</v>
      </c>
      <c r="D41" s="3" t="str">
        <f aca="false">IFERROR(__xludf.dummyfunction("IMPORTRANGE('ТехническийЛист'!$B$1,""список!D""&amp;'ТехническийЛист'!$A41)"),"Есть доступ")</f>
        <v>Есть доступ</v>
      </c>
      <c r="E41" s="3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23.25" hidden="false" customHeight="true" outlineLevel="0" collapsed="false">
      <c r="A42" s="5" t="s">
        <v>84</v>
      </c>
      <c r="B42" s="5" t="s">
        <v>85</v>
      </c>
      <c r="C42" s="3" t="n">
        <f aca="false">IF(B42="","",SUMIF(Отзывы!$C:$C,$B42,Отзывы!$F:$F)+ТехническийЛист!$C$1)</f>
        <v>50</v>
      </c>
      <c r="D42" s="3" t="str">
        <f aca="false">IFERROR(__xludf.dummyfunction("IMPORTRANGE('ТехническийЛист'!$B$1,""список!D""&amp;'ТехническийЛист'!$A42)"),"Есть доступ")</f>
        <v>Есть доступ</v>
      </c>
      <c r="E42" s="3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23.25" hidden="false" customHeight="true" outlineLevel="0" collapsed="false">
      <c r="A43" s="5" t="s">
        <v>86</v>
      </c>
      <c r="B43" s="5" t="s">
        <v>87</v>
      </c>
      <c r="C43" s="3" t="n">
        <f aca="false">IF(B43="","",SUMIF(Отзывы!$C:$C,$B43,Отзывы!$F:$F)+ТехническийЛист!$C$1)</f>
        <v>50</v>
      </c>
      <c r="D43" s="3" t="str">
        <f aca="false">IFERROR(__xludf.dummyfunction("IMPORTRANGE('ТехническийЛист'!$B$1,""список!D""&amp;'ТехническийЛист'!$A43)"),"Нет доступа")</f>
        <v>Нет доступа</v>
      </c>
      <c r="E43" s="3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23.25" hidden="false" customHeight="true" outlineLevel="0" collapsed="false">
      <c r="A44" s="5" t="s">
        <v>88</v>
      </c>
      <c r="B44" s="5" t="s">
        <v>88</v>
      </c>
      <c r="C44" s="3" t="n">
        <f aca="false">IF(B44="","",SUMIF(Отзывы!$C:$C,$B44,Отзывы!$F:$F)+ТехническийЛист!$C$1)</f>
        <v>100</v>
      </c>
      <c r="D44" s="3" t="str">
        <f aca="false">IFERROR(__xludf.dummyfunction("IMPORTRANGE('ТехническийЛист'!$B$1,""список!D""&amp;'ТехническийЛист'!$A44)"),"Есть доступ")</f>
        <v>Есть доступ</v>
      </c>
      <c r="E44" s="3" t="s">
        <v>89</v>
      </c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23.25" hidden="false" customHeight="true" outlineLevel="0" collapsed="false">
      <c r="A45" s="2" t="s">
        <v>90</v>
      </c>
      <c r="B45" s="2" t="s">
        <v>91</v>
      </c>
      <c r="C45" s="3" t="n">
        <f aca="false">IF(B45="","",SUMIF(Отзывы!$C:$C,$B45,Отзывы!$F:$F)+ТехническийЛист!$C$1)</f>
        <v>50</v>
      </c>
      <c r="D45" s="3" t="str">
        <f aca="false">IFERROR(__xludf.dummyfunction("IMPORTRANGE('ТехническийЛист'!$B$1,""список!D""&amp;'ТехническийЛист'!$A45)"),"Есть доступ")</f>
        <v>Есть доступ</v>
      </c>
      <c r="E45" s="3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23.25" hidden="false" customHeight="true" outlineLevel="0" collapsed="false">
      <c r="A46" s="2" t="s">
        <v>92</v>
      </c>
      <c r="B46" s="2" t="s">
        <v>93</v>
      </c>
      <c r="C46" s="3" t="n">
        <f aca="false">IF(B46="","",SUMIF(Отзывы!$C:$C,$B46,Отзывы!$F:$F)+ТехническийЛист!$C$1)</f>
        <v>62</v>
      </c>
      <c r="D46" s="3" t="str">
        <f aca="false">IFERROR(__xludf.dummyfunction("IMPORTRANGE('ТехническийЛист'!$B$1,""список!D""&amp;'ТехническийЛист'!$A46)"),"Есть доступ")</f>
        <v>Есть доступ</v>
      </c>
      <c r="E46" s="3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23.25" hidden="false" customHeight="true" outlineLevel="0" collapsed="false">
      <c r="A47" s="7" t="s">
        <v>94</v>
      </c>
      <c r="B47" s="7" t="s">
        <v>95</v>
      </c>
      <c r="C47" s="3" t="n">
        <f aca="false">IF(B47="","",SUMIF(Отзывы!$C:$C,$B47,Отзывы!$F:$F)+ТехническийЛист!$C$1)</f>
        <v>43</v>
      </c>
      <c r="D47" s="3" t="str">
        <f aca="false">IFERROR(__xludf.dummyfunction("IMPORTRANGE('ТехническийЛист'!$B$1,""список!D""&amp;'ТехническийЛист'!$A47)"),"Есть доступ")</f>
        <v>Есть доступ</v>
      </c>
      <c r="E47" s="3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23.25" hidden="false" customHeight="true" outlineLevel="0" collapsed="false">
      <c r="A48" s="7" t="s">
        <v>96</v>
      </c>
      <c r="B48" s="7" t="s">
        <v>96</v>
      </c>
      <c r="C48" s="3" t="n">
        <f aca="false">IF(B48="","",SUMIF(Отзывы!$C:$C,$B48,Отзывы!$F:$F)+ТехническийЛист!$C$1)</f>
        <v>53</v>
      </c>
      <c r="D48" s="3" t="str">
        <f aca="false">IFERROR(__xludf.dummyfunction("IMPORTRANGE('ТехническийЛист'!$B$1,""список!D""&amp;'ТехническийЛист'!$A48)"),"Есть доступ")</f>
        <v>Есть доступ</v>
      </c>
      <c r="E48" s="3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23.25" hidden="false" customHeight="true" outlineLevel="0" collapsed="false">
      <c r="A49" s="3" t="s">
        <v>97</v>
      </c>
      <c r="B49" s="7" t="s">
        <v>98</v>
      </c>
      <c r="C49" s="3" t="n">
        <f aca="false">IF(B49="","",SUMIF(Отзывы!$C:$C,$B49,Отзывы!$F:$F)+ТехническийЛист!$C$1)</f>
        <v>35</v>
      </c>
      <c r="D49" s="3" t="str">
        <f aca="false">IFERROR(__xludf.dummyfunction("IMPORTRANGE('ТехническийЛист'!$B$1,""список!D""&amp;'ТехническийЛист'!$A49)"),"Есть доступ")</f>
        <v>Есть доступ</v>
      </c>
      <c r="E49" s="3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23.25" hidden="false" customHeight="true" outlineLevel="0" collapsed="false">
      <c r="A50" s="7" t="s">
        <v>99</v>
      </c>
      <c r="B50" s="7" t="s">
        <v>100</v>
      </c>
      <c r="C50" s="3" t="n">
        <f aca="false">IF(B50="","",SUMIF(Отзывы!$C:$C,$B50,Отзывы!$F:$F)+ТехническийЛист!$C$1)</f>
        <v>60</v>
      </c>
      <c r="D50" s="3" t="str">
        <f aca="false">IFERROR(__xludf.dummyfunction("IMPORTRANGE('ТехническийЛист'!$B$1,""список!D""&amp;'ТехническийЛист'!$A50)"),"Есть доступ")</f>
        <v>Есть доступ</v>
      </c>
      <c r="E50" s="3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23.25" hidden="false" customHeight="true" outlineLevel="0" collapsed="false">
      <c r="A51" s="8" t="s">
        <v>101</v>
      </c>
      <c r="B51" s="8" t="s">
        <v>102</v>
      </c>
      <c r="C51" s="3" t="n">
        <f aca="false">IF(B51="","",SUMIF(Отзывы!$C:$C,$B51,Отзывы!$F:$F)+ТехническийЛист!$C$1)</f>
        <v>50</v>
      </c>
      <c r="D51" s="3" t="str">
        <f aca="false">IFERROR(__xludf.dummyfunction("IMPORTRANGE('ТехническийЛист'!$B$1,""список!D""&amp;'ТехническийЛист'!$A51)"),"Есть доступ")</f>
        <v>Есть доступ</v>
      </c>
      <c r="E51" s="3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23.25" hidden="false" customHeight="true" outlineLevel="0" collapsed="false">
      <c r="A52" s="5" t="s">
        <v>103</v>
      </c>
      <c r="B52" s="5" t="s">
        <v>104</v>
      </c>
      <c r="C52" s="3" t="n">
        <f aca="false">IF(B52="","",SUMIF(Отзывы!$C:$C,$B52,Отзывы!$F:$F)+ТехническийЛист!$C$1)</f>
        <v>53</v>
      </c>
      <c r="D52" s="3" t="str">
        <f aca="false">IFERROR(__xludf.dummyfunction("IMPORTRANGE('ТехническийЛист'!$B$1,""список!D""&amp;'ТехническийЛист'!$A52)"),"Есть доступ")</f>
        <v>Есть доступ</v>
      </c>
      <c r="E52" s="3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23.25" hidden="false" customHeight="true" outlineLevel="0" collapsed="false">
      <c r="A53" s="5" t="s">
        <v>105</v>
      </c>
      <c r="B53" s="5" t="s">
        <v>105</v>
      </c>
      <c r="C53" s="3" t="n">
        <f aca="false">IF(B53="","",SUMIF(Отзывы!$C:$C,$B53,Отзывы!$F:$F)+ТехническийЛист!$C$1)</f>
        <v>50</v>
      </c>
      <c r="D53" s="3" t="str">
        <f aca="false">IFERROR(__xludf.dummyfunction("IMPORTRANGE('ТехническийЛист'!$B$1,""список!D""&amp;'ТехническийЛист'!$A53)"),"Есть доступ")</f>
        <v>Есть доступ</v>
      </c>
      <c r="E53" s="3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23.25" hidden="false" customHeight="true" outlineLevel="0" collapsed="false">
      <c r="A54" s="5" t="s">
        <v>106</v>
      </c>
      <c r="B54" s="5" t="s">
        <v>107</v>
      </c>
      <c r="C54" s="3" t="n">
        <f aca="false">IF(B54="","",SUMIF(Отзывы!$C:$C,$B54,Отзывы!$F:$F)+ТехническийЛист!$C$1)</f>
        <v>47</v>
      </c>
      <c r="D54" s="3" t="str">
        <f aca="false">IFERROR(__xludf.dummyfunction("IMPORTRANGE('ТехническийЛист'!$B$1,""список!D""&amp;'ТехническийЛист'!$A54)"),"Есть доступ")</f>
        <v>Есть доступ</v>
      </c>
      <c r="E54" s="3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23.25" hidden="false" customHeight="true" outlineLevel="0" collapsed="false">
      <c r="A55" s="5" t="s">
        <v>108</v>
      </c>
      <c r="B55" s="5" t="s">
        <v>109</v>
      </c>
      <c r="C55" s="3" t="n">
        <f aca="false">IF(B55="","",SUMIF(Отзывы!$C:$C,$B55,Отзывы!$F:$F)+ТехническийЛист!$C$1)</f>
        <v>64</v>
      </c>
      <c r="D55" s="3" t="str">
        <f aca="false">IFERROR(__xludf.dummyfunction("IMPORTRANGE('ТехническийЛист'!$B$1,""список!D""&amp;'ТехническийЛист'!$A55)"),"Есть доступ")</f>
        <v>Есть доступ</v>
      </c>
      <c r="E55" s="3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23.25" hidden="false" customHeight="true" outlineLevel="0" collapsed="false">
      <c r="A56" s="3" t="s">
        <v>110</v>
      </c>
      <c r="B56" s="3" t="s">
        <v>110</v>
      </c>
      <c r="C56" s="3" t="n">
        <f aca="false">IF(B56="","",SUMIF(Отзывы!$C:$C,$B56,Отзывы!$F:$F)+ТехническийЛист!$C$1)</f>
        <v>51</v>
      </c>
      <c r="D56" s="3" t="str">
        <f aca="false">IFERROR(__xludf.dummyfunction("IMPORTRANGE('ТехническийЛист'!$B$1,""список!D""&amp;'ТехническийЛист'!$A56)"),"Есть доступ")</f>
        <v>Есть доступ</v>
      </c>
      <c r="E56" s="3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23.25" hidden="false" customHeight="true" outlineLevel="0" collapsed="false">
      <c r="A57" s="7" t="s">
        <v>111</v>
      </c>
      <c r="B57" s="7" t="s">
        <v>112</v>
      </c>
      <c r="C57" s="3" t="n">
        <f aca="false">IF(B57="","",SUMIF(Отзывы!$C:$C,$B57,Отзывы!$F:$F)+ТехническийЛист!$C$1)</f>
        <v>50</v>
      </c>
      <c r="D57" s="3" t="str">
        <f aca="false">IFERROR(__xludf.dummyfunction("IMPORTRANGE('ТехническийЛист'!$B$1,""список!D""&amp;'ТехническийЛист'!$A57)"),"Есть доступ")</f>
        <v>Есть доступ</v>
      </c>
      <c r="E57" s="3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23.25" hidden="false" customHeight="true" outlineLevel="0" collapsed="false">
      <c r="A58" s="7" t="s">
        <v>113</v>
      </c>
      <c r="B58" s="7" t="s">
        <v>114</v>
      </c>
      <c r="C58" s="3" t="n">
        <f aca="false">IF(B58="","",SUMIF(Отзывы!$C:$C,$B58,Отзывы!$F:$F)+ТехническийЛист!$C$1)</f>
        <v>50</v>
      </c>
      <c r="D58" s="3" t="str">
        <f aca="false">IFERROR(__xludf.dummyfunction("IMPORTRANGE('ТехническийЛист'!$B$1,""список!D""&amp;'ТехническийЛист'!$A58)"),"Есть доступ")</f>
        <v>Есть доступ</v>
      </c>
      <c r="E58" s="3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23.25" hidden="false" customHeight="true" outlineLevel="0" collapsed="false">
      <c r="A59" s="7" t="s">
        <v>115</v>
      </c>
      <c r="B59" s="7" t="s">
        <v>116</v>
      </c>
      <c r="C59" s="3" t="n">
        <f aca="false">IF(B59="","",SUMIF(Отзывы!$C:$C,$B59,Отзывы!$F:$F)+ТехническийЛист!$C$1)</f>
        <v>20</v>
      </c>
      <c r="D59" s="3" t="str">
        <f aca="false">IFERROR(__xludf.dummyfunction("IMPORTRANGE('ТехническийЛист'!$B$1,""список!D""&amp;'ТехническийЛист'!$A59)"),"Есть доступ")</f>
        <v>Есть доступ</v>
      </c>
      <c r="E59" s="3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23.25" hidden="false" customHeight="true" outlineLevel="0" collapsed="false">
      <c r="A60" s="3" t="s">
        <v>117</v>
      </c>
      <c r="B60" s="3" t="s">
        <v>118</v>
      </c>
      <c r="C60" s="3" t="n">
        <f aca="false">IF(B60="","",SUMIF(Отзывы!$C:$C,$B60,Отзывы!$F:$F)+ТехническийЛист!$C$1)</f>
        <v>52</v>
      </c>
      <c r="D60" s="3" t="str">
        <f aca="false">IFERROR(__xludf.dummyfunction("IMPORTRANGE('ТехническийЛист'!$B$1,""список!D""&amp;'ТехническийЛист'!$A60)"),"Есть доступ")</f>
        <v>Есть доступ</v>
      </c>
      <c r="E60" s="3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23.25" hidden="false" customHeight="true" outlineLevel="0" collapsed="false">
      <c r="A61" s="7" t="s">
        <v>119</v>
      </c>
      <c r="B61" s="7" t="s">
        <v>120</v>
      </c>
      <c r="C61" s="3" t="n">
        <f aca="false">IF(B61="","",SUMIF(Отзывы!$C:$C,$B61,Отзывы!$F:$F)+ТехническийЛист!$C$1)</f>
        <v>50</v>
      </c>
      <c r="D61" s="3" t="str">
        <f aca="false">IFERROR(__xludf.dummyfunction("IMPORTRANGE('ТехническийЛист'!$B$1,""список!D""&amp;'ТехническийЛист'!$A61)"),"Есть доступ")</f>
        <v>Есть доступ</v>
      </c>
      <c r="E61" s="3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23.25" hidden="false" customHeight="true" outlineLevel="0" collapsed="false">
      <c r="A62" s="3" t="s">
        <v>121</v>
      </c>
      <c r="B62" s="3" t="s">
        <v>122</v>
      </c>
      <c r="C62" s="3" t="n">
        <f aca="false">IF(B62="","",SUMIF(Отзывы!$C:$C,$B62,Отзывы!$F:$F)+ТехническийЛист!$C$1)</f>
        <v>86</v>
      </c>
      <c r="D62" s="3" t="str">
        <f aca="false">IFERROR(__xludf.dummyfunction("IMPORTRANGE('ТехническийЛист'!$B$1,""список!D""&amp;'ТехническийЛист'!$A62)"),"Есть доступ")</f>
        <v>Есть доступ</v>
      </c>
      <c r="E62" s="3" t="s">
        <v>123</v>
      </c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23.25" hidden="false" customHeight="true" outlineLevel="0" collapsed="false">
      <c r="A63" s="3" t="s">
        <v>124</v>
      </c>
      <c r="B63" s="3" t="s">
        <v>124</v>
      </c>
      <c r="C63" s="3" t="n">
        <f aca="false">IF(B63="","",SUMIF(Отзывы!$C:$C,$B63,Отзывы!$F:$F)+ТехническийЛист!$C$1)</f>
        <v>50</v>
      </c>
      <c r="D63" s="3" t="str">
        <f aca="false">IFERROR(__xludf.dummyfunction("IMPORTRANGE('ТехническийЛист'!$B$1,""список!D""&amp;'ТехническийЛист'!$A63)"),"Есть доступ")</f>
        <v>Есть доступ</v>
      </c>
      <c r="E63" s="3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23.25" hidden="false" customHeight="true" outlineLevel="0" collapsed="false">
      <c r="A64" s="7" t="s">
        <v>125</v>
      </c>
      <c r="B64" s="7" t="s">
        <v>125</v>
      </c>
      <c r="C64" s="3" t="n">
        <f aca="false">IF(B64="","",SUMIF(Отзывы!$C:$C,$B64,Отзывы!$F:$F)+ТехническийЛист!$C$1)</f>
        <v>72</v>
      </c>
      <c r="D64" s="3" t="str">
        <f aca="false">IFERROR(__xludf.dummyfunction("IMPORTRANGE('ТехническийЛист'!$B$1,""список!D""&amp;'ТехническийЛист'!$A64)"),"Есть доступ")</f>
        <v>Есть доступ</v>
      </c>
      <c r="E64" s="3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23.25" hidden="false" customHeight="true" outlineLevel="0" collapsed="false">
      <c r="A65" s="3" t="s">
        <v>126</v>
      </c>
      <c r="B65" s="3" t="s">
        <v>127</v>
      </c>
      <c r="C65" s="3" t="n">
        <f aca="false">IF(B65="","",SUMIF(Отзывы!$C:$C,$B65,Отзывы!$F:$F)+ТехническийЛист!$C$1)</f>
        <v>53</v>
      </c>
      <c r="D65" s="3" t="str">
        <f aca="false">IFERROR(__xludf.dummyfunction("IMPORTRANGE('ТехническийЛист'!$B$1,""список!D""&amp;'ТехническийЛист'!$A65)"),"Есть доступ")</f>
        <v>Есть доступ</v>
      </c>
      <c r="E65" s="3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23.25" hidden="false" customHeight="true" outlineLevel="0" collapsed="false">
      <c r="A66" s="2" t="s">
        <v>128</v>
      </c>
      <c r="B66" s="2" t="s">
        <v>129</v>
      </c>
      <c r="C66" s="3" t="n">
        <f aca="false">IF(B66="","",SUMIF(Отзывы!$C:$C,$B66,Отзывы!$F:$F)+ТехническийЛист!$C$1)</f>
        <v>57</v>
      </c>
      <c r="D66" s="3" t="str">
        <f aca="false">IFERROR(__xludf.dummyfunction("IMPORTRANGE('ТехническийЛист'!$B$1,""список!D""&amp;'ТехническийЛист'!$A66)"),"Есть доступ")</f>
        <v>Есть доступ</v>
      </c>
      <c r="E66" s="3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23.25" hidden="false" customHeight="true" outlineLevel="0" collapsed="false">
      <c r="A67" s="2" t="s">
        <v>130</v>
      </c>
      <c r="B67" s="2" t="s">
        <v>131</v>
      </c>
      <c r="C67" s="3" t="n">
        <f aca="false">IF(B67="","",SUMIF(Отзывы!$C:$C,$B67,Отзывы!$F:$F)+ТехническийЛист!$C$1)</f>
        <v>66</v>
      </c>
      <c r="D67" s="3" t="str">
        <f aca="false">IFERROR(__xludf.dummyfunction("IMPORTRANGE('ТехническийЛист'!$B$1,""список!D""&amp;'ТехническийЛист'!$A67)"),"Есть доступ")</f>
        <v>Есть доступ</v>
      </c>
      <c r="E67" s="3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23.25" hidden="false" customHeight="true" outlineLevel="0" collapsed="false">
      <c r="A68" s="2" t="s">
        <v>132</v>
      </c>
      <c r="B68" s="2" t="s">
        <v>133</v>
      </c>
      <c r="C68" s="3" t="n">
        <f aca="false">IF(B68="","",SUMIF(Отзывы!$C:$C,$B68,Отзывы!$F:$F)+ТехническийЛист!$C$1)</f>
        <v>50</v>
      </c>
      <c r="D68" s="3" t="str">
        <f aca="false">IFERROR(__xludf.dummyfunction("IMPORTRANGE('ТехническийЛист'!$B$1,""список!D""&amp;'ТехническийЛист'!$A68)"),"Есть доступ")</f>
        <v>Есть доступ</v>
      </c>
      <c r="E68" s="3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23.25" hidden="false" customHeight="true" outlineLevel="0" collapsed="false">
      <c r="A69" s="2" t="s">
        <v>134</v>
      </c>
      <c r="B69" s="2" t="s">
        <v>135</v>
      </c>
      <c r="C69" s="3" t="n">
        <f aca="false">IF(B69="","",SUMIF(Отзывы!$C:$C,$B69,Отзывы!$F:$F)+ТехническийЛист!$C$1)</f>
        <v>50</v>
      </c>
      <c r="D69" s="3" t="str">
        <f aca="false">IFERROR(__xludf.dummyfunction("IMPORTRANGE('ТехническийЛист'!$B$1,""список!D""&amp;'ТехническийЛист'!$A69)"),"Есть доступ")</f>
        <v>Есть доступ</v>
      </c>
      <c r="E69" s="9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23.25" hidden="false" customHeight="true" outlineLevel="0" collapsed="false">
      <c r="A70" s="2" t="s">
        <v>136</v>
      </c>
      <c r="B70" s="2" t="s">
        <v>137</v>
      </c>
      <c r="C70" s="3" t="n">
        <f aca="false">IF(B70="","",SUMIF(Отзывы!$C:$C,$B70,Отзывы!$F:$F)+ТехническийЛист!$C$1)</f>
        <v>55</v>
      </c>
      <c r="D70" s="3" t="str">
        <f aca="false">IFERROR(__xludf.dummyfunction("IMPORTRANGE('ТехническийЛист'!$B$1,""список!D""&amp;'ТехническийЛист'!$A70)"),"Есть доступ")</f>
        <v>Есть доступ</v>
      </c>
      <c r="E70" s="9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23.25" hidden="false" customHeight="true" outlineLevel="0" collapsed="false">
      <c r="A71" s="2" t="s">
        <v>138</v>
      </c>
      <c r="B71" s="2" t="s">
        <v>139</v>
      </c>
      <c r="C71" s="3" t="n">
        <f aca="false">IF(B71="","",SUMIF(Отзывы!$C:$C,$B71,Отзывы!$F:$F)+ТехническийЛист!$C$1)</f>
        <v>100</v>
      </c>
      <c r="D71" s="3" t="str">
        <f aca="false">IFERROR(__xludf.dummyfunction("IMPORTRANGE('ТехническийЛист'!$B$1,""список!D""&amp;'ТехническийЛист'!$A71)"),"Есть доступ")</f>
        <v>Есть доступ</v>
      </c>
      <c r="E71" s="9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23.25" hidden="false" customHeight="true" outlineLevel="0" collapsed="false">
      <c r="A72" s="5" t="s">
        <v>140</v>
      </c>
      <c r="B72" s="2" t="s">
        <v>141</v>
      </c>
      <c r="C72" s="3" t="n">
        <f aca="false">IF(B72="","",SUMIF(Отзывы!$C:$C,$B72,Отзывы!$F:$F)+ТехническийЛист!$C$1)</f>
        <v>50</v>
      </c>
      <c r="D72" s="3" t="str">
        <f aca="false">IFERROR(__xludf.dummyfunction("IMPORTRANGE('ТехническийЛист'!$B$1,""список!D""&amp;'ТехническийЛист'!$A72)"),"Есть доступ")</f>
        <v>Есть доступ</v>
      </c>
      <c r="E72" s="10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23.25" hidden="false" customHeight="true" outlineLevel="0" collapsed="false">
      <c r="A73" s="5" t="s">
        <v>142</v>
      </c>
      <c r="B73" s="2" t="s">
        <v>143</v>
      </c>
      <c r="C73" s="3" t="n">
        <f aca="false">IF(B73="","",SUMIF(Отзывы!$C:$C,$B73,Отзывы!$F:$F)+ТехническийЛист!$C$1)</f>
        <v>53</v>
      </c>
      <c r="D73" s="3" t="str">
        <f aca="false">IFERROR(__xludf.dummyfunction("IMPORTRANGE('ТехническийЛист'!$B$1,""список!D""&amp;'ТехническийЛист'!$A73)"),"Есть доступ")</f>
        <v>Есть доступ</v>
      </c>
      <c r="E73" s="10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23.25" hidden="false" customHeight="true" outlineLevel="0" collapsed="false">
      <c r="A74" s="5" t="s">
        <v>144</v>
      </c>
      <c r="B74" s="2" t="s">
        <v>145</v>
      </c>
      <c r="C74" s="3" t="n">
        <f aca="false">IF(B74="","",SUMIF(Отзывы!$C:$C,$B74,Отзывы!$F:$F)+ТехническийЛист!$C$1)</f>
        <v>50</v>
      </c>
      <c r="D74" s="3" t="str">
        <f aca="false">IFERROR(__xludf.dummyfunction("IMPORTRANGE('ТехническийЛист'!$B$1,""список!D""&amp;'ТехническийЛист'!$A74)"),"Есть доступ")</f>
        <v>Есть доступ</v>
      </c>
      <c r="E74" s="3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23.25" hidden="false" customHeight="true" outlineLevel="0" collapsed="false">
      <c r="A75" s="6" t="s">
        <v>146</v>
      </c>
      <c r="B75" s="2" t="s">
        <v>147</v>
      </c>
      <c r="C75" s="3" t="n">
        <f aca="false">IF(B75="","",SUMIF(Отзывы!$C:$C,$B75,Отзывы!$F:$F)+ТехническийЛист!$C$1)</f>
        <v>45</v>
      </c>
      <c r="D75" s="3" t="str">
        <f aca="false">IFERROR(__xludf.dummyfunction("IMPORTRANGE('ТехническийЛист'!$B$1,""список!D""&amp;'ТехническийЛист'!$A75)"),"Есть доступ")</f>
        <v>Есть доступ</v>
      </c>
      <c r="E75" s="11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23.25" hidden="false" customHeight="true" outlineLevel="0" collapsed="false">
      <c r="A76" s="5" t="s">
        <v>148</v>
      </c>
      <c r="B76" s="2" t="s">
        <v>149</v>
      </c>
      <c r="C76" s="3" t="n">
        <f aca="false">IF(B76="","",SUMIF(Отзывы!$C:$C,$B76,Отзывы!$F:$F)+ТехническийЛист!$C$1)</f>
        <v>50</v>
      </c>
      <c r="D76" s="3" t="str">
        <f aca="false">IFERROR(__xludf.dummyfunction("IMPORTRANGE('ТехническийЛист'!$B$1,""список!D""&amp;'ТехническийЛист'!$A76)"),"Есть доступ")</f>
        <v>Есть доступ</v>
      </c>
      <c r="E76" s="3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23.25" hidden="false" customHeight="true" outlineLevel="0" collapsed="false">
      <c r="A77" s="5" t="s">
        <v>150</v>
      </c>
      <c r="B77" s="2" t="s">
        <v>151</v>
      </c>
      <c r="C77" s="3" t="n">
        <f aca="false">IF(B77="","",SUMIF(Отзывы!$C:$C,$B77,Отзывы!$F:$F)+ТехническийЛист!$C$1)</f>
        <v>81</v>
      </c>
      <c r="D77" s="3" t="str">
        <f aca="false">IFERROR(__xludf.dummyfunction("IMPORTRANGE('ТехническийЛист'!$B$1,""список!D""&amp;'ТехническийЛист'!$A77)"),"Есть доступ")</f>
        <v>Есть доступ</v>
      </c>
      <c r="E77" s="3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23.25" hidden="false" customHeight="true" outlineLevel="0" collapsed="false">
      <c r="A78" s="5" t="s">
        <v>152</v>
      </c>
      <c r="B78" s="2" t="s">
        <v>153</v>
      </c>
      <c r="C78" s="3" t="n">
        <f aca="false">IF(B78="","",SUMIF(Отзывы!$C:$C,$B78,Отзывы!$F:$F)+ТехническийЛист!$C$1)</f>
        <v>41</v>
      </c>
      <c r="D78" s="3" t="str">
        <f aca="false">IFERROR(__xludf.dummyfunction("IMPORTRANGE('ТехническийЛист'!$B$1,""список!D""&amp;'ТехническийЛист'!$A78)"),"Есть доступ")</f>
        <v>Есть доступ</v>
      </c>
      <c r="E78" s="3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23.25" hidden="false" customHeight="true" outlineLevel="0" collapsed="false">
      <c r="A79" s="5" t="s">
        <v>154</v>
      </c>
      <c r="B79" s="2" t="s">
        <v>155</v>
      </c>
      <c r="C79" s="3" t="n">
        <f aca="false">IF(B79="","",SUMIF(Отзывы!$C:$C,$B79,Отзывы!$F:$F)+ТехническийЛист!$C$1)</f>
        <v>50</v>
      </c>
      <c r="D79" s="3" t="str">
        <f aca="false">IFERROR(__xludf.dummyfunction("IMPORTRANGE('ТехническийЛист'!$B$1,""список!D""&amp;'ТехническийЛист'!$A79)"),"Есть доступ")</f>
        <v>Есть доступ</v>
      </c>
      <c r="E79" s="3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23.25" hidden="false" customHeight="true" outlineLevel="0" collapsed="false">
      <c r="A80" s="5" t="s">
        <v>156</v>
      </c>
      <c r="B80" s="2" t="s">
        <v>157</v>
      </c>
      <c r="C80" s="3" t="n">
        <f aca="false">IF(B80="","",SUMIF(Отзывы!$C:$C,$B80,Отзывы!$F:$F)+ТехническийЛист!$C$1)</f>
        <v>11</v>
      </c>
      <c r="D80" s="3" t="str">
        <f aca="false">IFERROR(__xludf.dummyfunction("IMPORTRANGE('ТехническийЛист'!$B$1,""список!D""&amp;'ТехническийЛист'!$A81)"),"Есть доступ")</f>
        <v>Есть доступ</v>
      </c>
      <c r="E80" s="3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23.25" hidden="false" customHeight="true" outlineLevel="0" collapsed="false">
      <c r="A81" s="5" t="s">
        <v>158</v>
      </c>
      <c r="B81" s="2" t="s">
        <v>159</v>
      </c>
      <c r="C81" s="3" t="n">
        <f aca="false">IF(B81="","",SUMIF(Отзывы!$C:$C,$B81,Отзывы!$F:$F)+ТехническийЛист!$C$1)</f>
        <v>50</v>
      </c>
      <c r="D81" s="3" t="str">
        <f aca="false">IFERROR(__xludf.dummyfunction("IMPORTRANGE('ТехническийЛист'!$B$1,""список!D""&amp;'ТехническийЛист'!$A82)"),"Есть доступ")</f>
        <v>Есть доступ</v>
      </c>
      <c r="E81" s="3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23.25" hidden="false" customHeight="true" outlineLevel="0" collapsed="false">
      <c r="A82" s="5" t="s">
        <v>160</v>
      </c>
      <c r="B82" s="2" t="s">
        <v>160</v>
      </c>
      <c r="C82" s="3" t="n">
        <f aca="false">IF(B82="","",SUMIF(Отзывы!$C:$C,$B82,Отзывы!$F:$F)+ТехническийЛист!$C$1)</f>
        <v>50</v>
      </c>
      <c r="D82" s="3" t="str">
        <f aca="false">IFERROR(__xludf.dummyfunction("IMPORTRANGE('ТехническийЛист'!$B$1,""список!D""&amp;'ТехническийЛист'!$A83)"),"Есть доступ")</f>
        <v>Есть доступ</v>
      </c>
      <c r="E82" s="3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23.25" hidden="false" customHeight="true" outlineLevel="0" collapsed="false">
      <c r="A83" s="5" t="s">
        <v>161</v>
      </c>
      <c r="B83" s="2" t="s">
        <v>162</v>
      </c>
      <c r="C83" s="3" t="n">
        <f aca="false">IF(B83="","",SUMIF(Отзывы!$C:$C,$B83,Отзывы!$F:$F)+ТехническийЛист!$C$1)</f>
        <v>50</v>
      </c>
      <c r="D83" s="3" t="str">
        <f aca="false">IFERROR(__xludf.dummyfunction("IMPORTRANGE('ТехническийЛист'!$B$1,""список!D""&amp;'ТехническийЛист'!$A84)"),"Есть доступ")</f>
        <v>Есть доступ</v>
      </c>
      <c r="E83" s="3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23.25" hidden="false" customHeight="true" outlineLevel="0" collapsed="false">
      <c r="A84" s="5" t="s">
        <v>163</v>
      </c>
      <c r="B84" s="2" t="s">
        <v>164</v>
      </c>
      <c r="C84" s="3" t="n">
        <f aca="false">IF(B84="","",SUMIF(Отзывы!$C:$C,$B84,Отзывы!$F:$F)+ТехническийЛист!$C$1)</f>
        <v>50</v>
      </c>
      <c r="D84" s="3" t="str">
        <f aca="false">IFERROR(__xludf.dummyfunction("IMPORTRANGE('ТехническийЛист'!$B$1,""список!D""&amp;'ТехническийЛист'!$A85)"),"Есть доступ")</f>
        <v>Есть доступ</v>
      </c>
      <c r="E84" s="3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23.25" hidden="false" customHeight="true" outlineLevel="0" collapsed="false">
      <c r="A85" s="5" t="s">
        <v>165</v>
      </c>
      <c r="B85" s="2" t="s">
        <v>166</v>
      </c>
      <c r="C85" s="3" t="n">
        <f aca="false">IF(B85="","",SUMIF(Отзывы!$C:$C,$B85,Отзывы!$F:$F)+ТехническийЛист!$C$1)</f>
        <v>50</v>
      </c>
      <c r="D85" s="3" t="str">
        <f aca="false">IFERROR(__xludf.dummyfunction("IMPORTRANGE('ТехническийЛист'!$B$1,""список!D""&amp;'ТехническийЛист'!$A86)"),"Есть доступ")</f>
        <v>Есть доступ</v>
      </c>
      <c r="E85" s="3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23.25" hidden="false" customHeight="true" outlineLevel="0" collapsed="false">
      <c r="A86" s="5" t="s">
        <v>167</v>
      </c>
      <c r="B86" s="2" t="s">
        <v>168</v>
      </c>
      <c r="C86" s="3" t="n">
        <f aca="false">IF(B86="","",SUMIF(Отзывы!$C:$C,$B86,Отзывы!$F:$F)+ТехническийЛист!$C$1)</f>
        <v>50</v>
      </c>
      <c r="D86" s="3" t="str">
        <f aca="false">IFERROR(__xludf.dummyfunction("IMPORTRANGE('ТехническийЛист'!$B$1,""список!D""&amp;'ТехническийЛист'!$A87)"),"Есть доступ")</f>
        <v>Есть доступ</v>
      </c>
      <c r="E86" s="3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23.25" hidden="false" customHeight="true" outlineLevel="0" collapsed="false">
      <c r="A87" s="5" t="s">
        <v>169</v>
      </c>
      <c r="B87" s="2" t="s">
        <v>170</v>
      </c>
      <c r="C87" s="3" t="n">
        <f aca="false">IF(B87="","",SUMIF(Отзывы!$C:$C,$B87,Отзывы!$F:$F)+ТехническийЛист!$C$1)</f>
        <v>50</v>
      </c>
      <c r="D87" s="3" t="str">
        <f aca="false">IFERROR(__xludf.dummyfunction("IMPORTRANGE('ТехническийЛист'!$B$1,""список!D""&amp;'ТехническийЛист'!$A88)"),"Есть доступ")</f>
        <v>Есть доступ</v>
      </c>
      <c r="E87" s="3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23.25" hidden="false" customHeight="true" outlineLevel="0" collapsed="false">
      <c r="A88" s="5" t="s">
        <v>171</v>
      </c>
      <c r="B88" s="2" t="s">
        <v>172</v>
      </c>
      <c r="C88" s="3" t="n">
        <f aca="false">IF(B88="","",SUMIF(Отзывы!$C:$C,$B88,Отзывы!$F:$F)+ТехническийЛист!$C$1)</f>
        <v>47</v>
      </c>
      <c r="D88" s="3" t="str">
        <f aca="false">IFERROR(__xludf.dummyfunction("IMPORTRANGE('ТехническийЛист'!$B$1,""список!D""&amp;'ТехническийЛист'!$A89)"),"Есть доступ")</f>
        <v>Есть доступ</v>
      </c>
      <c r="E88" s="3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23.25" hidden="false" customHeight="true" outlineLevel="0" collapsed="false">
      <c r="A89" s="5" t="s">
        <v>173</v>
      </c>
      <c r="B89" s="2" t="s">
        <v>174</v>
      </c>
      <c r="C89" s="3" t="n">
        <f aca="false">IF(B89="","",SUMIF(Отзывы!$C:$C,$B89,Отзывы!$F:$F)+ТехническийЛист!$C$1)</f>
        <v>50</v>
      </c>
      <c r="D89" s="3" t="str">
        <f aca="false">IFERROR(__xludf.dummyfunction("IMPORTRANGE('ТехническийЛист'!$B$1,""список!D""&amp;'ТехническийЛист'!$A90)"),"Есть доступ")</f>
        <v>Есть доступ</v>
      </c>
      <c r="E89" s="3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23.25" hidden="false" customHeight="true" outlineLevel="0" collapsed="false">
      <c r="A90" s="5" t="s">
        <v>175</v>
      </c>
      <c r="B90" s="2" t="s">
        <v>176</v>
      </c>
      <c r="C90" s="3" t="n">
        <f aca="false">IF(B90="","",SUMIF(Отзывы!$C:$C,$B90,Отзывы!$F:$F)+ТехническийЛист!$C$1)</f>
        <v>50</v>
      </c>
      <c r="D90" s="3" t="str">
        <f aca="false">IFERROR(__xludf.dummyfunction("IMPORTRANGE('ТехническийЛист'!$B$1,""список!D""&amp;'ТехническийЛист'!$A91)"),"Есть доступ")</f>
        <v>Есть доступ</v>
      </c>
      <c r="E90" s="3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23.25" hidden="false" customHeight="true" outlineLevel="0" collapsed="false">
      <c r="A91" s="5" t="s">
        <v>177</v>
      </c>
      <c r="B91" s="2" t="s">
        <v>178</v>
      </c>
      <c r="C91" s="3" t="n">
        <f aca="false">IF(B91="","",SUMIF(Отзывы!$C:$C,$B91,Отзывы!$F:$F)+ТехническийЛист!$C$1)</f>
        <v>48</v>
      </c>
      <c r="D91" s="3" t="str">
        <f aca="false">IFERROR(__xludf.dummyfunction("IMPORTRANGE('ТехническийЛист'!$B$1,""список!D""&amp;'ТехническийЛист'!$A92)"),"Есть доступ")</f>
        <v>Есть доступ</v>
      </c>
      <c r="E91" s="3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23.25" hidden="false" customHeight="true" outlineLevel="0" collapsed="false">
      <c r="A92" s="12" t="s">
        <v>179</v>
      </c>
      <c r="B92" s="3" t="s">
        <v>180</v>
      </c>
      <c r="C92" s="3" t="n">
        <f aca="false">IF(B92="","",SUMIF(Отзывы!$C:$C,$B92,Отзывы!$F:$F)+ТехническийЛист!$C$1)</f>
        <v>56</v>
      </c>
      <c r="D92" s="3" t="str">
        <f aca="false">IFERROR(__xludf.dummyfunction("IMPORTRANGE('ТехническийЛист'!$B$1,""список!D""&amp;'ТехническийЛист'!$A93)"),"Есть доступ")</f>
        <v>Есть доступ</v>
      </c>
      <c r="E92" s="3" t="s">
        <v>181</v>
      </c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23.25" hidden="false" customHeight="true" outlineLevel="0" collapsed="false">
      <c r="A93" s="7" t="s">
        <v>182</v>
      </c>
      <c r="B93" s="7" t="s">
        <v>183</v>
      </c>
      <c r="C93" s="3" t="n">
        <f aca="false">IF(B93="","",SUMIF(Отзывы!$C:$C,$B93,Отзывы!$F:$F)+ТехническийЛист!$C$1)</f>
        <v>42</v>
      </c>
      <c r="D93" s="3" t="str">
        <f aca="false">IFERROR(__xludf.dummyfunction("IMPORTRANGE('ТехническийЛист'!$B$1,""список!D""&amp;'ТехническийЛист'!$A94)"),"Есть доступ")</f>
        <v>Есть доступ</v>
      </c>
      <c r="E93" s="3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23.25" hidden="false" customHeight="true" outlineLevel="0" collapsed="false">
      <c r="A94" s="7" t="s">
        <v>184</v>
      </c>
      <c r="B94" s="7" t="s">
        <v>185</v>
      </c>
      <c r="C94" s="3" t="n">
        <f aca="false">IF(B94="","",SUMIF(Отзывы!$C:$C,$B94,Отзывы!$F:$F)+ТехническийЛист!$C$1)</f>
        <v>25</v>
      </c>
      <c r="D94" s="3" t="str">
        <f aca="false">IFERROR(__xludf.dummyfunction("IMPORTRANGE('ТехническийЛист'!$B$1,""список!D""&amp;'ТехническийЛист'!$A95)"),"Есть доступ")</f>
        <v>Есть доступ</v>
      </c>
      <c r="E94" s="3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23.25" hidden="false" customHeight="true" outlineLevel="0" collapsed="false">
      <c r="A95" s="7" t="s">
        <v>186</v>
      </c>
      <c r="B95" s="7" t="s">
        <v>187</v>
      </c>
      <c r="C95" s="3" t="n">
        <f aca="false">IF(B95="","",SUMIF(Отзывы!$C:$C,$B95,Отзывы!$F:$F)+ТехническийЛист!$C$1)</f>
        <v>50</v>
      </c>
      <c r="D95" s="3" t="str">
        <f aca="false">IFERROR(__xludf.dummyfunction("IMPORTRANGE('ТехническийЛист'!$B$1,""список!D""&amp;'ТехническийЛист'!$A96)"),"Есть доступ")</f>
        <v>Есть доступ</v>
      </c>
      <c r="E95" s="3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23.25" hidden="false" customHeight="true" outlineLevel="0" collapsed="false">
      <c r="A96" s="7" t="s">
        <v>188</v>
      </c>
      <c r="B96" s="7" t="s">
        <v>189</v>
      </c>
      <c r="C96" s="3" t="n">
        <f aca="false">IF(B96="","",SUMIF(Отзывы!$C:$C,$B96,Отзывы!$F:$F)+ТехническийЛист!$C$1)</f>
        <v>71</v>
      </c>
      <c r="D96" s="3" t="str">
        <f aca="false">IFERROR(__xludf.dummyfunction("IMPORTRANGE('ТехническийЛист'!$B$1,""список!D""&amp;'ТехническийЛист'!$A97)"),"Есть доступ")</f>
        <v>Есть доступ</v>
      </c>
      <c r="E96" s="3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23.25" hidden="false" customHeight="true" outlineLevel="0" collapsed="false">
      <c r="A97" s="7" t="s">
        <v>190</v>
      </c>
      <c r="B97" s="7" t="s">
        <v>190</v>
      </c>
      <c r="C97" s="3" t="n">
        <f aca="false">IF(B97="","",SUMIF(Отзывы!$C:$C,$B97,Отзывы!$F:$F)+ТехническийЛист!$C$1)</f>
        <v>51</v>
      </c>
      <c r="D97" s="3" t="str">
        <f aca="false">IFERROR(__xludf.dummyfunction("IMPORTRANGE('ТехническийЛист'!$B$1,""список!D""&amp;'ТехническийЛист'!$A98)"),"Есть доступ")</f>
        <v>Есть доступ</v>
      </c>
      <c r="E97" s="3" t="s">
        <v>191</v>
      </c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23.25" hidden="false" customHeight="true" outlineLevel="0" collapsed="false">
      <c r="A98" s="7" t="s">
        <v>192</v>
      </c>
      <c r="B98" s="7" t="s">
        <v>193</v>
      </c>
      <c r="C98" s="3" t="n">
        <f aca="false">IF(B98="","",SUMIF(Отзывы!$C:$C,$B98,Отзывы!$F:$F)+ТехническийЛист!$C$1)</f>
        <v>57</v>
      </c>
      <c r="D98" s="3" t="str">
        <f aca="false">IFERROR(__xludf.dummyfunction("IMPORTRANGE('ТехническийЛист'!$B$1,""список!D""&amp;'ТехническийЛист'!$A99)"),"Есть доступ")</f>
        <v>Есть доступ</v>
      </c>
      <c r="E98" s="3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23.25" hidden="false" customHeight="true" outlineLevel="0" collapsed="false">
      <c r="A99" s="7" t="s">
        <v>194</v>
      </c>
      <c r="B99" s="7" t="s">
        <v>195</v>
      </c>
      <c r="C99" s="3" t="n">
        <f aca="false">IF(B99="","",SUMIF(Отзывы!$C:$C,$B99,Отзывы!$F:$F)+ТехническийЛист!$C$1)</f>
        <v>50</v>
      </c>
      <c r="D99" s="3" t="str">
        <f aca="false">IFERROR(__xludf.dummyfunction("IMPORTRANGE('ТехническийЛист'!$B$1,""список!D""&amp;'ТехническийЛист'!$A100)"),"Есть доступ")</f>
        <v>Есть доступ</v>
      </c>
      <c r="E99" s="3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23.25" hidden="false" customHeight="true" outlineLevel="0" collapsed="false">
      <c r="A100" s="7" t="s">
        <v>196</v>
      </c>
      <c r="B100" s="7" t="s">
        <v>197</v>
      </c>
      <c r="C100" s="3" t="n">
        <f aca="false">IF(B100="","",SUMIF(Отзывы!$C:$C,$B100,Отзывы!$F:$F)+ТехническийЛист!$C$1)</f>
        <v>48</v>
      </c>
      <c r="D100" s="3" t="str">
        <f aca="false">IFERROR(__xludf.dummyfunction("IMPORTRANGE('ТехническийЛист'!$B$1,""список!D""&amp;'ТехническийЛист'!$A101)"),"Есть доступ")</f>
        <v>Есть доступ</v>
      </c>
      <c r="E100" s="3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23.25" hidden="false" customHeight="true" outlineLevel="0" collapsed="false">
      <c r="A101" s="7" t="s">
        <v>198</v>
      </c>
      <c r="B101" s="7" t="s">
        <v>199</v>
      </c>
      <c r="C101" s="3" t="n">
        <f aca="false">IF(B101="","",SUMIF(Отзывы!$C:$C,$B101,Отзывы!$F:$F)+ТехническийЛист!$C$1)</f>
        <v>50</v>
      </c>
      <c r="D101" s="3" t="str">
        <f aca="false">IFERROR(__xludf.dummyfunction("IMPORTRANGE('ТехническийЛист'!$B$1,""список!D""&amp;'ТехническийЛист'!$A102)"),"Есть доступ")</f>
        <v>Есть доступ</v>
      </c>
      <c r="E101" s="3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23.25" hidden="false" customHeight="true" outlineLevel="0" collapsed="false">
      <c r="A102" s="7" t="s">
        <v>200</v>
      </c>
      <c r="B102" s="7" t="s">
        <v>201</v>
      </c>
      <c r="C102" s="3" t="n">
        <f aca="false">IF(B102="","",SUMIF(Отзывы!$C:$C,$B102,Отзывы!$F:$F)+ТехническийЛист!$C$1)</f>
        <v>62</v>
      </c>
      <c r="D102" s="3" t="str">
        <f aca="false">IFERROR(__xludf.dummyfunction("IMPORTRANGE('ТехническийЛист'!$B$1,""список!D""&amp;'ТехническийЛист'!$A103)"),"Есть доступ")</f>
        <v>Есть доступ</v>
      </c>
      <c r="E102" s="3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23.25" hidden="false" customHeight="true" outlineLevel="0" collapsed="false">
      <c r="A103" s="7" t="s">
        <v>202</v>
      </c>
      <c r="B103" s="7" t="s">
        <v>203</v>
      </c>
      <c r="C103" s="3" t="n">
        <f aca="false">IF(B103="","",SUMIF(Отзывы!$C:$C,$B103,Отзывы!$F:$F)+ТехническийЛист!$C$1)</f>
        <v>50</v>
      </c>
      <c r="D103" s="3" t="str">
        <f aca="false">IFERROR(__xludf.dummyfunction("IMPORTRANGE('ТехническийЛист'!$B$1,""список!D""&amp;'ТехническийЛист'!$A104)"),"Нет доступа")</f>
        <v>Нет доступа</v>
      </c>
      <c r="E103" s="3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23.25" hidden="false" customHeight="true" outlineLevel="0" collapsed="false">
      <c r="A104" s="2" t="s">
        <v>204</v>
      </c>
      <c r="B104" s="2" t="s">
        <v>205</v>
      </c>
      <c r="C104" s="3" t="n">
        <f aca="false">IF(B104="","",SUMIF(Отзывы!$C:$C,$B104,Отзывы!$F:$F)+ТехническийЛист!$C$1)</f>
        <v>61</v>
      </c>
      <c r="D104" s="3" t="str">
        <f aca="false">IFERROR(__xludf.dummyfunction("IMPORTRANGE('ТехническийЛист'!$B$1,""список!D""&amp;'ТехническийЛист'!$A105)"),"Есть доступ")</f>
        <v>Есть доступ</v>
      </c>
      <c r="E104" s="3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23.25" hidden="false" customHeight="true" outlineLevel="0" collapsed="false">
      <c r="A105" s="7" t="s">
        <v>206</v>
      </c>
      <c r="B105" s="7" t="s">
        <v>207</v>
      </c>
      <c r="C105" s="3" t="n">
        <f aca="false">IF(B105="","",SUMIF(Отзывы!$C:$C,$B105,Отзывы!$F:$F)+ТехническийЛист!$C$1)</f>
        <v>50</v>
      </c>
      <c r="D105" s="3" t="str">
        <f aca="false">IFERROR(__xludf.dummyfunction("IMPORTRANGE('ТехническийЛист'!$B$1,""список!D""&amp;'ТехническийЛист'!$A106)"),"Есть доступ")</f>
        <v>Есть доступ</v>
      </c>
      <c r="E105" s="3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23.25" hidden="false" customHeight="true" outlineLevel="0" collapsed="false">
      <c r="A106" s="7" t="s">
        <v>208</v>
      </c>
      <c r="B106" s="7" t="s">
        <v>208</v>
      </c>
      <c r="C106" s="3" t="n">
        <f aca="false">IF(B106="","",SUMIF(Отзывы!$C:$C,$B106,Отзывы!$F:$F)+ТехническийЛист!$C$1)</f>
        <v>50</v>
      </c>
      <c r="D106" s="3" t="str">
        <f aca="false">IFERROR(__xludf.dummyfunction("IMPORTRANGE('ТехническийЛист'!$B$1,""список!D""&amp;'ТехническийЛист'!$A107)"),"Есть доступ")</f>
        <v>Есть доступ</v>
      </c>
      <c r="E106" s="3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23.25" hidden="false" customHeight="true" outlineLevel="0" collapsed="false">
      <c r="A107" s="7" t="s">
        <v>209</v>
      </c>
      <c r="B107" s="12" t="s">
        <v>210</v>
      </c>
      <c r="C107" s="3" t="n">
        <f aca="false">IF(B107="","",SUMIF(Отзывы!$C:$C,$B107,Отзывы!$F:$F)+ТехническийЛист!$C$1)</f>
        <v>10</v>
      </c>
      <c r="D107" s="3" t="str">
        <f aca="false">IFERROR(__xludf.dummyfunction("IMPORTRANGE('ТехническийЛист'!$B$1,""список!D""&amp;'ТехническийЛист'!$A108)"),"Есть доступ")</f>
        <v>Есть доступ</v>
      </c>
      <c r="E107" s="3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23.25" hidden="false" customHeight="true" outlineLevel="0" collapsed="false">
      <c r="A108" s="7" t="s">
        <v>211</v>
      </c>
      <c r="B108" s="13" t="s">
        <v>212</v>
      </c>
      <c r="C108" s="3" t="n">
        <f aca="false">IF(B108="","",SUMIF(Отзывы!$C:$C,$B108,Отзывы!$F:$F)+ТехническийЛист!$C$1)</f>
        <v>45</v>
      </c>
      <c r="D108" s="3" t="str">
        <f aca="false">IFERROR(__xludf.dummyfunction("IMPORTRANGE('ТехническийЛист'!$B$1,""список!D""&amp;'ТехническийЛист'!$A109)"),"Есть доступ")</f>
        <v>Есть доступ</v>
      </c>
      <c r="E108" s="3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23.25" hidden="false" customHeight="true" outlineLevel="0" collapsed="false">
      <c r="A109" s="2" t="s">
        <v>213</v>
      </c>
      <c r="B109" s="7" t="s">
        <v>214</v>
      </c>
      <c r="C109" s="3" t="n">
        <f aca="false">IF(B109="","",SUMIF(Отзывы!$C:$C,$B109,Отзывы!$F:$F)+ТехническийЛист!$C$1)</f>
        <v>50</v>
      </c>
      <c r="D109" s="3" t="str">
        <f aca="false">IFERROR(__xludf.dummyfunction("IMPORTRANGE('ТехническийЛист'!$B$1,""список!D""&amp;'ТехническийЛист'!$A110)"),"Есть доступ")</f>
        <v>Есть доступ</v>
      </c>
      <c r="E109" s="3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23.25" hidden="false" customHeight="true" outlineLevel="0" collapsed="false">
      <c r="A110" s="7" t="s">
        <v>215</v>
      </c>
      <c r="B110" s="7" t="s">
        <v>216</v>
      </c>
      <c r="C110" s="3" t="n">
        <f aca="false">IF(B110="","",SUMIF(Отзывы!$C:$C,$B110,Отзывы!$F:$F)+ТехническийЛист!$C$1)</f>
        <v>45</v>
      </c>
      <c r="D110" s="3" t="str">
        <f aca="false">IFERROR(__xludf.dummyfunction("IMPORTRANGE('ТехническийЛист'!$B$1,""список!D""&amp;'ТехническийЛист'!$A111)"),"Есть доступ")</f>
        <v>Есть доступ</v>
      </c>
      <c r="E110" s="3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23.25" hidden="false" customHeight="true" outlineLevel="0" collapsed="false">
      <c r="A111" s="3" t="s">
        <v>217</v>
      </c>
      <c r="B111" s="3" t="s">
        <v>218</v>
      </c>
      <c r="C111" s="3" t="n">
        <f aca="false">IF(B111="","",SUMIF(Отзывы!$C:$C,$B111,Отзывы!$F:$F)+ТехническийЛист!$C$1)</f>
        <v>51</v>
      </c>
      <c r="D111" s="3" t="str">
        <f aca="false">IFERROR(__xludf.dummyfunction("IMPORTRANGE('ТехническийЛист'!$B$1,""список!D""&amp;'ТехническийЛист'!$A112)"),"Есть доступ")</f>
        <v>Есть доступ</v>
      </c>
      <c r="E111" s="3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23.25" hidden="false" customHeight="true" outlineLevel="0" collapsed="false">
      <c r="A112" s="7" t="s">
        <v>219</v>
      </c>
      <c r="B112" s="7" t="s">
        <v>220</v>
      </c>
      <c r="C112" s="3" t="n">
        <f aca="false">IF(B112="","",SUMIF(Отзывы!$C:$C,$B112,Отзывы!$F:$F)+ТехническийЛист!$C$1)</f>
        <v>15</v>
      </c>
      <c r="D112" s="3" t="str">
        <f aca="false">IFERROR(__xludf.dummyfunction("IMPORTRANGE('ТехническийЛист'!$B$1,""список!D""&amp;'ТехническийЛист'!$A113)"),"Есть доступ")</f>
        <v>Есть доступ</v>
      </c>
      <c r="E112" s="3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23.25" hidden="false" customHeight="true" outlineLevel="0" collapsed="false">
      <c r="A113" s="7" t="s">
        <v>221</v>
      </c>
      <c r="B113" s="7" t="s">
        <v>222</v>
      </c>
      <c r="C113" s="3" t="n">
        <f aca="false">IF(B113="","",SUMIF(Отзывы!$C:$C,$B113,Отзывы!$F:$F)+ТехническийЛист!$C$1)</f>
        <v>30</v>
      </c>
      <c r="D113" s="3" t="str">
        <f aca="false">IFERROR(__xludf.dummyfunction("IMPORTRANGE('ТехническийЛист'!$B$1,""список!D""&amp;'ТехническийЛист'!$A114)"),"Есть доступ")</f>
        <v>Есть доступ</v>
      </c>
      <c r="E113" s="3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23.25" hidden="false" customHeight="true" outlineLevel="0" collapsed="false">
      <c r="A114" s="7" t="s">
        <v>223</v>
      </c>
      <c r="B114" s="3" t="s">
        <v>224</v>
      </c>
      <c r="C114" s="3" t="n">
        <f aca="false">IF(B114="","",SUMIF(Отзывы!$C:$C,$B114,Отзывы!$F:$F)+ТехническийЛист!$C$1)</f>
        <v>45</v>
      </c>
      <c r="D114" s="3" t="str">
        <f aca="false">IFERROR(__xludf.dummyfunction("IMPORTRANGE('ТехническийЛист'!$B$1,""список!D""&amp;'ТехническийЛист'!$A115)"),"Есть доступ")</f>
        <v>Есть доступ</v>
      </c>
      <c r="E114" s="3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23.25" hidden="false" customHeight="true" outlineLevel="0" collapsed="false">
      <c r="A115" s="3" t="s">
        <v>225</v>
      </c>
      <c r="B115" s="3" t="s">
        <v>226</v>
      </c>
      <c r="C115" s="3" t="n">
        <f aca="false">IF(B115="","",SUMIF(Отзывы!$C:$C,$B115,Отзывы!$F:$F)+ТехническийЛист!$C$1)</f>
        <v>50</v>
      </c>
      <c r="D115" s="3" t="str">
        <f aca="false">IFERROR(__xludf.dummyfunction("IMPORTRANGE('ТехническийЛист'!$B$1,""список!D""&amp;'ТехническийЛист'!$A116)"),"Есть доступ")</f>
        <v>Есть доступ</v>
      </c>
      <c r="E115" s="3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23.25" hidden="false" customHeight="true" outlineLevel="0" collapsed="false">
      <c r="A116" s="3" t="s">
        <v>227</v>
      </c>
      <c r="B116" s="7" t="s">
        <v>228</v>
      </c>
      <c r="C116" s="3" t="n">
        <f aca="false">IF(B116="","",SUMIF(Отзывы!$C:$C,$B116,Отзывы!$F:$F)+ТехническийЛист!$C$1)</f>
        <v>100</v>
      </c>
      <c r="D116" s="3" t="str">
        <f aca="false">IFERROR(__xludf.dummyfunction("IMPORTRANGE('ТехническийЛист'!$B$1,""список!D""&amp;'ТехническийЛист'!$A117)"),"Есть доступ")</f>
        <v>Есть доступ</v>
      </c>
      <c r="E116" s="3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23.25" hidden="false" customHeight="true" outlineLevel="0" collapsed="false">
      <c r="A117" s="7" t="s">
        <v>229</v>
      </c>
      <c r="B117" s="14" t="s">
        <v>230</v>
      </c>
      <c r="C117" s="3" t="n">
        <f aca="false">IF(B117="","",SUMIF(Отзывы!$C:$C,$B117,Отзывы!$F:$F)+ТехническийЛист!$C$1)</f>
        <v>10</v>
      </c>
      <c r="D117" s="3" t="str">
        <f aca="false">IFERROR(__xludf.dummyfunction("IMPORTRANGE('ТехническийЛист'!$B$1,""список!D""&amp;'ТехническийЛист'!$A118)"),"Есть доступ")</f>
        <v>Есть доступ</v>
      </c>
      <c r="E117" s="3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23.25" hidden="false" customHeight="true" outlineLevel="0" collapsed="false">
      <c r="A118" s="7" t="s">
        <v>231</v>
      </c>
      <c r="B118" s="7" t="s">
        <v>232</v>
      </c>
      <c r="C118" s="3" t="n">
        <f aca="false">IF(B118="","",SUMIF(Отзывы!$C:$C,$B118,Отзывы!$F:$F)+ТехническийЛист!$C$1)</f>
        <v>10</v>
      </c>
      <c r="D118" s="3" t="str">
        <f aca="false">IFERROR(__xludf.dummyfunction("IMPORTRANGE('ТехническийЛист'!$B$1,""список!D""&amp;'ТехническийЛист'!$A119)"),"Есть доступ")</f>
        <v>Есть доступ</v>
      </c>
      <c r="E118" s="3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23.25" hidden="false" customHeight="true" outlineLevel="0" collapsed="false">
      <c r="A119" s="7" t="s">
        <v>233</v>
      </c>
      <c r="B119" s="7" t="s">
        <v>234</v>
      </c>
      <c r="C119" s="3" t="n">
        <f aca="false">IF(B119="","",SUMIF(Отзывы!$C:$C,$B119,Отзывы!$F:$F)+ТехническийЛист!$C$1)</f>
        <v>50</v>
      </c>
      <c r="D119" s="3" t="str">
        <f aca="false">IFERROR(__xludf.dummyfunction("IMPORTRANGE('ТехническийЛист'!$B$1,""список!D""&amp;'ТехническийЛист'!$A120)"),"Есть доступ")</f>
        <v>Есть доступ</v>
      </c>
      <c r="E119" s="3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23.25" hidden="false" customHeight="true" outlineLevel="0" collapsed="false">
      <c r="A120" s="7" t="s">
        <v>235</v>
      </c>
      <c r="B120" s="7" t="s">
        <v>236</v>
      </c>
      <c r="C120" s="3" t="n">
        <f aca="false">IF(B120="","",SUMIF(Отзывы!$C:$C,$B120,Отзывы!$F:$F)+ТехническийЛист!$C$1)</f>
        <v>77</v>
      </c>
      <c r="D120" s="3" t="str">
        <f aca="false">IFERROR(__xludf.dummyfunction("IMPORTRANGE('ТехническийЛист'!$B$1,""список!D""&amp;'ТехническийЛист'!$A121)"),"Есть доступ")</f>
        <v>Есть доступ</v>
      </c>
      <c r="E120" s="3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23.25" hidden="false" customHeight="true" outlineLevel="0" collapsed="false">
      <c r="A121" s="3" t="s">
        <v>237</v>
      </c>
      <c r="B121" s="3" t="s">
        <v>238</v>
      </c>
      <c r="C121" s="3" t="n">
        <f aca="false">IF(B121="","",SUMIF(Отзывы!$C:$C,$B121,Отзывы!$F:$F)+ТехническийЛист!$C$1)</f>
        <v>50</v>
      </c>
      <c r="D121" s="3" t="str">
        <f aca="false">IFERROR(__xludf.dummyfunction("IMPORTRANGE('ТехническийЛист'!$B$1,""список!D""&amp;'ТехническийЛист'!$A122)"),"Есть доступ")</f>
        <v>Есть доступ</v>
      </c>
      <c r="E121" s="3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23.25" hidden="false" customHeight="true" outlineLevel="0" collapsed="false">
      <c r="A122" s="3" t="s">
        <v>239</v>
      </c>
      <c r="B122" s="3" t="s">
        <v>240</v>
      </c>
      <c r="C122" s="3" t="n">
        <f aca="false">IF(B122="","",SUMIF(Отзывы!$C:$C,$B122,Отзывы!$F:$F)+ТехническийЛист!$C$1)</f>
        <v>50</v>
      </c>
      <c r="D122" s="3" t="str">
        <f aca="false">IFERROR(__xludf.dummyfunction("IMPORTRANGE('ТехническийЛист'!$B$1,""список!D""&amp;'ТехническийЛист'!$A123)"),"Есть доступ")</f>
        <v>Есть доступ</v>
      </c>
      <c r="E122" s="3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23.25" hidden="false" customHeight="true" outlineLevel="0" collapsed="false">
      <c r="A123" s="7" t="s">
        <v>241</v>
      </c>
      <c r="B123" s="7" t="s">
        <v>242</v>
      </c>
      <c r="C123" s="3" t="n">
        <f aca="false">IF(B123="","",SUMIF(Отзывы!$C:$C,$B123,Отзывы!$F:$F)+ТехническийЛист!$C$1)</f>
        <v>50</v>
      </c>
      <c r="D123" s="3" t="str">
        <f aca="false">IFERROR(__xludf.dummyfunction("IMPORTRANGE('ТехническийЛист'!$B$1,""список!D""&amp;'ТехническийЛист'!$A124)"),"Есть доступ")</f>
        <v>Есть доступ</v>
      </c>
      <c r="E123" s="3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23.25" hidden="false" customHeight="true" outlineLevel="0" collapsed="false">
      <c r="A124" s="7" t="s">
        <v>243</v>
      </c>
      <c r="B124" s="7" t="s">
        <v>244</v>
      </c>
      <c r="C124" s="3" t="n">
        <f aca="false">IF(B124="","",SUMIF(Отзывы!$C:$C,$B124,Отзывы!$F:$F)+ТехническийЛист!$C$1)</f>
        <v>50</v>
      </c>
      <c r="D124" s="3" t="str">
        <f aca="false">IFERROR(__xludf.dummyfunction("IMPORTRANGE('ТехническийЛист'!$B$1,""список!D""&amp;'ТехническийЛист'!$A125)"),"Есть доступ")</f>
        <v>Есть доступ</v>
      </c>
      <c r="E124" s="3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23.25" hidden="false" customHeight="true" outlineLevel="0" collapsed="false">
      <c r="A125" s="7" t="s">
        <v>245</v>
      </c>
      <c r="B125" s="7" t="s">
        <v>246</v>
      </c>
      <c r="C125" s="3" t="n">
        <f aca="false">IF(B125="","",SUMIF(Отзывы!$C:$C,$B125,Отзывы!$F:$F)+ТехническийЛист!$C$1)</f>
        <v>50</v>
      </c>
      <c r="D125" s="3" t="str">
        <f aca="false">IFERROR(__xludf.dummyfunction("IMPORTRANGE('ТехническийЛист'!$B$1,""список!D""&amp;'ТехническийЛист'!$A126)"),"Есть доступ")</f>
        <v>Есть доступ</v>
      </c>
      <c r="E125" s="3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23.25" hidden="false" customHeight="true" outlineLevel="0" collapsed="false">
      <c r="A126" s="3" t="s">
        <v>247</v>
      </c>
      <c r="B126" s="3" t="s">
        <v>248</v>
      </c>
      <c r="C126" s="3" t="n">
        <f aca="false">IF(B126="","",SUMIF(Отзывы!$C:$C,$B126,Отзывы!$F:$F)+ТехническийЛист!$C$1)</f>
        <v>50</v>
      </c>
      <c r="D126" s="3" t="str">
        <f aca="false">IFERROR(__xludf.dummyfunction("IMPORTRANGE('ТехническийЛист'!$B$1,""список!D""&amp;'ТехническийЛист'!$A127)"),"Есть доступ")</f>
        <v>Есть доступ</v>
      </c>
      <c r="E126" s="3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23.25" hidden="false" customHeight="true" outlineLevel="0" collapsed="false">
      <c r="A127" s="14" t="s">
        <v>249</v>
      </c>
      <c r="B127" s="14" t="s">
        <v>249</v>
      </c>
      <c r="C127" s="3" t="n">
        <f aca="false">IF(B127="","",SUMIF(Отзывы!$C:$C,$B127,Отзывы!$F:$F)+ТехническийЛист!$C$1)</f>
        <v>53</v>
      </c>
      <c r="D127" s="3" t="str">
        <f aca="false">IFERROR(__xludf.dummyfunction("IMPORTRANGE('ТехническийЛист'!$B$1,""список!D""&amp;'ТехническийЛист'!$A128)"),"Есть доступ")</f>
        <v>Есть доступ</v>
      </c>
      <c r="E127" s="3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23.25" hidden="false" customHeight="true" outlineLevel="0" collapsed="false">
      <c r="A128" s="7" t="s">
        <v>250</v>
      </c>
      <c r="B128" s="2" t="s">
        <v>251</v>
      </c>
      <c r="C128" s="3" t="n">
        <f aca="false">IF(B128="","",SUMIF(Отзывы!$C:$C,$B128,Отзывы!$F:$F)+ТехническийЛист!$C$1)</f>
        <v>45</v>
      </c>
      <c r="D128" s="3" t="str">
        <f aca="false">IFERROR(__xludf.dummyfunction("IMPORTRANGE('ТехническийЛист'!$B$1,""список!D""&amp;'ТехническийЛист'!$A129)"),"Есть доступ")</f>
        <v>Есть доступ</v>
      </c>
      <c r="E128" s="3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23.25" hidden="false" customHeight="true" outlineLevel="0" collapsed="false">
      <c r="A129" s="3" t="s">
        <v>252</v>
      </c>
      <c r="B129" s="3" t="s">
        <v>253</v>
      </c>
      <c r="C129" s="3" t="n">
        <f aca="false">IF(B129="","",SUMIF(Отзывы!$C:$C,$B129,Отзывы!$F:$F)+ТехническийЛист!$C$1)</f>
        <v>50</v>
      </c>
      <c r="D129" s="3" t="str">
        <f aca="false">IFERROR(__xludf.dummyfunction("IMPORTRANGE('ТехническийЛист'!$B$1,""список!D""&amp;'ТехническийЛист'!$A130)"),"Есть доступ")</f>
        <v>Есть доступ</v>
      </c>
      <c r="E129" s="3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23.25" hidden="false" customHeight="true" outlineLevel="0" collapsed="false">
      <c r="A130" s="7" t="s">
        <v>254</v>
      </c>
      <c r="B130" s="7" t="s">
        <v>255</v>
      </c>
      <c r="C130" s="3" t="n">
        <f aca="false">IF(B130="","",SUMIF(Отзывы!$C:$C,$B130,Отзывы!$F:$F)+ТехническийЛист!$C$1)</f>
        <v>40</v>
      </c>
      <c r="D130" s="3" t="str">
        <f aca="false">IFERROR(__xludf.dummyfunction("IMPORTRANGE('ТехническийЛист'!$B$1,""список!D""&amp;'ТехническийЛист'!$A131)"),"Есть доступ")</f>
        <v>Есть доступ</v>
      </c>
      <c r="E130" s="3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23.25" hidden="false" customHeight="true" outlineLevel="0" collapsed="false">
      <c r="A131" s="3" t="s">
        <v>256</v>
      </c>
      <c r="B131" s="3" t="s">
        <v>257</v>
      </c>
      <c r="C131" s="3" t="n">
        <f aca="false">IF(B131="","",SUMIF(Отзывы!$C:$C,$B131,Отзывы!$F:$F)+ТехническийЛист!$C$1)</f>
        <v>52</v>
      </c>
      <c r="D131" s="3" t="str">
        <f aca="false">IFERROR(__xludf.dummyfunction("IMPORTRANGE('ТехническийЛист'!$B$1,""список!D""&amp;'ТехническийЛист'!$A132)"),"Есть доступ")</f>
        <v>Есть доступ</v>
      </c>
      <c r="E131" s="3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23.25" hidden="false" customHeight="true" outlineLevel="0" collapsed="false">
      <c r="A132" s="3" t="s">
        <v>258</v>
      </c>
      <c r="B132" s="3" t="s">
        <v>259</v>
      </c>
      <c r="C132" s="3" t="n">
        <f aca="false">IF(B132="","",SUMIF(Отзывы!$C:$C,$B132,Отзывы!$F:$F)+ТехническийЛист!$C$1)</f>
        <v>50</v>
      </c>
      <c r="D132" s="3" t="str">
        <f aca="false">IFERROR(__xludf.dummyfunction("IMPORTRANGE('ТехническийЛист'!$B$1,""список!D""&amp;'ТехническийЛист'!$A133)"),"Есть доступ")</f>
        <v>Есть доступ</v>
      </c>
      <c r="E132" s="3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23.25" hidden="false" customHeight="true" outlineLevel="0" collapsed="false">
      <c r="A133" s="2" t="s">
        <v>260</v>
      </c>
      <c r="B133" s="2" t="s">
        <v>261</v>
      </c>
      <c r="C133" s="3" t="n">
        <f aca="false">IF(B133="","",SUMIF(Отзывы!$C:$C,$B133,Отзывы!$F:$F)+ТехническийЛист!$C$1)</f>
        <v>52</v>
      </c>
      <c r="D133" s="3" t="str">
        <f aca="false">IFERROR(__xludf.dummyfunction("IMPORTRANGE('ТехническийЛист'!$B$1,""список!D""&amp;'ТехническийЛист'!$A134)"),"Есть доступ")</f>
        <v>Есть доступ</v>
      </c>
      <c r="E133" s="3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23.25" hidden="false" customHeight="true" outlineLevel="0" collapsed="false">
      <c r="A134" s="7" t="s">
        <v>262</v>
      </c>
      <c r="B134" s="3" t="s">
        <v>263</v>
      </c>
      <c r="C134" s="3" t="n">
        <f aca="false">IF(B134="","",SUMIF(Отзывы!$C:$C,$B134,Отзывы!$F:$F)+ТехническийЛист!$C$1)</f>
        <v>45</v>
      </c>
      <c r="D134" s="3" t="str">
        <f aca="false">IFERROR(__xludf.dummyfunction("IMPORTRANGE('ТехническийЛист'!$B$1,""список!D""&amp;'ТехническийЛист'!$A135)"),"Есть доступ")</f>
        <v>Есть доступ</v>
      </c>
      <c r="E134" s="3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23.25" hidden="false" customHeight="true" outlineLevel="0" collapsed="false">
      <c r="A135" s="3" t="s">
        <v>264</v>
      </c>
      <c r="B135" s="3" t="s">
        <v>264</v>
      </c>
      <c r="C135" s="3" t="n">
        <f aca="false">IF(B135="","",SUMIF(Отзывы!$C:$C,$B135,Отзывы!$F:$F)+ТехническийЛист!$C$1)</f>
        <v>37</v>
      </c>
      <c r="D135" s="3" t="str">
        <f aca="false">IFERROR(__xludf.dummyfunction("IMPORTRANGE('ТехническийЛист'!$B$1,""список!D""&amp;'ТехническийЛист'!$A136)"),"Есть доступ")</f>
        <v>Есть доступ</v>
      </c>
      <c r="E135" s="3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23.25" hidden="false" customHeight="true" outlineLevel="0" collapsed="false">
      <c r="A136" s="7" t="s">
        <v>265</v>
      </c>
      <c r="B136" s="7" t="s">
        <v>266</v>
      </c>
      <c r="C136" s="3" t="n">
        <f aca="false">IF(B136="","",SUMIF(Отзывы!$C:$C,$B136,Отзывы!$F:$F)+ТехническийЛист!$C$1)</f>
        <v>76</v>
      </c>
      <c r="D136" s="3" t="str">
        <f aca="false">IFERROR(__xludf.dummyfunction("IMPORTRANGE('ТехническийЛист'!$B$1,""список!D""&amp;'ТехническийЛист'!$A137)"),"Есть доступ")</f>
        <v>Есть доступ</v>
      </c>
      <c r="E136" s="3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23.25" hidden="false" customHeight="true" outlineLevel="0" collapsed="false">
      <c r="A137" s="3" t="s">
        <v>267</v>
      </c>
      <c r="B137" s="3" t="s">
        <v>268</v>
      </c>
      <c r="C137" s="3" t="n">
        <f aca="false">IF(B137="","",SUMIF(Отзывы!$C:$C,$B137,Отзывы!$F:$F)+ТехническийЛист!$C$1)</f>
        <v>59</v>
      </c>
      <c r="D137" s="3" t="str">
        <f aca="false">IFERROR(__xludf.dummyfunction("IMPORTRANGE('ТехническийЛист'!$B$1,""список!D""&amp;'ТехническийЛист'!$A138)"),"Есть доступ")</f>
        <v>Есть доступ</v>
      </c>
      <c r="E137" s="3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23.25" hidden="false" customHeight="true" outlineLevel="0" collapsed="false">
      <c r="A138" s="7" t="s">
        <v>269</v>
      </c>
      <c r="B138" s="7" t="s">
        <v>270</v>
      </c>
      <c r="C138" s="3" t="n">
        <f aca="false">IF(B138="","",SUMIF(Отзывы!$C:$C,$B138,Отзывы!$F:$F)+ТехническийЛист!$C$1)</f>
        <v>57</v>
      </c>
      <c r="D138" s="3" t="str">
        <f aca="false">IFERROR(__xludf.dummyfunction("IMPORTRANGE('ТехническийЛист'!$B$1,""список!D""&amp;'ТехническийЛист'!$A139)"),"Есть доступ")</f>
        <v>Есть доступ</v>
      </c>
      <c r="E138" s="3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23.25" hidden="false" customHeight="true" outlineLevel="0" collapsed="false">
      <c r="A139" s="7" t="s">
        <v>271</v>
      </c>
      <c r="B139" s="7" t="s">
        <v>272</v>
      </c>
      <c r="C139" s="3" t="n">
        <f aca="false">IF(B139="","",SUMIF(Отзывы!$C:$C,$B139,Отзывы!$F:$F)+ТехническийЛист!$C$1)</f>
        <v>26</v>
      </c>
      <c r="D139" s="3" t="str">
        <f aca="false">IFERROR(__xludf.dummyfunction("IMPORTRANGE('ТехническийЛист'!$B$1,""список!D""&amp;'ТехническийЛист'!$A140)"),"Нет доступа")</f>
        <v>Нет доступа</v>
      </c>
      <c r="E139" s="3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23.25" hidden="false" customHeight="true" outlineLevel="0" collapsed="false">
      <c r="A140" s="7" t="s">
        <v>273</v>
      </c>
      <c r="B140" s="7" t="s">
        <v>274</v>
      </c>
      <c r="C140" s="3" t="n">
        <f aca="false">IF(B140="","",SUMIF(Отзывы!$C:$C,$B140,Отзывы!$F:$F)+ТехническийЛист!$C$1)</f>
        <v>10</v>
      </c>
      <c r="D140" s="3" t="str">
        <f aca="false">IFERROR(__xludf.dummyfunction("IMPORTRANGE('ТехническийЛист'!$B$1,""список!D""&amp;'ТехническийЛист'!$A141)"),"Есть доступ")</f>
        <v>Есть доступ</v>
      </c>
      <c r="E140" s="3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23.25" hidden="false" customHeight="true" outlineLevel="0" collapsed="false">
      <c r="A141" s="7" t="s">
        <v>275</v>
      </c>
      <c r="B141" s="7" t="s">
        <v>276</v>
      </c>
      <c r="C141" s="3" t="n">
        <f aca="false">IF(B141="","",SUMIF(Отзывы!$C:$C,$B141,Отзывы!$F:$F)+ТехническийЛист!$C$1)</f>
        <v>38</v>
      </c>
      <c r="D141" s="3" t="str">
        <f aca="false">IFERROR(__xludf.dummyfunction("IMPORTRANGE('ТехническийЛист'!$B$1,""список!D""&amp;'ТехническийЛист'!$A142)"),"Есть доступ")</f>
        <v>Есть доступ</v>
      </c>
      <c r="E141" s="3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23.25" hidden="false" customHeight="true" outlineLevel="0" collapsed="false">
      <c r="A142" s="7" t="s">
        <v>277</v>
      </c>
      <c r="B142" s="7" t="s">
        <v>278</v>
      </c>
      <c r="C142" s="3" t="n">
        <f aca="false">IF(B142="","",SUMIF(Отзывы!$C:$C,$B142,Отзывы!$F:$F)+ТехническийЛист!$C$1)</f>
        <v>45</v>
      </c>
      <c r="D142" s="3" t="str">
        <f aca="false">IFERROR(__xludf.dummyfunction("IMPORTRANGE('ТехническийЛист'!$B$1,""список!D""&amp;'ТехническийЛист'!$A143)"),"Есть доступ")</f>
        <v>Есть доступ</v>
      </c>
      <c r="E142" s="3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23.25" hidden="false" customHeight="true" outlineLevel="0" collapsed="false">
      <c r="A143" s="7" t="s">
        <v>279</v>
      </c>
      <c r="B143" s="7" t="s">
        <v>280</v>
      </c>
      <c r="C143" s="3" t="n">
        <f aca="false">IF(B143="","",SUMIF(Отзывы!$C:$C,$B143,Отзывы!$F:$F)+ТехническийЛист!$C$1)</f>
        <v>45</v>
      </c>
      <c r="D143" s="3" t="str">
        <f aca="false">IFERROR(__xludf.dummyfunction("IMPORTRANGE('ТехническийЛист'!$B$1,""список!D""&amp;'ТехническийЛист'!$A144)"),"Есть доступ")</f>
        <v>Есть доступ</v>
      </c>
      <c r="E143" s="3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23.25" hidden="false" customHeight="true" outlineLevel="0" collapsed="false">
      <c r="A144" s="3" t="s">
        <v>281</v>
      </c>
      <c r="B144" s="3" t="s">
        <v>282</v>
      </c>
      <c r="C144" s="3" t="n">
        <f aca="false">IF(B144="","",SUMIF(Отзывы!$C:$C,$B144,Отзывы!$F:$F)+ТехническийЛист!$C$1)</f>
        <v>62</v>
      </c>
      <c r="D144" s="3" t="str">
        <f aca="false">IFERROR(__xludf.dummyfunction("IMPORTRANGE('ТехническийЛист'!$B$1,""список!D""&amp;'ТехническийЛист'!$A145)"),"Есть доступ")</f>
        <v>Есть доступ</v>
      </c>
      <c r="E144" s="3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23.25" hidden="false" customHeight="true" outlineLevel="0" collapsed="false">
      <c r="A145" s="3" t="s">
        <v>283</v>
      </c>
      <c r="B145" s="3" t="s">
        <v>284</v>
      </c>
      <c r="C145" s="3" t="n">
        <f aca="false">IF(B145="","",SUMIF(Отзывы!$C:$C,$B145,Отзывы!$F:$F)+ТехническийЛист!$C$1)</f>
        <v>50</v>
      </c>
      <c r="D145" s="3" t="str">
        <f aca="false">IFERROR(__xludf.dummyfunction("IMPORTRANGE('ТехническийЛист'!$B$1,""список!D""&amp;'ТехническийЛист'!$A146)"),"Есть доступ")</f>
        <v>Есть доступ</v>
      </c>
      <c r="E145" s="3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23.25" hidden="false" customHeight="true" outlineLevel="0" collapsed="false">
      <c r="A146" s="3" t="s">
        <v>285</v>
      </c>
      <c r="B146" s="3" t="s">
        <v>286</v>
      </c>
      <c r="C146" s="3" t="n">
        <f aca="false">IF(B146="","",SUMIF(Отзывы!$C:$C,$B146,Отзывы!$F:$F)+ТехническийЛист!$C$1)</f>
        <v>50</v>
      </c>
      <c r="D146" s="3" t="str">
        <f aca="false">IFERROR(__xludf.dummyfunction("IMPORTRANGE('ТехническийЛист'!$B$1,""список!D""&amp;'ТехническийЛист'!$A147)"),"Есть доступ")</f>
        <v>Есть доступ</v>
      </c>
      <c r="E146" s="3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23.25" hidden="false" customHeight="true" outlineLevel="0" collapsed="false">
      <c r="A147" s="3" t="s">
        <v>287</v>
      </c>
      <c r="B147" s="3" t="s">
        <v>288</v>
      </c>
      <c r="C147" s="3" t="n">
        <f aca="false">IF(B147="","",SUMIF(Отзывы!$C:$C,$B147,Отзывы!$F:$F)+ТехническийЛист!$C$1)</f>
        <v>57</v>
      </c>
      <c r="D147" s="3" t="str">
        <f aca="false">IFERROR(__xludf.dummyfunction("IMPORTRANGE('ТехническийЛист'!$B$1,""список!D""&amp;'ТехническийЛист'!$A148)"),"Есть доступ")</f>
        <v>Есть доступ</v>
      </c>
      <c r="E147" s="3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23.25" hidden="false" customHeight="true" outlineLevel="0" collapsed="false">
      <c r="A148" s="7" t="s">
        <v>289</v>
      </c>
      <c r="B148" s="7" t="s">
        <v>290</v>
      </c>
      <c r="C148" s="3" t="n">
        <f aca="false">IF(B148="","",SUMIF(Отзывы!$C:$C,$B148,Отзывы!$F:$F)+ТехническийЛист!$C$1)</f>
        <v>45</v>
      </c>
      <c r="D148" s="3" t="str">
        <f aca="false">IFERROR(__xludf.dummyfunction("IMPORTRANGE('ТехническийЛист'!$B$1,""список!D""&amp;'ТехническийЛист'!$A149)"),"Есть доступ")</f>
        <v>Есть доступ</v>
      </c>
      <c r="E148" s="3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23.25" hidden="false" customHeight="true" outlineLevel="0" collapsed="false">
      <c r="A149" s="3" t="s">
        <v>291</v>
      </c>
      <c r="B149" s="3" t="s">
        <v>292</v>
      </c>
      <c r="C149" s="3" t="n">
        <f aca="false">IF(B149="","",SUMIF(Отзывы!$C:$C,$B149,Отзывы!$F:$F)+ТехническийЛист!$C$1)</f>
        <v>50</v>
      </c>
      <c r="D149" s="3" t="str">
        <f aca="false">IFERROR(__xludf.dummyfunction("IMPORTRANGE('ТехническийЛист'!$B$1,""список!D""&amp;'ТехническийЛист'!$A150)"),"Есть доступ")</f>
        <v>Есть доступ</v>
      </c>
      <c r="E149" s="3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23.25" hidden="false" customHeight="true" outlineLevel="0" collapsed="false">
      <c r="A150" s="15" t="s">
        <v>293</v>
      </c>
      <c r="B150" s="2" t="s">
        <v>294</v>
      </c>
      <c r="C150" s="3" t="n">
        <f aca="false">IF(B150="","",SUMIF(Отзывы!$C:$C,$B150,Отзывы!$F:$F)+ТехническийЛист!$C$1)</f>
        <v>50</v>
      </c>
      <c r="D150" s="3" t="str">
        <f aca="false">IFERROR(__xludf.dummyfunction("IMPORTRANGE('ТехническийЛист'!$B$1,""список!D""&amp;'ТехническийЛист'!$A151)"),"Есть доступ")</f>
        <v>Есть доступ</v>
      </c>
      <c r="E150" s="3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23.25" hidden="false" customHeight="true" outlineLevel="0" collapsed="false">
      <c r="A151" s="2" t="s">
        <v>295</v>
      </c>
      <c r="B151" s="2" t="s">
        <v>296</v>
      </c>
      <c r="C151" s="3" t="n">
        <f aca="false">IF(B151="","",SUMIF(Отзывы!$C:$C,$B151,Отзывы!$F:$F)+ТехническийЛист!$C$1)</f>
        <v>50</v>
      </c>
      <c r="D151" s="3" t="str">
        <f aca="false">IFERROR(__xludf.dummyfunction("IMPORTRANGE('ТехническийЛист'!$B$1,""список!D""&amp;'ТехническийЛист'!$A152)"),"Есть доступ")</f>
        <v>Есть доступ</v>
      </c>
      <c r="E151" s="3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23.25" hidden="false" customHeight="true" outlineLevel="0" collapsed="false">
      <c r="A152" s="3" t="s">
        <v>297</v>
      </c>
      <c r="B152" s="3" t="s">
        <v>298</v>
      </c>
      <c r="C152" s="3" t="n">
        <f aca="false">IF(B152="","",SUMIF(Отзывы!$C:$C,$B152,Отзывы!$F:$F)+ТехническийЛист!$C$1)</f>
        <v>40</v>
      </c>
      <c r="D152" s="3" t="str">
        <f aca="false">IFERROR(__xludf.dummyfunction("IMPORTRANGE('ТехническийЛист'!$B$1,""список!D""&amp;'ТехническийЛист'!$A153)"),"Есть доступ")</f>
        <v>Есть доступ</v>
      </c>
      <c r="E152" s="3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23.25" hidden="false" customHeight="true" outlineLevel="0" collapsed="false">
      <c r="A153" s="3" t="s">
        <v>299</v>
      </c>
      <c r="B153" s="3" t="s">
        <v>300</v>
      </c>
      <c r="C153" s="3" t="n">
        <f aca="false">IF(B153="","",SUMIF(Отзывы!$C:$C,$B153,Отзывы!$F:$F)+ТехническийЛист!$C$1)</f>
        <v>50</v>
      </c>
      <c r="D153" s="3" t="str">
        <f aca="false">IFERROR(__xludf.dummyfunction("IMPORTRANGE('ТехническийЛист'!$B$1,""список!D""&amp;'ТехническийЛист'!$A154)"),"Есть доступ")</f>
        <v>Есть доступ</v>
      </c>
      <c r="E153" s="3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23.25" hidden="false" customHeight="true" outlineLevel="0" collapsed="false">
      <c r="A154" s="3" t="s">
        <v>301</v>
      </c>
      <c r="B154" s="3" t="s">
        <v>302</v>
      </c>
      <c r="C154" s="3" t="n">
        <f aca="false">IF(B154="","",SUMIF(Отзывы!$C:$C,$B154,Отзывы!$F:$F)+ТехническийЛист!$C$1)</f>
        <v>51</v>
      </c>
      <c r="D154" s="3" t="str">
        <f aca="false">IFERROR(__xludf.dummyfunction("IMPORTRANGE('ТехническийЛист'!$B$1,""список!D""&amp;'ТехническийЛист'!$A155)"),"Есть доступ")</f>
        <v>Есть доступ</v>
      </c>
      <c r="E154" s="3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23.25" hidden="false" customHeight="true" outlineLevel="0" collapsed="false">
      <c r="A155" s="2" t="s">
        <v>303</v>
      </c>
      <c r="B155" s="2" t="s">
        <v>304</v>
      </c>
      <c r="C155" s="3" t="n">
        <f aca="false">IF(B155="","",SUMIF(Отзывы!$C:$C,$B155,Отзывы!$F:$F)+ТехническийЛист!$C$1)</f>
        <v>45</v>
      </c>
      <c r="D155" s="3" t="str">
        <f aca="false">IFERROR(__xludf.dummyfunction("IMPORTRANGE('ТехническийЛист'!$B$1,""список!D""&amp;'ТехническийЛист'!$A156)"),"Есть доступ")</f>
        <v>Есть доступ</v>
      </c>
      <c r="E155" s="3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23.25" hidden="false" customHeight="true" outlineLevel="0" collapsed="false">
      <c r="A156" s="7" t="s">
        <v>305</v>
      </c>
      <c r="B156" s="12" t="s">
        <v>306</v>
      </c>
      <c r="C156" s="3" t="n">
        <f aca="false">IF(B156="","",SUMIF(Отзывы!$C:$C,$B156,Отзывы!$F:$F)+ТехническийЛист!$C$1)</f>
        <v>50</v>
      </c>
      <c r="D156" s="3" t="str">
        <f aca="false">IFERROR(__xludf.dummyfunction("IMPORTRANGE('ТехническийЛист'!$B$1,""список!D""&amp;'ТехническийЛист'!$A157)"),"Есть доступ")</f>
        <v>Есть доступ</v>
      </c>
      <c r="E156" s="3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23.25" hidden="false" customHeight="true" outlineLevel="0" collapsed="false">
      <c r="A157" s="3" t="s">
        <v>307</v>
      </c>
      <c r="B157" s="3" t="s">
        <v>308</v>
      </c>
      <c r="C157" s="3" t="n">
        <f aca="false">IF(B157="","",SUMIF(Отзывы!$C:$C,$B157,Отзывы!$F:$F)+ТехническийЛист!$C$1)</f>
        <v>50</v>
      </c>
      <c r="D157" s="3" t="str">
        <f aca="false">IFERROR(__xludf.dummyfunction("IMPORTRANGE('ТехническийЛист'!$B$1,""список!D""&amp;'ТехническийЛист'!$A158)"),"Нет доступа")</f>
        <v>Нет доступа</v>
      </c>
      <c r="E157" s="3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23.25" hidden="false" customHeight="true" outlineLevel="0" collapsed="false">
      <c r="A158" s="3" t="s">
        <v>309</v>
      </c>
      <c r="B158" s="3" t="s">
        <v>310</v>
      </c>
      <c r="C158" s="3" t="n">
        <f aca="false">IF(B158="","",SUMIF(Отзывы!$C:$C,$B158,Отзывы!$F:$F)+ТехническийЛист!$C$1)</f>
        <v>91</v>
      </c>
      <c r="D158" s="3" t="str">
        <f aca="false">IFERROR(__xludf.dummyfunction("IMPORTRANGE('ТехническийЛист'!$B$1,""список!D""&amp;'ТехническийЛист'!$A159)"),"Есть доступ")</f>
        <v>Есть доступ</v>
      </c>
      <c r="E158" s="3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23.25" hidden="false" customHeight="true" outlineLevel="0" collapsed="false">
      <c r="A159" s="3" t="s">
        <v>311</v>
      </c>
      <c r="B159" s="3" t="s">
        <v>312</v>
      </c>
      <c r="C159" s="3" t="n">
        <f aca="false">IF(B159="","",SUMIF(Отзывы!$C:$C,$B159,Отзывы!$F:$F)+ТехническийЛист!$C$1)</f>
        <v>50</v>
      </c>
      <c r="D159" s="3" t="str">
        <f aca="false">IFERROR(__xludf.dummyfunction("IMPORTRANGE('ТехническийЛист'!$B$1,""список!D""&amp;'ТехническийЛист'!$A160)"),"Нет доступа")</f>
        <v>Нет доступа</v>
      </c>
      <c r="E159" s="3" t="s">
        <v>313</v>
      </c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23.25" hidden="false" customHeight="true" outlineLevel="0" collapsed="false">
      <c r="A160" s="3" t="s">
        <v>314</v>
      </c>
      <c r="B160" s="3" t="s">
        <v>315</v>
      </c>
      <c r="C160" s="3" t="n">
        <f aca="false">IF(B160="","",SUMIF(Отзывы!$C:$C,$B160,Отзывы!$F:$F)+ТехническийЛист!$C$1)</f>
        <v>53</v>
      </c>
      <c r="D160" s="3" t="str">
        <f aca="false">IFERROR(__xludf.dummyfunction("IMPORTRANGE('ТехническийЛист'!$B$1,""список!D""&amp;'ТехническийЛист'!$A161)"),"Есть доступ")</f>
        <v>Есть доступ</v>
      </c>
      <c r="E160" s="3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23.25" hidden="false" customHeight="true" outlineLevel="0" collapsed="false">
      <c r="A161" s="3" t="s">
        <v>316</v>
      </c>
      <c r="B161" s="3" t="s">
        <v>316</v>
      </c>
      <c r="C161" s="3" t="n">
        <f aca="false">IF(B161="","",SUMIF(Отзывы!$C:$C,$B161,Отзывы!$F:$F)+ТехническийЛист!$C$1)</f>
        <v>50</v>
      </c>
      <c r="D161" s="3" t="str">
        <f aca="false">IFERROR(__xludf.dummyfunction("IMPORTRANGE('ТехническийЛист'!$B$1,""список!D""&amp;'ТехническийЛист'!$A162)"),"Есть доступ")</f>
        <v>Есть доступ</v>
      </c>
      <c r="E161" s="3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23.25" hidden="false" customHeight="true" outlineLevel="0" collapsed="false">
      <c r="A162" s="3" t="s">
        <v>317</v>
      </c>
      <c r="B162" s="3" t="s">
        <v>317</v>
      </c>
      <c r="C162" s="3" t="n">
        <f aca="false">IF(B162="","",SUMIF(Отзывы!$C:$C,$B162,Отзывы!$F:$F)+ТехническийЛист!$C$1)</f>
        <v>50</v>
      </c>
      <c r="D162" s="3" t="str">
        <f aca="false">IFERROR(__xludf.dummyfunction("IMPORTRANGE('ТехническийЛист'!$B$1,""список!D""&amp;'ТехническийЛист'!$A163)"),"Есть доступ")</f>
        <v>Есть доступ</v>
      </c>
      <c r="E162" s="3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23.25" hidden="false" customHeight="true" outlineLevel="0" collapsed="false">
      <c r="A163" s="3" t="s">
        <v>318</v>
      </c>
      <c r="B163" s="3" t="s">
        <v>319</v>
      </c>
      <c r="C163" s="3" t="n">
        <f aca="false">IF(B163="","",SUMIF(Отзывы!$C:$C,$B163,Отзывы!$F:$F)+ТехническийЛист!$C$1)</f>
        <v>39</v>
      </c>
      <c r="D163" s="3" t="str">
        <f aca="false">IFERROR(__xludf.dummyfunction("IMPORTRANGE('ТехническийЛист'!$B$1,""список!D""&amp;'ТехническийЛист'!$A164)"),"Есть доступ")</f>
        <v>Есть доступ</v>
      </c>
      <c r="E163" s="3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23.25" hidden="false" customHeight="true" outlineLevel="0" collapsed="false">
      <c r="A164" s="2" t="s">
        <v>320</v>
      </c>
      <c r="B164" s="2" t="s">
        <v>321</v>
      </c>
      <c r="C164" s="3" t="n">
        <f aca="false">IF(B164="","",SUMIF(Отзывы!$C:$C,$B164,Отзывы!$F:$F)+ТехническийЛист!$C$1)</f>
        <v>44</v>
      </c>
      <c r="D164" s="3" t="str">
        <f aca="false">IFERROR(__xludf.dummyfunction("IMPORTRANGE('ТехническийЛист'!$B$1,""список!D""&amp;'ТехническийЛист'!$A165)"),"Есть доступ")</f>
        <v>Есть доступ</v>
      </c>
      <c r="E164" s="3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23.25" hidden="false" customHeight="true" outlineLevel="0" collapsed="false">
      <c r="A165" s="3" t="s">
        <v>322</v>
      </c>
      <c r="B165" s="3" t="s">
        <v>323</v>
      </c>
      <c r="C165" s="3" t="n">
        <f aca="false">IF(B165="","",SUMIF(Отзывы!$C:$C,$B165,Отзывы!$F:$F)+ТехническийЛист!$C$1)</f>
        <v>52</v>
      </c>
      <c r="D165" s="3" t="str">
        <f aca="false">IFERROR(__xludf.dummyfunction("IMPORTRANGE('ТехническийЛист'!$B$1,""список!D""&amp;'ТехническийЛист'!$A166)"),"Есть доступ")</f>
        <v>Есть доступ</v>
      </c>
      <c r="E165" s="3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23.25" hidden="false" customHeight="true" outlineLevel="0" collapsed="false">
      <c r="A166" s="3" t="s">
        <v>324</v>
      </c>
      <c r="B166" s="3" t="s">
        <v>324</v>
      </c>
      <c r="C166" s="3" t="n">
        <f aca="false">IF(B166="","",SUMIF(Отзывы!$C:$C,$B166,Отзывы!$F:$F)+ТехническийЛист!$C$1)</f>
        <v>10</v>
      </c>
      <c r="D166" s="3" t="str">
        <f aca="false">IFERROR(__xludf.dummyfunction("IMPORTRANGE('ТехническийЛист'!$B$1,""список!D""&amp;'ТехническийЛист'!$A167)"),"Есть доступ")</f>
        <v>Есть доступ</v>
      </c>
      <c r="E166" s="3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23.25" hidden="false" customHeight="true" outlineLevel="0" collapsed="false">
      <c r="A167" s="2" t="s">
        <v>325</v>
      </c>
      <c r="B167" s="2" t="s">
        <v>326</v>
      </c>
      <c r="C167" s="3" t="n">
        <f aca="false">IF(B167="","",SUMIF(Отзывы!$C:$C,$B167,Отзывы!$F:$F)+ТехническийЛист!$C$1)</f>
        <v>85</v>
      </c>
      <c r="D167" s="3" t="str">
        <f aca="false">IFERROR(__xludf.dummyfunction("IMPORTRANGE('ТехническийЛист'!$B$1,""список!D""&amp;'ТехническийЛист'!$A168)"),"Есть доступ")</f>
        <v>Есть доступ</v>
      </c>
      <c r="E167" s="3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23.25" hidden="false" customHeight="true" outlineLevel="0" collapsed="false">
      <c r="A168" s="3" t="s">
        <v>327</v>
      </c>
      <c r="B168" s="3" t="s">
        <v>328</v>
      </c>
      <c r="C168" s="3" t="n">
        <f aca="false">IF(B168="","",SUMIF(Отзывы!$C:$C,$B168,Отзывы!$F:$F)+ТехническийЛист!$C$1)</f>
        <v>45</v>
      </c>
      <c r="D168" s="3" t="str">
        <f aca="false">IFERROR(__xludf.dummyfunction("IMPORTRANGE('ТехническийЛист'!$B$1,""список!D""&amp;'ТехническийЛист'!$A169)"),"Есть доступ")</f>
        <v>Есть доступ</v>
      </c>
      <c r="E168" s="3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23.25" hidden="false" customHeight="true" outlineLevel="0" collapsed="false">
      <c r="A169" s="3" t="s">
        <v>329</v>
      </c>
      <c r="B169" s="3" t="s">
        <v>330</v>
      </c>
      <c r="C169" s="3" t="n">
        <f aca="false">IF(B169="","",SUMIF(Отзывы!$C:$C,$B169,Отзывы!$F:$F)+ТехническийЛист!$C$1)</f>
        <v>47</v>
      </c>
      <c r="D169" s="3" t="str">
        <f aca="false">IFERROR(__xludf.dummyfunction("IMPORTRANGE('ТехническийЛист'!$B$1,""список!D""&amp;'ТехническийЛист'!$A170)"),"Есть доступ")</f>
        <v>Есть доступ</v>
      </c>
      <c r="E169" s="3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23.25" hidden="false" customHeight="true" outlineLevel="0" collapsed="false">
      <c r="A170" s="3" t="s">
        <v>331</v>
      </c>
      <c r="B170" s="3" t="s">
        <v>332</v>
      </c>
      <c r="C170" s="3" t="n">
        <f aca="false">IF(B170="","",SUMIF(Отзывы!$C:$C,$B170,Отзывы!$F:$F)+ТехническийЛист!$C$1)</f>
        <v>61</v>
      </c>
      <c r="D170" s="3" t="str">
        <f aca="false">IFERROR(__xludf.dummyfunction("IMPORTRANGE('ТехническийЛист'!$B$1,""список!D""&amp;'ТехническийЛист'!$A171)"),"Есть доступ")</f>
        <v>Есть доступ</v>
      </c>
      <c r="E170" s="3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23.25" hidden="false" customHeight="true" outlineLevel="0" collapsed="false">
      <c r="A171" s="3" t="s">
        <v>333</v>
      </c>
      <c r="B171" s="3" t="s">
        <v>334</v>
      </c>
      <c r="C171" s="3" t="n">
        <f aca="false">IF(B171="","",SUMIF(Отзывы!$C:$C,$B171,Отзывы!$F:$F)+ТехническийЛист!$C$1)</f>
        <v>50</v>
      </c>
      <c r="D171" s="3" t="str">
        <f aca="false">IFERROR(__xludf.dummyfunction("IMPORTRANGE('ТехническийЛист'!$B$1,""список!D""&amp;'ТехническийЛист'!$A172)"),"Есть доступ")</f>
        <v>Есть доступ</v>
      </c>
      <c r="E171" s="3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23.25" hidden="false" customHeight="true" outlineLevel="0" collapsed="false">
      <c r="A172" s="3" t="s">
        <v>335</v>
      </c>
      <c r="B172" s="3" t="s">
        <v>335</v>
      </c>
      <c r="C172" s="3" t="n">
        <f aca="false">IF(B172="","",SUMIF(Отзывы!$C:$C,$B172,Отзывы!$F:$F)+ТехническийЛист!$C$1)</f>
        <v>50</v>
      </c>
      <c r="D172" s="3" t="str">
        <f aca="false">IFERROR(__xludf.dummyfunction("IMPORTRANGE('ТехническийЛист'!$B$1,""список!D""&amp;'ТехническийЛист'!$A173)"),"Есть доступ")</f>
        <v>Есть доступ</v>
      </c>
      <c r="E172" s="3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23.25" hidden="false" customHeight="true" outlineLevel="0" collapsed="false">
      <c r="A173" s="3" t="s">
        <v>336</v>
      </c>
      <c r="B173" s="3" t="s">
        <v>336</v>
      </c>
      <c r="C173" s="3" t="n">
        <f aca="false">IF(B173="","",SUMIF(Отзывы!$C:$C,$B173,Отзывы!$F:$F)+ТехническийЛист!$C$1)</f>
        <v>62</v>
      </c>
      <c r="D173" s="3" t="str">
        <f aca="false">IFERROR(__xludf.dummyfunction("IMPORTRANGE('ТехническийЛист'!$B$1,""список!D""&amp;'ТехническийЛист'!$A174)"),"Есть доступ")</f>
        <v>Есть доступ</v>
      </c>
      <c r="E173" s="3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23.25" hidden="false" customHeight="true" outlineLevel="0" collapsed="false">
      <c r="A174" s="3" t="s">
        <v>337</v>
      </c>
      <c r="B174" s="3" t="s">
        <v>338</v>
      </c>
      <c r="C174" s="3" t="n">
        <f aca="false">IF(B174="","",SUMIF(Отзывы!$C:$C,$B174,Отзывы!$F:$F)+ТехническийЛист!$C$1)</f>
        <v>45</v>
      </c>
      <c r="D174" s="3" t="str">
        <f aca="false">IFERROR(__xludf.dummyfunction("IMPORTRANGE('ТехническийЛист'!$B$1,""список!D""&amp;'ТехническийЛист'!$A175)"),"Есть доступ")</f>
        <v>Есть доступ</v>
      </c>
      <c r="E174" s="3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23.25" hidden="false" customHeight="true" outlineLevel="0" collapsed="false">
      <c r="A175" s="3" t="s">
        <v>339</v>
      </c>
      <c r="B175" s="3" t="s">
        <v>340</v>
      </c>
      <c r="C175" s="3" t="n">
        <f aca="false">IF(B175="","",SUMIF(Отзывы!$C:$C,$B175,Отзывы!$F:$F)+ТехническийЛист!$C$1)</f>
        <v>10</v>
      </c>
      <c r="D175" s="3" t="str">
        <f aca="false">IFERROR(__xludf.dummyfunction("IMPORTRANGE('ТехническийЛист'!$B$1,""список!D""&amp;'ТехническийЛист'!$A176)"),"Есть доступ")</f>
        <v>Есть доступ</v>
      </c>
      <c r="E175" s="3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23.25" hidden="false" customHeight="true" outlineLevel="0" collapsed="false">
      <c r="A176" s="3" t="s">
        <v>341</v>
      </c>
      <c r="B176" s="3" t="s">
        <v>342</v>
      </c>
      <c r="C176" s="3" t="n">
        <f aca="false">IF(B176="","",SUMIF(Отзывы!$C:$C,$B176,Отзывы!$F:$F)+ТехническийЛист!$C$1)</f>
        <v>10</v>
      </c>
      <c r="D176" s="3" t="str">
        <f aca="false">IFERROR(__xludf.dummyfunction("IMPORTRANGE('ТехническийЛист'!$B$1,""список!D""&amp;'ТехническийЛист'!$A177)"),"Есть доступ")</f>
        <v>Есть доступ</v>
      </c>
      <c r="E176" s="3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23.25" hidden="false" customHeight="true" outlineLevel="0" collapsed="false">
      <c r="A177" s="3" t="s">
        <v>343</v>
      </c>
      <c r="B177" s="3" t="s">
        <v>343</v>
      </c>
      <c r="C177" s="3" t="n">
        <f aca="false">IF(B177="","",SUMIF(Отзывы!$C:$C,$B177,Отзывы!$F:$F)+ТехническийЛист!$C$1)</f>
        <v>0</v>
      </c>
      <c r="D177" s="3" t="str">
        <f aca="false">IFERROR(__xludf.dummyfunction("IMPORTRANGE('ТехническийЛист'!$B$1,""список!D""&amp;'ТехническийЛист'!$A178)"),"Нет доступа")</f>
        <v>Нет доступа</v>
      </c>
      <c r="E177" s="3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23.25" hidden="false" customHeight="true" outlineLevel="0" collapsed="false">
      <c r="A178" s="3" t="s">
        <v>344</v>
      </c>
      <c r="B178" s="3" t="s">
        <v>345</v>
      </c>
      <c r="C178" s="3" t="n">
        <f aca="false">IF(B178="","",SUMIF(Отзывы!$C:$C,$B178,Отзывы!$F:$F)+ТехническийЛист!$C$1)</f>
        <v>50</v>
      </c>
      <c r="D178" s="3" t="str">
        <f aca="false">IFERROR(__xludf.dummyfunction("IMPORTRANGE('ТехническийЛист'!$B$1,""список!D""&amp;'ТехническийЛист'!$A179)"),"Есть доступ")</f>
        <v>Есть доступ</v>
      </c>
      <c r="E178" s="3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23.25" hidden="false" customHeight="true" outlineLevel="0" collapsed="false">
      <c r="A179" s="3" t="s">
        <v>346</v>
      </c>
      <c r="B179" s="3" t="s">
        <v>347</v>
      </c>
      <c r="C179" s="3" t="n">
        <f aca="false">IF(B179="","",SUMIF(Отзывы!$C:$C,$B179,Отзывы!$F:$F)+ТехническийЛист!$C$1)</f>
        <v>46</v>
      </c>
      <c r="D179" s="3" t="str">
        <f aca="false">IFERROR(__xludf.dummyfunction("IMPORTRANGE('ТехническийЛист'!$B$1,""список!D""&amp;'ТехническийЛист'!$A180)"),"Есть доступ")</f>
        <v>Есть доступ</v>
      </c>
      <c r="E179" s="3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23.25" hidden="false" customHeight="true" outlineLevel="0" collapsed="false">
      <c r="A180" s="3" t="s">
        <v>348</v>
      </c>
      <c r="B180" s="3" t="s">
        <v>349</v>
      </c>
      <c r="C180" s="3" t="n">
        <f aca="false">IF(B180="","",SUMIF(Отзывы!$C:$C,$B180,Отзывы!$F:$F)+ТехническийЛист!$C$1)</f>
        <v>50</v>
      </c>
      <c r="D180" s="3" t="str">
        <f aca="false">IFERROR(__xludf.dummyfunction("IMPORTRANGE('ТехническийЛист'!$B$1,""список!D""&amp;'ТехническийЛист'!$A181)"),"Есть доступ")</f>
        <v>Есть доступ</v>
      </c>
      <c r="E180" s="3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23.25" hidden="false" customHeight="true" outlineLevel="0" collapsed="false">
      <c r="A181" s="7" t="s">
        <v>350</v>
      </c>
      <c r="B181" s="2" t="s">
        <v>351</v>
      </c>
      <c r="C181" s="3" t="n">
        <f aca="false">IF(B181="","",SUMIF(Отзывы!$C:$C,$B181,Отзывы!$F:$F)+ТехническийЛист!$C$1)</f>
        <v>30</v>
      </c>
      <c r="D181" s="3" t="str">
        <f aca="false">IFERROR(__xludf.dummyfunction("IMPORTRANGE('ТехническийЛист'!$B$1,""список!D""&amp;'ТехническийЛист'!$A182)"),"Есть доступ")</f>
        <v>Есть доступ</v>
      </c>
      <c r="E181" s="3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23.25" hidden="false" customHeight="true" outlineLevel="0" collapsed="false">
      <c r="A182" s="3" t="s">
        <v>352</v>
      </c>
      <c r="B182" s="3" t="s">
        <v>353</v>
      </c>
      <c r="C182" s="3" t="n">
        <f aca="false">IF(B182="","",SUMIF(Отзывы!$C:$C,$B182,Отзывы!$F:$F)+ТехническийЛист!$C$1)</f>
        <v>45</v>
      </c>
      <c r="D182" s="3" t="str">
        <f aca="false">IFERROR(__xludf.dummyfunction("IMPORTRANGE('ТехническийЛист'!$B$1,""список!D""&amp;'ТехническийЛист'!$A183)"),"Есть доступ")</f>
        <v>Есть доступ</v>
      </c>
      <c r="E182" s="3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23.25" hidden="false" customHeight="true" outlineLevel="0" collapsed="false">
      <c r="A183" s="3" t="s">
        <v>354</v>
      </c>
      <c r="B183" s="3" t="s">
        <v>355</v>
      </c>
      <c r="C183" s="3" t="n">
        <f aca="false">IF(B183="","",SUMIF(Отзывы!$C:$C,$B183,Отзывы!$F:$F)+ТехническийЛист!$C$1)</f>
        <v>50</v>
      </c>
      <c r="D183" s="3" t="str">
        <f aca="false">IFERROR(__xludf.dummyfunction("IMPORTRANGE('ТехническийЛист'!$B$1,""список!D""&amp;'ТехническийЛист'!$A184)"),"Есть доступ")</f>
        <v>Есть доступ</v>
      </c>
      <c r="E183" s="3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23.25" hidden="false" customHeight="true" outlineLevel="0" collapsed="false">
      <c r="A184" s="3" t="s">
        <v>356</v>
      </c>
      <c r="B184" s="3" t="s">
        <v>357</v>
      </c>
      <c r="C184" s="3" t="n">
        <f aca="false">IF(B184="","",SUMIF(Отзывы!$C:$C,$B184,Отзывы!$F:$F)+ТехническийЛист!$C$1)</f>
        <v>50</v>
      </c>
      <c r="D184" s="3" t="str">
        <f aca="false">IFERROR(__xludf.dummyfunction("IMPORTRANGE('ТехническийЛист'!$B$1,""список!D""&amp;'ТехническийЛист'!$A185)"),"Есть доступ")</f>
        <v>Есть доступ</v>
      </c>
      <c r="E184" s="3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23.25" hidden="false" customHeight="true" outlineLevel="0" collapsed="false">
      <c r="A185" s="3" t="s">
        <v>358</v>
      </c>
      <c r="B185" s="3" t="s">
        <v>359</v>
      </c>
      <c r="C185" s="3" t="n">
        <f aca="false">IF(B185="","",SUMIF(Отзывы!$C:$C,$B185,Отзывы!$F:$F)+ТехническийЛист!$C$1)</f>
        <v>20</v>
      </c>
      <c r="D185" s="3" t="str">
        <f aca="false">IFERROR(__xludf.dummyfunction("IMPORTRANGE('ТехническийЛист'!$B$1,""список!D""&amp;'ТехническийЛист'!$A186)"),"Есть доступ")</f>
        <v>Есть доступ</v>
      </c>
      <c r="E185" s="3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23.25" hidden="false" customHeight="true" outlineLevel="0" collapsed="false">
      <c r="A186" s="3" t="s">
        <v>360</v>
      </c>
      <c r="B186" s="3" t="s">
        <v>361</v>
      </c>
      <c r="C186" s="3" t="n">
        <f aca="false">IF(B186="","",SUMIF(Отзывы!$C:$C,$B186,Отзывы!$F:$F)+ТехническийЛист!$C$1)</f>
        <v>50</v>
      </c>
      <c r="D186" s="3" t="str">
        <f aca="false">IFERROR(__xludf.dummyfunction("IMPORTRANGE('ТехническийЛист'!$B$1,""список!D""&amp;'ТехническийЛист'!$A187)"),"Есть доступ")</f>
        <v>Есть доступ</v>
      </c>
      <c r="E186" s="3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23.25" hidden="false" customHeight="true" outlineLevel="0" collapsed="false">
      <c r="A187" s="7" t="s">
        <v>362</v>
      </c>
      <c r="B187" s="2" t="s">
        <v>363</v>
      </c>
      <c r="C187" s="3" t="n">
        <f aca="false">IF(B187="","",SUMIF(Отзывы!$C:$C,$B187,Отзывы!$F:$F)+ТехническийЛист!$C$1)</f>
        <v>77</v>
      </c>
      <c r="D187" s="3" t="str">
        <f aca="false">IFERROR(__xludf.dummyfunction("IMPORTRANGE('ТехническийЛист'!$B$1,""список!D""&amp;'ТехническийЛист'!$A188)"),"Есть доступ")</f>
        <v>Есть доступ</v>
      </c>
      <c r="E187" s="3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23.25" hidden="false" customHeight="true" outlineLevel="0" collapsed="false">
      <c r="A188" s="7" t="s">
        <v>364</v>
      </c>
      <c r="B188" s="7" t="s">
        <v>365</v>
      </c>
      <c r="C188" s="3" t="n">
        <f aca="false">IF(B188="","",SUMIF(Отзывы!$C:$C,$B188,Отзывы!$F:$F)+ТехническийЛист!$C$1)</f>
        <v>52</v>
      </c>
      <c r="D188" s="3" t="str">
        <f aca="false">IFERROR(__xludf.dummyfunction("IMPORTRANGE('ТехническийЛист'!$B$1,""список!D""&amp;'ТехническийЛист'!$A189)"),"Есть доступ")</f>
        <v>Есть доступ</v>
      </c>
      <c r="E188" s="16" t="s">
        <v>366</v>
      </c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23.25" hidden="false" customHeight="true" outlineLevel="0" collapsed="false">
      <c r="A189" s="3" t="s">
        <v>367</v>
      </c>
      <c r="B189" s="3" t="s">
        <v>368</v>
      </c>
      <c r="C189" s="3" t="n">
        <f aca="false">IF(B189="","",SUMIF(Отзывы!$C:$C,$B189,Отзывы!$F:$F)+ТехническийЛист!$C$1)</f>
        <v>50</v>
      </c>
      <c r="D189" s="3" t="str">
        <f aca="false">IFERROR(__xludf.dummyfunction("IMPORTRANGE('ТехническийЛист'!$B$1,""список!D""&amp;'ТехническийЛист'!$A190)"),"Есть доступ")</f>
        <v>Есть доступ</v>
      </c>
      <c r="E189" s="3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23.25" hidden="false" customHeight="true" outlineLevel="0" collapsed="false">
      <c r="A190" s="3" t="s">
        <v>369</v>
      </c>
      <c r="B190" s="3" t="s">
        <v>370</v>
      </c>
      <c r="C190" s="3" t="n">
        <f aca="false">IF(B190="","",SUMIF(Отзывы!$C:$C,$B190,Отзывы!$F:$F)+ТехническийЛист!$C$1)</f>
        <v>52</v>
      </c>
      <c r="D190" s="3" t="str">
        <f aca="false">IFERROR(__xludf.dummyfunction("IMPORTRANGE('ТехническийЛист'!$B$1,""список!D""&amp;'ТехническийЛист'!$A191)"),"Есть доступ")</f>
        <v>Есть доступ</v>
      </c>
      <c r="E190" s="3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23.25" hidden="false" customHeight="true" outlineLevel="0" collapsed="false">
      <c r="A191" s="3" t="s">
        <v>371</v>
      </c>
      <c r="B191" s="5" t="s">
        <v>372</v>
      </c>
      <c r="C191" s="3" t="n">
        <f aca="false">IF(B191="","",SUMIF(Отзывы!$C:$C,$B191,Отзывы!$F:$F)+ТехническийЛист!$C$1)</f>
        <v>50</v>
      </c>
      <c r="D191" s="3" t="str">
        <f aca="false">IFERROR(__xludf.dummyfunction("IMPORTRANGE('ТехническийЛист'!$B$1,""список!D""&amp;'ТехническийЛист'!$A192)"),"Есть доступ")</f>
        <v>Есть доступ</v>
      </c>
      <c r="E191" s="3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23.25" hidden="false" customHeight="true" outlineLevel="0" collapsed="false">
      <c r="A192" s="3" t="s">
        <v>373</v>
      </c>
      <c r="B192" s="3" t="s">
        <v>374</v>
      </c>
      <c r="C192" s="3" t="n">
        <f aca="false">IF(B192="","",SUMIF(Отзывы!$C:$C,$B192,Отзывы!$F:$F)+ТехническийЛист!$C$1)</f>
        <v>79</v>
      </c>
      <c r="D192" s="3" t="str">
        <f aca="false">IFERROR(__xludf.dummyfunction("IMPORTRANGE('ТехническийЛист'!$B$1,""список!D""&amp;'ТехническийЛист'!$A193)"),"Есть доступ")</f>
        <v>Есть доступ</v>
      </c>
      <c r="E192" s="3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23.25" hidden="false" customHeight="true" outlineLevel="0" collapsed="false">
      <c r="A193" s="17" t="s">
        <v>375</v>
      </c>
      <c r="B193" s="7" t="s">
        <v>375</v>
      </c>
      <c r="C193" s="3" t="n">
        <f aca="false">IF(B193="","",SUMIF(Отзывы!$C:$C,$B193,Отзывы!$F:$F)+ТехническийЛист!$C$1)</f>
        <v>56</v>
      </c>
      <c r="D193" s="3" t="str">
        <f aca="false">IFERROR(__xludf.dummyfunction("IMPORTRANGE('ТехническийЛист'!$B$1,""список!D""&amp;'ТехническийЛист'!$A194)"),"Есть доступ")</f>
        <v>Есть доступ</v>
      </c>
      <c r="E193" s="3" t="s">
        <v>376</v>
      </c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23.25" hidden="false" customHeight="true" outlineLevel="0" collapsed="false">
      <c r="A194" s="3" t="s">
        <v>377</v>
      </c>
      <c r="B194" s="7" t="s">
        <v>378</v>
      </c>
      <c r="C194" s="3" t="n">
        <f aca="false">IF(B194="","",SUMIF(Отзывы!$C:$C,$B194,Отзывы!$F:$F)+ТехническийЛист!$C$1)</f>
        <v>50</v>
      </c>
      <c r="D194" s="3" t="str">
        <f aca="false">IFERROR(__xludf.dummyfunction("IMPORTRANGE('ТехническийЛист'!$B$1,""список!D""&amp;'ТехническийЛист'!$A195)"),"Есть доступ")</f>
        <v>Есть доступ</v>
      </c>
      <c r="E194" s="3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23.25" hidden="false" customHeight="true" outlineLevel="0" collapsed="false">
      <c r="A195" s="17" t="s">
        <v>379</v>
      </c>
      <c r="B195" s="17" t="s">
        <v>380</v>
      </c>
      <c r="C195" s="3" t="n">
        <f aca="false">IF(B195="","",SUMIF(Отзывы!$C:$C,$B195,Отзывы!$F:$F)+ТехническийЛист!$C$1)</f>
        <v>50</v>
      </c>
      <c r="D195" s="3" t="str">
        <f aca="false">IFERROR(__xludf.dummyfunction("IMPORTRANGE('ТехническийЛист'!$B$1,""список!D""&amp;'ТехническийЛист'!$A196)"),"Есть доступ")</f>
        <v>Есть доступ</v>
      </c>
      <c r="E195" s="3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23.25" hidden="false" customHeight="true" outlineLevel="0" collapsed="false">
      <c r="A196" s="3" t="s">
        <v>381</v>
      </c>
      <c r="B196" s="3" t="s">
        <v>382</v>
      </c>
      <c r="C196" s="3" t="n">
        <f aca="false">IF(B196="","",SUMIF(Отзывы!$C:$C,$B196,Отзывы!$F:$F)+ТехническийЛист!$C$1)</f>
        <v>50</v>
      </c>
      <c r="D196" s="3" t="str">
        <f aca="false">IFERROR(__xludf.dummyfunction("IMPORTRANGE('ТехническийЛист'!$B$1,""список!D""&amp;'ТехническийЛист'!$A197)"),"Есть доступ")</f>
        <v>Есть доступ</v>
      </c>
      <c r="E196" s="3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23.25" hidden="false" customHeight="true" outlineLevel="0" collapsed="false">
      <c r="A197" s="3" t="s">
        <v>383</v>
      </c>
      <c r="B197" s="3" t="s">
        <v>384</v>
      </c>
      <c r="C197" s="3" t="n">
        <f aca="false">IF(B197="","",SUMIF(Отзывы!$C:$C,$B197,Отзывы!$F:$F)+ТехническийЛист!$C$1)</f>
        <v>51</v>
      </c>
      <c r="D197" s="3" t="str">
        <f aca="false">IFERROR(__xludf.dummyfunction("IMPORTRANGE('ТехническийЛист'!$B$1,""список!D""&amp;'ТехническийЛист'!$A198)"),"Есть доступ")</f>
        <v>Есть доступ</v>
      </c>
      <c r="E197" s="3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23.25" hidden="false" customHeight="true" outlineLevel="0" collapsed="false">
      <c r="A198" s="2" t="s">
        <v>385</v>
      </c>
      <c r="B198" s="2" t="s">
        <v>385</v>
      </c>
      <c r="C198" s="3" t="n">
        <f aca="false">IF(B198="","",SUMIF(Отзывы!$C:$C,$B198,Отзывы!$F:$F)+ТехническийЛист!$C$1)</f>
        <v>52</v>
      </c>
      <c r="D198" s="3" t="str">
        <f aca="false">IFERROR(__xludf.dummyfunction("IMPORTRANGE('ТехническийЛист'!$B$1,""список!D""&amp;'ТехническийЛист'!$A199)"),"Есть доступ")</f>
        <v>Есть доступ</v>
      </c>
      <c r="E198" s="3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23.25" hidden="false" customHeight="true" outlineLevel="0" collapsed="false">
      <c r="A199" s="3" t="s">
        <v>386</v>
      </c>
      <c r="B199" s="3" t="s">
        <v>387</v>
      </c>
      <c r="C199" s="3" t="n">
        <f aca="false">IF(B199="","",SUMIF(Отзывы!$C:$C,$B199,Отзывы!$F:$F)+ТехническийЛист!$C$1)</f>
        <v>60</v>
      </c>
      <c r="D199" s="3" t="str">
        <f aca="false">IFERROR(__xludf.dummyfunction("IMPORTRANGE('ТехническийЛист'!$B$1,""список!D""&amp;'ТехническийЛист'!$A200)"),"Есть доступ")</f>
        <v>Есть доступ</v>
      </c>
      <c r="E199" s="3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23.25" hidden="false" customHeight="true" outlineLevel="0" collapsed="false">
      <c r="A200" s="3" t="s">
        <v>388</v>
      </c>
      <c r="B200" s="3" t="s">
        <v>389</v>
      </c>
      <c r="C200" s="3" t="n">
        <f aca="false">IF(B200="","",SUMIF(Отзывы!$C:$C,$B200,Отзывы!$F:$F)+ТехническийЛист!$C$1)</f>
        <v>63</v>
      </c>
      <c r="D200" s="3" t="str">
        <f aca="false">IFERROR(__xludf.dummyfunction("IMPORTRANGE('ТехническийЛист'!$B$1,""список!D""&amp;'ТехническийЛист'!$A201)"),"Есть доступ")</f>
        <v>Есть доступ</v>
      </c>
      <c r="E200" s="3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23.25" hidden="false" customHeight="true" outlineLevel="0" collapsed="false">
      <c r="A201" s="3" t="s">
        <v>390</v>
      </c>
      <c r="B201" s="3" t="s">
        <v>391</v>
      </c>
      <c r="C201" s="3" t="n">
        <f aca="false">IF(B201="","",SUMIF(Отзывы!$C:$C,$B201,Отзывы!$F:$F)+ТехническийЛист!$C$1)</f>
        <v>50</v>
      </c>
      <c r="D201" s="3" t="str">
        <f aca="false">IFERROR(__xludf.dummyfunction("IMPORTRANGE('ТехническийЛист'!$B$1,""список!D""&amp;'ТехническийЛист'!$A202)"),"Есть доступ")</f>
        <v>Есть доступ</v>
      </c>
      <c r="E201" s="3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23.25" hidden="false" customHeight="true" outlineLevel="0" collapsed="false">
      <c r="A202" s="3" t="s">
        <v>392</v>
      </c>
      <c r="B202" s="3" t="s">
        <v>393</v>
      </c>
      <c r="C202" s="3" t="n">
        <f aca="false">IF(B202="","",SUMIF(Отзывы!$C:$C,$B202,Отзывы!$F:$F)+ТехническийЛист!$C$1)</f>
        <v>50</v>
      </c>
      <c r="D202" s="3" t="str">
        <f aca="false">IFERROR(__xludf.dummyfunction("IMPORTRANGE('ТехническийЛист'!$B$1,""список!D""&amp;'ТехническийЛист'!$A203)"),"Есть доступ")</f>
        <v>Есть доступ</v>
      </c>
      <c r="E202" s="3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23.25" hidden="false" customHeight="true" outlineLevel="0" collapsed="false">
      <c r="A203" s="3" t="s">
        <v>394</v>
      </c>
      <c r="B203" s="3" t="s">
        <v>395</v>
      </c>
      <c r="C203" s="3" t="n">
        <f aca="false">IF(B203="","",SUMIF(Отзывы!$C:$C,$B203,Отзывы!$F:$F)+ТехническийЛист!$C$1)</f>
        <v>60</v>
      </c>
      <c r="D203" s="3" t="str">
        <f aca="false">IFERROR(__xludf.dummyfunction("IMPORTRANGE('ТехническийЛист'!$B$1,""список!D""&amp;'ТехническийЛист'!$A204)"),"Есть доступ")</f>
        <v>Есть доступ</v>
      </c>
      <c r="E203" s="3"/>
      <c r="F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23.25" hidden="false" customHeight="true" outlineLevel="0" collapsed="false">
      <c r="A204" s="3" t="s">
        <v>396</v>
      </c>
      <c r="B204" s="3" t="s">
        <v>397</v>
      </c>
      <c r="C204" s="3" t="n">
        <f aca="false">IF(B204="","",SUMIF(Отзывы!$C:$C,$B204,Отзывы!$F:$F)+ТехническийЛист!$C$1)</f>
        <v>55</v>
      </c>
      <c r="D204" s="3" t="str">
        <f aca="false">IFERROR(__xludf.dummyfunction("IMPORTRANGE('ТехническийЛист'!$B$1,""список!D""&amp;'ТехническийЛист'!$A205)"),"Есть доступ")</f>
        <v>Есть доступ</v>
      </c>
      <c r="E204" s="3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23.25" hidden="false" customHeight="true" outlineLevel="0" collapsed="false">
      <c r="A205" s="3" t="s">
        <v>398</v>
      </c>
      <c r="B205" s="3" t="s">
        <v>399</v>
      </c>
      <c r="C205" s="3" t="n">
        <f aca="false">IF(B205="","",SUMIF(Отзывы!$C:$C,$B205,Отзывы!$F:$F)+ТехническийЛист!$C$1)</f>
        <v>60</v>
      </c>
      <c r="D205" s="3" t="str">
        <f aca="false">IFERROR(__xludf.dummyfunction("IMPORTRANGE('ТехническийЛист'!$B$1,""список!D""&amp;'ТехническийЛист'!$A206)"),"Есть доступ")</f>
        <v>Есть доступ</v>
      </c>
      <c r="E205" s="3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23.25" hidden="false" customHeight="true" outlineLevel="0" collapsed="false">
      <c r="A206" s="3" t="s">
        <v>400</v>
      </c>
      <c r="B206" s="3" t="s">
        <v>401</v>
      </c>
      <c r="C206" s="3" t="n">
        <f aca="false">IF(B206="","",SUMIF(Отзывы!$C:$C,$B206,Отзывы!$F:$F)+ТехническийЛист!$C$1)</f>
        <v>50</v>
      </c>
      <c r="D206" s="3" t="str">
        <f aca="false">IFERROR(__xludf.dummyfunction("IMPORTRANGE('ТехническийЛист'!$B$1,""список!D""&amp;'ТехническийЛист'!$A207)"),"Есть доступ")</f>
        <v>Есть доступ</v>
      </c>
      <c r="E206" s="3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23.25" hidden="false" customHeight="true" outlineLevel="0" collapsed="false">
      <c r="A207" s="3" t="s">
        <v>402</v>
      </c>
      <c r="B207" s="3" t="s">
        <v>403</v>
      </c>
      <c r="C207" s="3" t="n">
        <f aca="false">IF(B207="","",SUMIF(Отзывы!$C:$C,$B207,Отзывы!$F:$F)+ТехническийЛист!$C$1)</f>
        <v>60</v>
      </c>
      <c r="D207" s="3" t="str">
        <f aca="false">IFERROR(__xludf.dummyfunction("IMPORTRANGE('ТехническийЛист'!$B$1,""список!D""&amp;'ТехническийЛист'!$A208)"),"Есть доступ")</f>
        <v>Есть доступ</v>
      </c>
      <c r="E207" s="3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23.25" hidden="false" customHeight="true" outlineLevel="0" collapsed="false">
      <c r="A208" s="3" t="s">
        <v>404</v>
      </c>
      <c r="B208" s="3" t="s">
        <v>404</v>
      </c>
      <c r="C208" s="3" t="n">
        <f aca="false">IF(B208="","",SUMIF(Отзывы!$C:$C,$B208,Отзывы!$F:$F)+ТехническийЛист!$C$1)</f>
        <v>50</v>
      </c>
      <c r="D208" s="3" t="str">
        <f aca="false">IFERROR(__xludf.dummyfunction("IMPORTRANGE('ТехническийЛист'!$B$1,""список!D""&amp;'ТехническийЛист'!$A209)"),"Есть доступ")</f>
        <v>Есть доступ</v>
      </c>
      <c r="E208" s="3" t="s">
        <v>405</v>
      </c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23.25" hidden="false" customHeight="true" outlineLevel="0" collapsed="false">
      <c r="A209" s="3" t="s">
        <v>406</v>
      </c>
      <c r="B209" s="3" t="s">
        <v>407</v>
      </c>
      <c r="C209" s="3" t="n">
        <f aca="false">IF(B209="","",SUMIF(Отзывы!$C:$C,$B209,Отзывы!$F:$F)+ТехническийЛист!$C$1)</f>
        <v>50</v>
      </c>
      <c r="D209" s="3" t="str">
        <f aca="false">IFERROR(__xludf.dummyfunction("IMPORTRANGE('ТехническийЛист'!$B$1,""список!D""&amp;'ТехническийЛист'!$A210)"),"Есть доступ")</f>
        <v>Есть доступ</v>
      </c>
      <c r="E209" s="3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23.25" hidden="false" customHeight="true" outlineLevel="0" collapsed="false">
      <c r="A210" s="3" t="s">
        <v>408</v>
      </c>
      <c r="B210" s="3" t="s">
        <v>408</v>
      </c>
      <c r="C210" s="3" t="n">
        <f aca="false">IF(B210="","",SUMIF(Отзывы!$C:$C,$B210,Отзывы!$F:$F)+ТехническийЛист!$C$1)</f>
        <v>50</v>
      </c>
      <c r="D210" s="3" t="str">
        <f aca="false">IFERROR(__xludf.dummyfunction("IMPORTRANGE('ТехническийЛист'!$B$1,""список!D""&amp;'ТехническийЛист'!$A211)"),"Есть доступ")</f>
        <v>Есть доступ</v>
      </c>
      <c r="E210" s="3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23.25" hidden="false" customHeight="true" outlineLevel="0" collapsed="false">
      <c r="A211" s="3" t="s">
        <v>409</v>
      </c>
      <c r="B211" s="3" t="s">
        <v>410</v>
      </c>
      <c r="C211" s="3" t="n">
        <f aca="false">IF(B211="","",SUMIF(Отзывы!$C:$C,$B211,Отзывы!$F:$F)+ТехническийЛист!$C$1)</f>
        <v>68</v>
      </c>
      <c r="D211" s="3" t="str">
        <f aca="false">IFERROR(__xludf.dummyfunction("IMPORTRANGE('ТехническийЛист'!$B$1,""список!D""&amp;'ТехническийЛист'!$A212)"),"Есть доступ")</f>
        <v>Есть доступ</v>
      </c>
      <c r="E211" s="3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23.25" hidden="false" customHeight="true" outlineLevel="0" collapsed="false">
      <c r="A212" s="3" t="s">
        <v>411</v>
      </c>
      <c r="B212" s="3" t="s">
        <v>411</v>
      </c>
      <c r="C212" s="3" t="n">
        <f aca="false">IF(B212="","",SUMIF(Отзывы!$C:$C,$B212,Отзывы!$F:$F)+ТехническийЛист!$C$1)</f>
        <v>50</v>
      </c>
      <c r="D212" s="3" t="str">
        <f aca="false">IFERROR(__xludf.dummyfunction("IMPORTRANGE('ТехническийЛист'!$B$1,""список!D""&amp;'ТехническийЛист'!$A213)"),"Есть доступ")</f>
        <v>Есть доступ</v>
      </c>
      <c r="E212" s="3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23.25" hidden="false" customHeight="true" outlineLevel="0" collapsed="false">
      <c r="A213" s="3" t="s">
        <v>412</v>
      </c>
      <c r="B213" s="3" t="s">
        <v>412</v>
      </c>
      <c r="C213" s="3" t="n">
        <f aca="false">IF(B213="","",SUMIF(Отзывы!$C:$C,$B213,Отзывы!$F:$F)+ТехническийЛист!$C$1)</f>
        <v>60</v>
      </c>
      <c r="D213" s="3" t="str">
        <f aca="false">IFERROR(__xludf.dummyfunction("IMPORTRANGE('ТехническийЛист'!$B$1,""список!D""&amp;'ТехническийЛист'!$A214)"),"Есть доступ")</f>
        <v>Есть доступ</v>
      </c>
      <c r="E213" s="3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23.25" hidden="false" customHeight="true" outlineLevel="0" collapsed="false">
      <c r="A214" s="3" t="s">
        <v>413</v>
      </c>
      <c r="B214" s="3" t="s">
        <v>414</v>
      </c>
      <c r="C214" s="3" t="n">
        <f aca="false">IF(B214="","",SUMIF(Отзывы!$C:$C,$B214,Отзывы!$F:$F)+ТехническийЛист!$C$1)</f>
        <v>60</v>
      </c>
      <c r="D214" s="3" t="str">
        <f aca="false">IFERROR(__xludf.dummyfunction("IMPORTRANGE('ТехническийЛист'!$B$1,""список!D""&amp;'ТехническийЛист'!$A215)"),"Есть доступ")</f>
        <v>Есть доступ</v>
      </c>
      <c r="E214" s="3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23.25" hidden="false" customHeight="true" outlineLevel="0" collapsed="false">
      <c r="A215" s="3" t="s">
        <v>415</v>
      </c>
      <c r="B215" s="3" t="s">
        <v>416</v>
      </c>
      <c r="C215" s="3" t="n">
        <f aca="false">IF(B215="","",SUMIF(Отзывы!$C:$C,$B215,Отзывы!$F:$F)+ТехническийЛист!$C$1)</f>
        <v>50</v>
      </c>
      <c r="D215" s="3" t="str">
        <f aca="false">IFERROR(__xludf.dummyfunction("IMPORTRANGE('ТехническийЛист'!$B$1,""список!D""&amp;'ТехническийЛист'!$A216)"),"Есть доступ")</f>
        <v>Есть доступ</v>
      </c>
      <c r="E215" s="3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23.25" hidden="false" customHeight="true" outlineLevel="0" collapsed="false">
      <c r="A216" s="3" t="s">
        <v>417</v>
      </c>
      <c r="B216" s="3" t="s">
        <v>417</v>
      </c>
      <c r="C216" s="3" t="n">
        <f aca="false">IF(B216="","",SUMIF(Отзывы!$C:$C,$B216,Отзывы!$F:$F)+ТехническийЛист!$C$1)</f>
        <v>100</v>
      </c>
      <c r="D216" s="3" t="str">
        <f aca="false">IFERROR(__xludf.dummyfunction("IMPORTRANGE('ТехническийЛист'!$B$1,""список!D""&amp;'ТехническийЛист'!$A217)"),"Есть доступ")</f>
        <v>Есть доступ</v>
      </c>
      <c r="E216" s="3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23.25" hidden="false" customHeight="true" outlineLevel="0" collapsed="false">
      <c r="A217" s="3" t="s">
        <v>418</v>
      </c>
      <c r="B217" s="3" t="s">
        <v>418</v>
      </c>
      <c r="C217" s="3" t="n">
        <f aca="false">IF(B217="","",SUMIF(Отзывы!$C:$C,$B217,Отзывы!$F:$F)+ТехническийЛист!$C$1)</f>
        <v>50</v>
      </c>
      <c r="D217" s="3" t="str">
        <f aca="false">IFERROR(__xludf.dummyfunction("IMPORTRANGE('ТехническийЛист'!$B$1,""список!D""&amp;'ТехническийЛист'!$A218)"),"Есть доступ")</f>
        <v>Есть доступ</v>
      </c>
      <c r="E217" s="3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23.25" hidden="false" customHeight="true" outlineLevel="0" collapsed="false">
      <c r="A218" s="3" t="s">
        <v>419</v>
      </c>
      <c r="B218" s="3" t="s">
        <v>420</v>
      </c>
      <c r="C218" s="3" t="n">
        <f aca="false">IF(B218="","",SUMIF(Отзывы!$C:$C,$B218,Отзывы!$F:$F)+ТехническийЛист!$C$1)</f>
        <v>50</v>
      </c>
      <c r="D218" s="3" t="str">
        <f aca="false">IFERROR(__xludf.dummyfunction("IMPORTRANGE('ТехническийЛист'!$B$1,""список!D""&amp;'ТехническийЛист'!$A219)"),"Есть доступ")</f>
        <v>Есть доступ</v>
      </c>
      <c r="E218" s="3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23.25" hidden="false" customHeight="true" outlineLevel="0" collapsed="false">
      <c r="A219" s="3" t="s">
        <v>421</v>
      </c>
      <c r="B219" s="3" t="s">
        <v>422</v>
      </c>
      <c r="C219" s="3" t="n">
        <f aca="false">IF(B219="","",SUMIF(Отзывы!$C:$C,$B219,Отзывы!$F:$F)+ТехническийЛист!$C$1)</f>
        <v>99</v>
      </c>
      <c r="D219" s="3" t="str">
        <f aca="false">IFERROR(__xludf.dummyfunction("IMPORTRANGE('ТехническийЛист'!$B$1,""список!D""&amp;'ТехническийЛист'!$A220)"),"Есть доступ")</f>
        <v>Есть доступ</v>
      </c>
      <c r="E219" s="3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23.25" hidden="false" customHeight="true" outlineLevel="0" collapsed="false">
      <c r="A220" s="3" t="s">
        <v>423</v>
      </c>
      <c r="B220" s="3" t="s">
        <v>423</v>
      </c>
      <c r="C220" s="3" t="n">
        <f aca="false">IF(B220="","",SUMIF(Отзывы!$C:$C,$B220,Отзывы!$F:$F)+ТехническийЛист!$C$1)</f>
        <v>50</v>
      </c>
      <c r="D220" s="3" t="str">
        <f aca="false">IFERROR(__xludf.dummyfunction("IMPORTRANGE('ТехническийЛист'!$B$1,""список!D""&amp;'ТехническийЛист'!$A221)"),"Есть доступ")</f>
        <v>Есть доступ</v>
      </c>
      <c r="E220" s="3" t="s">
        <v>424</v>
      </c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23.25" hidden="false" customHeight="true" outlineLevel="0" collapsed="false">
      <c r="A221" s="3" t="s">
        <v>425</v>
      </c>
      <c r="B221" s="3" t="s">
        <v>426</v>
      </c>
      <c r="C221" s="3" t="n">
        <f aca="false">IF(B221="","",SUMIF(Отзывы!$C:$C,$B221,Отзывы!$F:$F)+ТехническийЛист!$C$1)</f>
        <v>60</v>
      </c>
      <c r="D221" s="3" t="str">
        <f aca="false">IFERROR(__xludf.dummyfunction("IMPORTRANGE('ТехническийЛист'!$B$1,""список!D""&amp;'ТехническийЛист'!$A222)"),"Есть доступ")</f>
        <v>Есть доступ</v>
      </c>
      <c r="E221" s="3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23.25" hidden="false" customHeight="true" outlineLevel="0" collapsed="false">
      <c r="A222" s="3" t="s">
        <v>427</v>
      </c>
      <c r="B222" s="3" t="s">
        <v>428</v>
      </c>
      <c r="C222" s="3" t="n">
        <f aca="false">IF(B222="","",SUMIF(Отзывы!$C:$C,$B222,Отзывы!$F:$F)+ТехническийЛист!$C$1)</f>
        <v>39</v>
      </c>
      <c r="D222" s="3" t="str">
        <f aca="false">IFERROR(__xludf.dummyfunction("IMPORTRANGE('ТехническийЛист'!$B$1,""список!D""&amp;'ТехническийЛист'!$A223)"),"Есть доступ")</f>
        <v>Есть доступ</v>
      </c>
      <c r="E222" s="3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23.25" hidden="false" customHeight="true" outlineLevel="0" collapsed="false">
      <c r="A223" s="3" t="s">
        <v>429</v>
      </c>
      <c r="B223" s="18" t="s">
        <v>430</v>
      </c>
      <c r="C223" s="3" t="n">
        <f aca="false">IF(B223="","",SUMIF(Отзывы!$C:$C,$B223,Отзывы!$F:$F)+ТехническийЛист!$C$1)</f>
        <v>78</v>
      </c>
      <c r="D223" s="3" t="str">
        <f aca="false">IFERROR(__xludf.dummyfunction("IMPORTRANGE('ТехническийЛист'!$B$1,""список!D""&amp;'ТехническийЛист'!$A224)"),"Есть доступ")</f>
        <v>Есть доступ</v>
      </c>
      <c r="E223" s="3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23.25" hidden="false" customHeight="true" outlineLevel="0" collapsed="false">
      <c r="A224" s="3" t="s">
        <v>431</v>
      </c>
      <c r="B224" s="3" t="s">
        <v>431</v>
      </c>
      <c r="C224" s="3" t="n">
        <f aca="false">IF(B224="","",SUMIF(Отзывы!$C:$C,$B224,Отзывы!$F:$F)+ТехническийЛист!$C$1)</f>
        <v>100</v>
      </c>
      <c r="D224" s="3" t="str">
        <f aca="false">IFERROR(__xludf.dummyfunction("IMPORTRANGE('ТехническийЛист'!$B$1,""список!D""&amp;'ТехническийЛист'!$A225)"),"Есть доступ")</f>
        <v>Есть доступ</v>
      </c>
      <c r="E224" s="3" t="s">
        <v>432</v>
      </c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23.25" hidden="false" customHeight="true" outlineLevel="0" collapsed="false">
      <c r="A225" s="3" t="s">
        <v>433</v>
      </c>
      <c r="B225" s="3" t="s">
        <v>434</v>
      </c>
      <c r="C225" s="3" t="n">
        <f aca="false">IF(B225="","",SUMIF(Отзывы!$C:$C,$B225,Отзывы!$F:$F)+ТехническийЛист!$C$1)</f>
        <v>66</v>
      </c>
      <c r="D225" s="3" t="str">
        <f aca="false">IFERROR(__xludf.dummyfunction("IMPORTRANGE('ТехническийЛист'!$B$1,""список!D""&amp;'ТехническийЛист'!$A226)"),"Есть доступ")</f>
        <v>Есть доступ</v>
      </c>
      <c r="E225" s="3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23.25" hidden="false" customHeight="true" outlineLevel="0" collapsed="false">
      <c r="A226" s="3" t="s">
        <v>435</v>
      </c>
      <c r="B226" s="3" t="s">
        <v>436</v>
      </c>
      <c r="C226" s="3" t="n">
        <f aca="false">IF(B226="","",SUMIF(Отзывы!$C:$C,$B226,Отзывы!$F:$F)+ТехническийЛист!$C$1)</f>
        <v>50</v>
      </c>
      <c r="D226" s="3" t="str">
        <f aca="false">IFERROR(__xludf.dummyfunction("IMPORTRANGE('ТехническийЛист'!$B$1,""список!D""&amp;'ТехническийЛист'!$A227)"),"Есть доступ")</f>
        <v>Есть доступ</v>
      </c>
      <c r="E226" s="3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23.25" hidden="false" customHeight="true" outlineLevel="0" collapsed="false">
      <c r="A227" s="3" t="s">
        <v>437</v>
      </c>
      <c r="B227" s="3" t="s">
        <v>438</v>
      </c>
      <c r="C227" s="3" t="n">
        <f aca="false">IF(B227="","",SUMIF(Отзывы!$C:$C,$B227,Отзывы!$F:$F)+ТехническийЛист!$C$1)</f>
        <v>70</v>
      </c>
      <c r="D227" s="3" t="str">
        <f aca="false">IFERROR(__xludf.dummyfunction("IMPORTRANGE('ТехническийЛист'!$B$1,""список!D""&amp;'ТехническийЛист'!$A228)"),"Есть доступ")</f>
        <v>Есть доступ</v>
      </c>
      <c r="E227" s="3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23.25" hidden="false" customHeight="true" outlineLevel="0" collapsed="false">
      <c r="A228" s="3" t="s">
        <v>439</v>
      </c>
      <c r="B228" s="3" t="s">
        <v>440</v>
      </c>
      <c r="C228" s="3" t="n">
        <f aca="false">IF(B228="","",SUMIF(Отзывы!$C:$C,$B228,Отзывы!$F:$F)+ТехническийЛист!$C$1)</f>
        <v>53</v>
      </c>
      <c r="D228" s="3" t="str">
        <f aca="false">IFERROR(__xludf.dummyfunction("IMPORTRANGE('ТехническийЛист'!$B$1,""список!D""&amp;'ТехническийЛист'!$A229)"),"Есть доступ")</f>
        <v>Есть доступ</v>
      </c>
      <c r="E228" s="3" t="s">
        <v>441</v>
      </c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23.25" hidden="false" customHeight="true" outlineLevel="0" collapsed="false">
      <c r="A229" s="3" t="s">
        <v>442</v>
      </c>
      <c r="B229" s="2" t="s">
        <v>443</v>
      </c>
      <c r="C229" s="3" t="n">
        <f aca="false">IF(B229="","",SUMIF(Отзывы!$C:$C,$B229,Отзывы!$F:$F)+ТехническийЛист!$C$1)</f>
        <v>45</v>
      </c>
      <c r="D229" s="3" t="str">
        <f aca="false">IFERROR(__xludf.dummyfunction("IMPORTRANGE('ТехническийЛист'!$B$1,""список!D""&amp;'ТехническийЛист'!$A230)"),"Есть доступ")</f>
        <v>Есть доступ</v>
      </c>
      <c r="E229" s="3" t="s">
        <v>444</v>
      </c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23.25" hidden="false" customHeight="true" outlineLevel="0" collapsed="false">
      <c r="A230" s="3" t="s">
        <v>445</v>
      </c>
      <c r="B230" s="3" t="s">
        <v>446</v>
      </c>
      <c r="C230" s="3" t="n">
        <f aca="false">IF(B230="","",SUMIF(Отзывы!$C:$C,$B230,Отзывы!$F:$F)+ТехническийЛист!$C$1)</f>
        <v>50</v>
      </c>
      <c r="D230" s="3" t="str">
        <f aca="false">IFERROR(__xludf.dummyfunction("IMPORTRANGE('ТехническийЛист'!$B$1,""список!D""&amp;'ТехническийЛист'!$A231)"),"Есть доступ")</f>
        <v>Есть доступ</v>
      </c>
      <c r="E230" s="3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23.25" hidden="false" customHeight="true" outlineLevel="0" collapsed="false">
      <c r="A231" s="3" t="s">
        <v>447</v>
      </c>
      <c r="B231" s="3" t="s">
        <v>448</v>
      </c>
      <c r="C231" s="3" t="n">
        <f aca="false">IF(B231="","",SUMIF(Отзывы!$C:$C,$B231,Отзывы!$F:$F)+ТехническийЛист!$C$1)</f>
        <v>64</v>
      </c>
      <c r="D231" s="3" t="str">
        <f aca="false">IFERROR(__xludf.dummyfunction("IMPORTRANGE('ТехническийЛист'!$B$1,""список!D""&amp;'ТехническийЛист'!$A232)"),"Есть доступ")</f>
        <v>Есть доступ</v>
      </c>
      <c r="E231" s="3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23.25" hidden="false" customHeight="true" outlineLevel="0" collapsed="false">
      <c r="A232" s="3" t="s">
        <v>449</v>
      </c>
      <c r="B232" s="3" t="s">
        <v>450</v>
      </c>
      <c r="C232" s="3" t="n">
        <f aca="false">IF(B232="","",SUMIF(Отзывы!$C:$C,$B232,Отзывы!$F:$F)+ТехническийЛист!$C$1)</f>
        <v>100</v>
      </c>
      <c r="D232" s="3" t="str">
        <f aca="false">IFERROR(__xludf.dummyfunction("IMPORTRANGE('ТехническийЛист'!$B$1,""список!D""&amp;'ТехническийЛист'!$A233)"),"Есть доступ")</f>
        <v>Есть доступ</v>
      </c>
      <c r="E232" s="3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23.25" hidden="false" customHeight="true" outlineLevel="0" collapsed="false">
      <c r="A233" s="3" t="s">
        <v>451</v>
      </c>
      <c r="B233" s="3" t="s">
        <v>451</v>
      </c>
      <c r="C233" s="3" t="n">
        <f aca="false">IF(B233="","",SUMIF(Отзывы!$C:$C,$B233,Отзывы!$F:$F)+ТехническийЛист!$C$1)</f>
        <v>60</v>
      </c>
      <c r="D233" s="3" t="str">
        <f aca="false">IFERROR(__xludf.dummyfunction("IMPORTRANGE('ТехническийЛист'!$B$1,""список!D""&amp;'ТехническийЛист'!$A234)"),"Есть доступ")</f>
        <v>Есть доступ</v>
      </c>
      <c r="E233" s="3" t="s">
        <v>452</v>
      </c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23.25" hidden="false" customHeight="true" outlineLevel="0" collapsed="false">
      <c r="A234" s="3" t="s">
        <v>453</v>
      </c>
      <c r="B234" s="3" t="s">
        <v>454</v>
      </c>
      <c r="C234" s="3" t="n">
        <f aca="false">IF(B234="","",SUMIF(Отзывы!$C:$C,$B234,Отзывы!$F:$F)+ТехническийЛист!$C$1)</f>
        <v>61</v>
      </c>
      <c r="D234" s="3" t="str">
        <f aca="false">IFERROR(__xludf.dummyfunction("IMPORTRANGE('ТехническийЛист'!$B$1,""список!D""&amp;'ТехническийЛист'!$A235)"),"Есть доступ")</f>
        <v>Есть доступ</v>
      </c>
      <c r="E234" s="3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23.25" hidden="false" customHeight="true" outlineLevel="0" collapsed="false">
      <c r="A235" s="3" t="s">
        <v>455</v>
      </c>
      <c r="B235" s="3" t="s">
        <v>456</v>
      </c>
      <c r="C235" s="3" t="n">
        <f aca="false">IF(B235="","",SUMIF(Отзывы!$C:$C,$B235,Отзывы!$F:$F)+ТехническийЛист!$C$1)</f>
        <v>60</v>
      </c>
      <c r="D235" s="3" t="str">
        <f aca="false">IFERROR(__xludf.dummyfunction("IMPORTRANGE('ТехническийЛист'!$B$1,""список!D""&amp;'ТехническийЛист'!$A236)"),"Есть доступ")</f>
        <v>Есть доступ</v>
      </c>
      <c r="E235" s="3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23.25" hidden="false" customHeight="true" outlineLevel="0" collapsed="false">
      <c r="A236" s="3" t="s">
        <v>457</v>
      </c>
      <c r="B236" s="3" t="s">
        <v>458</v>
      </c>
      <c r="C236" s="3" t="n">
        <f aca="false">IF(B236="","",SUMIF(Отзывы!$C:$C,$B236,Отзывы!$F:$F)+ТехническийЛист!$C$1)</f>
        <v>50</v>
      </c>
      <c r="D236" s="3" t="str">
        <f aca="false">IFERROR(__xludf.dummyfunction("IMPORTRANGE('ТехническийЛист'!$B$1,""список!D""&amp;'ТехническийЛист'!$A237)"),"Есть доступ")</f>
        <v>Есть доступ</v>
      </c>
      <c r="E236" s="3" t="s">
        <v>459</v>
      </c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23.25" hidden="false" customHeight="true" outlineLevel="0" collapsed="false">
      <c r="A237" s="3" t="s">
        <v>460</v>
      </c>
      <c r="B237" s="3" t="s">
        <v>461</v>
      </c>
      <c r="C237" s="3" t="n">
        <f aca="false">IF(B237="","",SUMIF(Отзывы!$C:$C,$B237,Отзывы!$F:$F)+ТехническийЛист!$C$1)</f>
        <v>35</v>
      </c>
      <c r="D237" s="3" t="str">
        <f aca="false">IFERROR(__xludf.dummyfunction("IMPORTRANGE('ТехническийЛист'!$B$1,""список!D""&amp;'ТехническийЛист'!$A238)"),"Есть доступ")</f>
        <v>Есть доступ</v>
      </c>
      <c r="E237" s="3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23.25" hidden="false" customHeight="true" outlineLevel="0" collapsed="false">
      <c r="A238" s="3" t="s">
        <v>462</v>
      </c>
      <c r="B238" s="3" t="s">
        <v>463</v>
      </c>
      <c r="C238" s="3" t="n">
        <f aca="false">IF(B238="","",SUMIF(Отзывы!$C:$C,$B238,Отзывы!$F:$F)+ТехническийЛист!$C$1)</f>
        <v>55</v>
      </c>
      <c r="D238" s="3" t="str">
        <f aca="false">IFERROR(__xludf.dummyfunction("IMPORTRANGE('ТехническийЛист'!$B$1,""список!D""&amp;'ТехническийЛист'!$A239)"),"Есть доступ")</f>
        <v>Есть доступ</v>
      </c>
      <c r="E238" s="3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23.25" hidden="false" customHeight="true" outlineLevel="0" collapsed="false">
      <c r="A239" s="3" t="s">
        <v>464</v>
      </c>
      <c r="B239" s="3" t="s">
        <v>465</v>
      </c>
      <c r="C239" s="3" t="n">
        <f aca="false">IF(B239="","",SUMIF(Отзывы!$C:$C,$B239,Отзывы!$F:$F)+ТехническийЛист!$C$1)</f>
        <v>62</v>
      </c>
      <c r="D239" s="3" t="str">
        <f aca="false">IFERROR(__xludf.dummyfunction("IMPORTRANGE('ТехническийЛист'!$B$1,""список!D""&amp;'ТехническийЛист'!$A240)"),"Есть доступ")</f>
        <v>Есть доступ</v>
      </c>
      <c r="E239" s="3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23.25" hidden="false" customHeight="true" outlineLevel="0" collapsed="false">
      <c r="A240" s="3" t="s">
        <v>466</v>
      </c>
      <c r="B240" s="3" t="s">
        <v>467</v>
      </c>
      <c r="C240" s="3" t="n">
        <f aca="false">IF(B240="","",SUMIF(Отзывы!$C:$C,$B240,Отзывы!$F:$F)+ТехническийЛист!$C$1)</f>
        <v>50</v>
      </c>
      <c r="D240" s="3" t="str">
        <f aca="false">IFERROR(__xludf.dummyfunction("IMPORTRANGE('ТехническийЛист'!$B$1,""список!D""&amp;'ТехническийЛист'!$A241)"),"Есть доступ")</f>
        <v>Есть доступ</v>
      </c>
      <c r="E240" s="3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23.25" hidden="false" customHeight="true" outlineLevel="0" collapsed="false">
      <c r="A241" s="3" t="s">
        <v>468</v>
      </c>
      <c r="B241" s="3" t="s">
        <v>469</v>
      </c>
      <c r="C241" s="3" t="n">
        <f aca="false">IF(B241="","",SUMIF(Отзывы!$C:$C,$B241,Отзывы!$F:$F)+ТехническийЛист!$C$1)</f>
        <v>50</v>
      </c>
      <c r="D241" s="3" t="str">
        <f aca="false">IFERROR(__xludf.dummyfunction("IMPORTRANGE('ТехническийЛист'!$B$1,""список!D""&amp;'ТехническийЛист'!$A242)"),"Есть доступ")</f>
        <v>Есть доступ</v>
      </c>
      <c r="E241" s="3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23.25" hidden="false" customHeight="true" outlineLevel="0" collapsed="false">
      <c r="A242" s="3" t="s">
        <v>470</v>
      </c>
      <c r="B242" s="3" t="s">
        <v>471</v>
      </c>
      <c r="C242" s="3" t="n">
        <f aca="false">IF(B242="","",SUMIF(Отзывы!$C:$C,$B242,Отзывы!$F:$F)+ТехническийЛист!$C$1)</f>
        <v>50</v>
      </c>
      <c r="D242" s="3" t="str">
        <f aca="false">IFERROR(__xludf.dummyfunction("IMPORTRANGE('ТехническийЛист'!$B$1,""список!D""&amp;'ТехническийЛист'!$A243)"),"Есть доступ")</f>
        <v>Есть доступ</v>
      </c>
      <c r="E242" s="3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23.25" hidden="false" customHeight="true" outlineLevel="0" collapsed="false">
      <c r="A243" s="3" t="s">
        <v>472</v>
      </c>
      <c r="B243" s="3" t="s">
        <v>473</v>
      </c>
      <c r="C243" s="3" t="n">
        <f aca="false">IF(B243="","",SUMIF(Отзывы!$C:$C,$B243,Отзывы!$F:$F)+ТехническийЛист!$C$1)</f>
        <v>100</v>
      </c>
      <c r="D243" s="3" t="str">
        <f aca="false">IFERROR(__xludf.dummyfunction("IMPORTRANGE('ТехническийЛист'!$B$1,""список!D""&amp;'ТехническийЛист'!$A244)"),"Есть доступ")</f>
        <v>Есть доступ</v>
      </c>
      <c r="E243" s="3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23.25" hidden="false" customHeight="true" outlineLevel="0" collapsed="false">
      <c r="A244" s="3" t="s">
        <v>474</v>
      </c>
      <c r="B244" s="3" t="s">
        <v>475</v>
      </c>
      <c r="C244" s="3" t="n">
        <f aca="false">IF(B244="","",SUMIF(Отзывы!$C:$C,$B244,Отзывы!$F:$F)+ТехническийЛист!$C$1)</f>
        <v>71</v>
      </c>
      <c r="D244" s="3" t="str">
        <f aca="false">IFERROR(__xludf.dummyfunction("IMPORTRANGE('ТехническийЛист'!$B$1,""список!D""&amp;'ТехническийЛист'!$A245)"),"Есть доступ")</f>
        <v>Есть доступ</v>
      </c>
      <c r="E244" s="2" t="s">
        <v>476</v>
      </c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23.25" hidden="false" customHeight="true" outlineLevel="0" collapsed="false">
      <c r="A245" s="3" t="s">
        <v>477</v>
      </c>
      <c r="B245" s="3" t="s">
        <v>478</v>
      </c>
      <c r="C245" s="3" t="n">
        <f aca="false">IF(B245="","",SUMIF(Отзывы!$C:$C,$B245,Отзывы!$F:$F)+ТехническийЛист!$C$1)</f>
        <v>50</v>
      </c>
      <c r="D245" s="3" t="str">
        <f aca="false">IFERROR(__xludf.dummyfunction("IMPORTRANGE('ТехническийЛист'!$B$1,""список!D""&amp;'ТехническийЛист'!$A246)"),"Есть доступ")</f>
        <v>Есть доступ</v>
      </c>
      <c r="E245" s="3" t="s">
        <v>479</v>
      </c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23.25" hidden="false" customHeight="true" outlineLevel="0" collapsed="false">
      <c r="A246" s="3" t="s">
        <v>480</v>
      </c>
      <c r="B246" s="3" t="s">
        <v>481</v>
      </c>
      <c r="C246" s="3" t="n">
        <f aca="false">IF(B246="","",SUMIF(Отзывы!$C:$C,$B246,Отзывы!$F:$F)+ТехническийЛист!$C$1)</f>
        <v>62</v>
      </c>
      <c r="D246" s="3" t="str">
        <f aca="false">IFERROR(__xludf.dummyfunction("IMPORTRANGE('ТехническийЛист'!$B$1,""список!D""&amp;'ТехническийЛист'!$A247)"),"Есть доступ")</f>
        <v>Есть доступ</v>
      </c>
      <c r="E246" s="3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23.25" hidden="false" customHeight="true" outlineLevel="0" collapsed="false">
      <c r="A247" s="14" t="s">
        <v>482</v>
      </c>
      <c r="B247" s="14" t="s">
        <v>483</v>
      </c>
      <c r="C247" s="3" t="n">
        <f aca="false">IF(B247="","",SUMIF(Отзывы!$C:$C,$B247,Отзывы!$F:$F)+ТехническийЛист!$C$1)</f>
        <v>37</v>
      </c>
      <c r="D247" s="3" t="str">
        <f aca="false">IFERROR(__xludf.dummyfunction("IMPORTRANGE('ТехническийЛист'!$B$1,""список!D""&amp;'ТехническийЛист'!$A248)"),"Есть доступ")</f>
        <v>Есть доступ</v>
      </c>
      <c r="E247" s="2" t="s">
        <v>484</v>
      </c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23.25" hidden="false" customHeight="true" outlineLevel="0" collapsed="false">
      <c r="A248" s="3" t="s">
        <v>485</v>
      </c>
      <c r="B248" s="3" t="s">
        <v>486</v>
      </c>
      <c r="C248" s="3" t="n">
        <f aca="false">IF(B248="","",SUMIF(Отзывы!$C:$C,$B248,Отзывы!$F:$F)+ТехническийЛист!$C$1)</f>
        <v>5</v>
      </c>
      <c r="D248" s="3" t="str">
        <f aca="false">IFERROR(__xludf.dummyfunction("IMPORTRANGE('ТехническийЛист'!$B$1,""список!D""&amp;'ТехническийЛист'!$A249)"),"Есть доступ")</f>
        <v>Есть доступ</v>
      </c>
      <c r="E248" s="3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23.25" hidden="false" customHeight="true" outlineLevel="0" collapsed="false">
      <c r="A249" s="2" t="s">
        <v>487</v>
      </c>
      <c r="B249" s="2" t="s">
        <v>488</v>
      </c>
      <c r="C249" s="3" t="n">
        <f aca="false">IF(B249="","",SUMIF(Отзывы!$C:$C,$B249,Отзывы!$F:$F)+ТехническийЛист!$C$1)</f>
        <v>28</v>
      </c>
      <c r="D249" s="3" t="str">
        <f aca="false">IFERROR(__xludf.dummyfunction("IMPORTRANGE('ТехническийЛист'!$B$1,""список!D""&amp;'ТехническийЛист'!$A250)"),"Есть доступ")</f>
        <v>Есть доступ</v>
      </c>
      <c r="E249" s="3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23.25" hidden="false" customHeight="true" outlineLevel="0" collapsed="false">
      <c r="A250" s="3" t="s">
        <v>489</v>
      </c>
      <c r="B250" s="3" t="s">
        <v>490</v>
      </c>
      <c r="C250" s="3" t="n">
        <f aca="false">IF(B250="","",SUMIF(Отзывы!$C:$C,$B250,Отзывы!$F:$F)+ТехническийЛист!$C$1)</f>
        <v>58</v>
      </c>
      <c r="D250" s="3" t="str">
        <f aca="false">IFERROR(__xludf.dummyfunction("IMPORTRANGE('ТехническийЛист'!$B$1,""список!D""&amp;'ТехническийЛист'!$A251)"),"Есть доступ")</f>
        <v>Есть доступ</v>
      </c>
      <c r="E250" s="3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23.25" hidden="false" customHeight="true" outlineLevel="0" collapsed="false">
      <c r="A251" s="3" t="s">
        <v>491</v>
      </c>
      <c r="B251" s="3" t="s">
        <v>492</v>
      </c>
      <c r="C251" s="3" t="n">
        <f aca="false">IF(B251="","",SUMIF(Отзывы!$C:$C,$B251,Отзывы!$F:$F)+ТехническийЛист!$C$1)</f>
        <v>40</v>
      </c>
      <c r="D251" s="3" t="str">
        <f aca="false">IFERROR(__xludf.dummyfunction("IMPORTRANGE('ТехническийЛист'!$B$1,""список!D""&amp;'ТехническийЛист'!$A252)"),"Есть доступ")</f>
        <v>Есть доступ</v>
      </c>
      <c r="E251" s="3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23.25" hidden="false" customHeight="true" outlineLevel="0" collapsed="false">
      <c r="A252" s="3" t="s">
        <v>493</v>
      </c>
      <c r="B252" s="3" t="s">
        <v>494</v>
      </c>
      <c r="C252" s="3" t="n">
        <f aca="false">IF(B252="","",SUMIF(Отзывы!$C:$C,$B252,Отзывы!$F:$F)+ТехническийЛист!$C$1)</f>
        <v>61</v>
      </c>
      <c r="D252" s="3" t="str">
        <f aca="false">IFERROR(__xludf.dummyfunction("IMPORTRANGE('ТехническийЛист'!$B$1,""список!D""&amp;'ТехническийЛист'!$A253)"),"Есть доступ")</f>
        <v>Есть доступ</v>
      </c>
      <c r="E252" s="3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23.25" hidden="false" customHeight="true" outlineLevel="0" collapsed="false">
      <c r="A253" s="3" t="s">
        <v>495</v>
      </c>
      <c r="B253" s="3" t="s">
        <v>495</v>
      </c>
      <c r="C253" s="3" t="n">
        <f aca="false">IF(B253="","",SUMIF(Отзывы!$C:$C,$B253,Отзывы!$F:$F)+ТехническийЛист!$C$1)</f>
        <v>100</v>
      </c>
      <c r="D253" s="3" t="str">
        <f aca="false">IFERROR(__xludf.dummyfunction("IMPORTRANGE('ТехническийЛист'!$B$1,""список!D""&amp;'ТехническийЛист'!$A254)"),"Есть доступ")</f>
        <v>Есть доступ</v>
      </c>
      <c r="E253" s="3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23.25" hidden="false" customHeight="true" outlineLevel="0" collapsed="false">
      <c r="A254" s="3" t="s">
        <v>496</v>
      </c>
      <c r="B254" s="3" t="s">
        <v>497</v>
      </c>
      <c r="C254" s="3" t="n">
        <f aca="false">IF(B254="","",SUMIF(Отзывы!$C:$C,$B254,Отзывы!$F:$F)+ТехническийЛист!$C$1)</f>
        <v>15</v>
      </c>
      <c r="D254" s="3" t="str">
        <f aca="false">IFERROR(__xludf.dummyfunction("IMPORTRANGE('ТехническийЛист'!$B$1,""список!D""&amp;'ТехническийЛист'!$A255)"),"Есть доступ")</f>
        <v>Есть доступ</v>
      </c>
      <c r="E254" s="19" t="s">
        <v>498</v>
      </c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23.25" hidden="false" customHeight="true" outlineLevel="0" collapsed="false">
      <c r="A255" s="3" t="s">
        <v>499</v>
      </c>
      <c r="B255" s="3" t="s">
        <v>500</v>
      </c>
      <c r="C255" s="3" t="n">
        <f aca="false">IF(B255="","",SUMIF(Отзывы!$C:$C,$B255,Отзывы!$F:$F)+ТехническийЛист!$C$1)</f>
        <v>60</v>
      </c>
      <c r="D255" s="3" t="str">
        <f aca="false">IFERROR(__xludf.dummyfunction("IMPORTRANGE('ТехническийЛист'!$B$1,""список!D""&amp;'ТехническийЛист'!$A256)"),"Есть доступ")</f>
        <v>Есть доступ</v>
      </c>
      <c r="E255" s="3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23.25" hidden="false" customHeight="true" outlineLevel="0" collapsed="false">
      <c r="A256" s="3" t="s">
        <v>501</v>
      </c>
      <c r="B256" s="3" t="s">
        <v>502</v>
      </c>
      <c r="C256" s="3" t="n">
        <f aca="false">IF(B256="","",SUMIF(Отзывы!$C:$C,$B256,Отзывы!$F:$F)+ТехническийЛист!$C$1)</f>
        <v>69</v>
      </c>
      <c r="D256" s="3" t="str">
        <f aca="false">IFERROR(__xludf.dummyfunction("IMPORTRANGE('ТехническийЛист'!$B$1,""список!D""&amp;'ТехническийЛист'!$A257)"),"Есть доступ")</f>
        <v>Есть доступ</v>
      </c>
      <c r="E256" s="3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23.25" hidden="false" customHeight="true" outlineLevel="0" collapsed="false">
      <c r="A257" s="3" t="s">
        <v>503</v>
      </c>
      <c r="B257" s="3" t="s">
        <v>503</v>
      </c>
      <c r="C257" s="3" t="n">
        <f aca="false">IF(B257="","",SUMIF(Отзывы!$C:$C,$B257,Отзывы!$F:$F)+ТехническийЛист!$C$1)</f>
        <v>50</v>
      </c>
      <c r="D257" s="3" t="str">
        <f aca="false">IFERROR(__xludf.dummyfunction("IMPORTRANGE('ТехническийЛист'!$B$1,""список!D""&amp;'ТехническийЛист'!$A258)"),"Есть доступ")</f>
        <v>Есть доступ</v>
      </c>
      <c r="E257" s="3" t="s">
        <v>504</v>
      </c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23.25" hidden="false" customHeight="true" outlineLevel="0" collapsed="false">
      <c r="A258" s="3" t="s">
        <v>505</v>
      </c>
      <c r="B258" s="3" t="s">
        <v>505</v>
      </c>
      <c r="C258" s="3" t="n">
        <f aca="false">IF(B258="","",SUMIF(Отзывы!$C:$C,$B258,Отзывы!$F:$F)+ТехническийЛист!$C$1)</f>
        <v>50</v>
      </c>
      <c r="D258" s="3" t="str">
        <f aca="false">IFERROR(__xludf.dummyfunction("IMPORTRANGE('ТехническийЛист'!$B$1,""список!D""&amp;'ТехническийЛист'!$A259)"),"Есть доступ")</f>
        <v>Есть доступ</v>
      </c>
      <c r="E258" s="3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23.25" hidden="false" customHeight="true" outlineLevel="0" collapsed="false">
      <c r="A259" s="3" t="s">
        <v>506</v>
      </c>
      <c r="B259" s="3" t="s">
        <v>507</v>
      </c>
      <c r="C259" s="3" t="n">
        <f aca="false">IF(B259="","",SUMIF(Отзывы!$C:$C,$B259,Отзывы!$F:$F)+ТехническийЛист!$C$1)</f>
        <v>60</v>
      </c>
      <c r="D259" s="3" t="str">
        <f aca="false">IFERROR(__xludf.dummyfunction("IMPORTRANGE('ТехническийЛист'!$B$1,""список!D""&amp;'ТехническийЛист'!$A260)"),"Есть доступ")</f>
        <v>Есть доступ</v>
      </c>
      <c r="E259" s="3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23.25" hidden="false" customHeight="true" outlineLevel="0" collapsed="false">
      <c r="A260" s="3" t="s">
        <v>508</v>
      </c>
      <c r="B260" s="3" t="s">
        <v>509</v>
      </c>
      <c r="C260" s="3" t="n">
        <f aca="false">IF(B260="","",SUMIF(Отзывы!$C:$C,$B260,Отзывы!$F:$F)+ТехническийЛист!$C$1)</f>
        <v>50</v>
      </c>
      <c r="D260" s="3" t="str">
        <f aca="false">IFERROR(__xludf.dummyfunction("IMPORTRANGE('ТехническийЛист'!$B$1,""список!D""&amp;'ТехническийЛист'!$A261)"),"Есть доступ")</f>
        <v>Есть доступ</v>
      </c>
      <c r="E260" s="3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23.25" hidden="false" customHeight="true" outlineLevel="0" collapsed="false">
      <c r="A261" s="3" t="s">
        <v>510</v>
      </c>
      <c r="B261" s="3" t="s">
        <v>510</v>
      </c>
      <c r="C261" s="3" t="n">
        <f aca="false">IF(B261="","",SUMIF(Отзывы!$C:$C,$B261,Отзывы!$F:$F)+ТехническийЛист!$C$1)</f>
        <v>53</v>
      </c>
      <c r="D261" s="3" t="str">
        <f aca="false">IFERROR(__xludf.dummyfunction("IMPORTRANGE('ТехническийЛист'!$B$1,""список!D""&amp;'ТехническийЛист'!$A262)"),"Есть доступ")</f>
        <v>Есть доступ</v>
      </c>
      <c r="E261" s="3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23.25" hidden="false" customHeight="true" outlineLevel="0" collapsed="false">
      <c r="A262" s="3" t="s">
        <v>511</v>
      </c>
      <c r="B262" s="3" t="s">
        <v>511</v>
      </c>
      <c r="C262" s="3" t="n">
        <f aca="false">IF(B262="","",SUMIF(Отзывы!$C:$C,$B262,Отзывы!$F:$F)+ТехническийЛист!$C$1)</f>
        <v>65</v>
      </c>
      <c r="D262" s="3" t="str">
        <f aca="false">IFERROR(__xludf.dummyfunction("IMPORTRANGE('ТехническийЛист'!$B$1,""список!D""&amp;'ТехническийЛист'!$A263)"),"Есть доступ")</f>
        <v>Есть доступ</v>
      </c>
      <c r="E262" s="3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23.25" hidden="false" customHeight="true" outlineLevel="0" collapsed="false">
      <c r="A263" s="3" t="s">
        <v>512</v>
      </c>
      <c r="B263" s="3" t="s">
        <v>513</v>
      </c>
      <c r="C263" s="3" t="n">
        <f aca="false">IF(B263="","",SUMIF(Отзывы!$C:$C,$B263,Отзывы!$F:$F)+ТехническийЛист!$C$1)</f>
        <v>50</v>
      </c>
      <c r="D263" s="3" t="str">
        <f aca="false">IFERROR(__xludf.dummyfunction("IMPORTRANGE('ТехническийЛист'!$B$1,""список!D""&amp;'ТехническийЛист'!$A264)"),"Есть доступ")</f>
        <v>Есть доступ</v>
      </c>
      <c r="E263" s="3" t="s">
        <v>514</v>
      </c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23.25" hidden="false" customHeight="true" outlineLevel="0" collapsed="false">
      <c r="A264" s="3" t="s">
        <v>515</v>
      </c>
      <c r="B264" s="3" t="s">
        <v>516</v>
      </c>
      <c r="C264" s="3" t="n">
        <f aca="false">IF(B264="","",SUMIF(Отзывы!$C:$C,$B264,Отзывы!$F:$F)+ТехническийЛист!$C$1)</f>
        <v>50</v>
      </c>
      <c r="D264" s="3" t="str">
        <f aca="false">IFERROR(__xludf.dummyfunction("IMPORTRANGE('ТехническийЛист'!$B$1,""список!D""&amp;'ТехническийЛист'!$A265)"),"Есть доступ")</f>
        <v>Есть доступ</v>
      </c>
      <c r="E264" s="3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23.25" hidden="false" customHeight="true" outlineLevel="0" collapsed="false">
      <c r="A265" s="3" t="s">
        <v>517</v>
      </c>
      <c r="B265" s="3" t="s">
        <v>518</v>
      </c>
      <c r="C265" s="3" t="n">
        <f aca="false">IF(B265="","",SUMIF(Отзывы!$C:$C,$B265,Отзывы!$F:$F)+ТехническийЛист!$C$1)</f>
        <v>60</v>
      </c>
      <c r="D265" s="3" t="str">
        <f aca="false">IFERROR(__xludf.dummyfunction("IMPORTRANGE('ТехническийЛист'!$B$1,""список!D""&amp;'ТехническийЛист'!$A266)"),"Есть доступ")</f>
        <v>Есть доступ</v>
      </c>
      <c r="E265" s="3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23.25" hidden="false" customHeight="true" outlineLevel="0" collapsed="false">
      <c r="A266" s="3" t="s">
        <v>519</v>
      </c>
      <c r="B266" s="3" t="s">
        <v>520</v>
      </c>
      <c r="C266" s="3" t="n">
        <f aca="false">IF(B266="","",SUMIF(Отзывы!$C:$C,$B266,Отзывы!$F:$F)+ТехническийЛист!$C$1)</f>
        <v>50</v>
      </c>
      <c r="D266" s="3" t="str">
        <f aca="false">IFERROR(__xludf.dummyfunction("IMPORTRANGE('ТехническийЛист'!$B$1,""список!D""&amp;'ТехническийЛист'!$A267)"),"Есть доступ")</f>
        <v>Есть доступ</v>
      </c>
      <c r="E266" s="3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23.25" hidden="false" customHeight="true" outlineLevel="0" collapsed="false">
      <c r="A267" s="3" t="s">
        <v>521</v>
      </c>
      <c r="B267" s="12" t="s">
        <v>522</v>
      </c>
      <c r="C267" s="3" t="n">
        <f aca="false">IF(B267="","",SUMIF(Отзывы!$C:$C,$B267,Отзывы!$F:$F)+ТехническийЛист!$C$1)</f>
        <v>15</v>
      </c>
      <c r="D267" s="3" t="str">
        <f aca="false">IFERROR(__xludf.dummyfunction("IMPORTRANGE('ТехническийЛист'!$B$1,""список!D""&amp;'ТехническийЛист'!$A268)"),"Нет доступа")</f>
        <v>Нет доступа</v>
      </c>
      <c r="E267" s="3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23.25" hidden="false" customHeight="true" outlineLevel="0" collapsed="false">
      <c r="A268" s="3" t="s">
        <v>523</v>
      </c>
      <c r="B268" s="3" t="s">
        <v>524</v>
      </c>
      <c r="C268" s="3" t="n">
        <f aca="false">IF(B268="","",SUMIF(Отзывы!$C:$C,$B268,Отзывы!$F:$F)+ТехническийЛист!$C$1)</f>
        <v>83</v>
      </c>
      <c r="D268" s="3" t="str">
        <f aca="false">IFERROR(__xludf.dummyfunction("IMPORTRANGE('ТехническийЛист'!$B$1,""список!D""&amp;'ТехническийЛист'!$A269)"),"Есть доступ")</f>
        <v>Есть доступ</v>
      </c>
      <c r="E268" s="3" t="s">
        <v>525</v>
      </c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23.25" hidden="false" customHeight="true" outlineLevel="0" collapsed="false">
      <c r="A269" s="3" t="s">
        <v>526</v>
      </c>
      <c r="B269" s="3" t="s">
        <v>526</v>
      </c>
      <c r="C269" s="3" t="n">
        <f aca="false">IF(B269="","",SUMIF(Отзывы!$C:$C,$B269,Отзывы!$F:$F)+ТехническийЛист!$C$1)</f>
        <v>60</v>
      </c>
      <c r="D269" s="3" t="str">
        <f aca="false">IFERROR(__xludf.dummyfunction("IMPORTRANGE('ТехническийЛист'!$B$1,""список!D""&amp;'ТехническийЛист'!$A270)"),"Есть доступ")</f>
        <v>Есть доступ</v>
      </c>
      <c r="E269" s="3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23.25" hidden="false" customHeight="true" outlineLevel="0" collapsed="false">
      <c r="A270" s="3" t="s">
        <v>527</v>
      </c>
      <c r="B270" s="3" t="s">
        <v>528</v>
      </c>
      <c r="C270" s="3" t="n">
        <f aca="false">IF(B270="","",SUMIF(Отзывы!$C:$C,$B270,Отзывы!$F:$F)+ТехническийЛист!$C$1)</f>
        <v>60</v>
      </c>
      <c r="D270" s="3" t="str">
        <f aca="false">IFERROR(__xludf.dummyfunction("IMPORTRANGE('ТехническийЛист'!$B$1,""список!D""&amp;'ТехническийЛист'!$A271)"),"Есть доступ")</f>
        <v>Есть доступ</v>
      </c>
      <c r="E270" s="3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23.25" hidden="false" customHeight="true" outlineLevel="0" collapsed="false">
      <c r="A271" s="3" t="s">
        <v>529</v>
      </c>
      <c r="B271" s="3" t="s">
        <v>530</v>
      </c>
      <c r="C271" s="3" t="n">
        <f aca="false">IF(B271="","",SUMIF(Отзывы!$C:$C,$B271,Отзывы!$F:$F)+ТехническийЛист!$C$1)</f>
        <v>50</v>
      </c>
      <c r="D271" s="3" t="str">
        <f aca="false">IFERROR(__xludf.dummyfunction("IMPORTRANGE('ТехническийЛист'!$B$1,""список!D""&amp;'ТехническийЛист'!$A272)"),"Есть доступ")</f>
        <v>Есть доступ</v>
      </c>
      <c r="E271" s="3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23.25" hidden="false" customHeight="true" outlineLevel="0" collapsed="false">
      <c r="A272" s="3" t="s">
        <v>531</v>
      </c>
      <c r="B272" s="3" t="s">
        <v>532</v>
      </c>
      <c r="C272" s="3" t="n">
        <f aca="false">IF(B272="","",SUMIF(Отзывы!$C:$C,$B272,Отзывы!$F:$F)+ТехническийЛист!$C$1)</f>
        <v>60</v>
      </c>
      <c r="D272" s="3" t="str">
        <f aca="false">IFERROR(__xludf.dummyfunction("IMPORTRANGE('ТехническийЛист'!$B$1,""список!D""&amp;'ТехническийЛист'!$A273)"),"Есть доступ")</f>
        <v>Есть доступ</v>
      </c>
      <c r="E272" s="3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23.25" hidden="false" customHeight="true" outlineLevel="0" collapsed="false">
      <c r="A273" s="3" t="s">
        <v>533</v>
      </c>
      <c r="B273" s="3" t="s">
        <v>534</v>
      </c>
      <c r="C273" s="3" t="n">
        <f aca="false">IF(B273="","",SUMIF(Отзывы!$C:$C,$B273,Отзывы!$F:$F)+ТехническийЛист!$C$1)</f>
        <v>63</v>
      </c>
      <c r="D273" s="3" t="str">
        <f aca="false">IFERROR(__xludf.dummyfunction("IMPORTRANGE('ТехническийЛист'!$B$1,""список!D""&amp;'ТехническийЛист'!$A274)"),"Есть доступ")</f>
        <v>Есть доступ</v>
      </c>
      <c r="E273" s="3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23.25" hidden="false" customHeight="true" outlineLevel="0" collapsed="false">
      <c r="A274" s="3" t="s">
        <v>535</v>
      </c>
      <c r="B274" s="3" t="s">
        <v>536</v>
      </c>
      <c r="C274" s="3" t="n">
        <f aca="false">IF(B274="","",SUMIF(Отзывы!$C:$C,$B274,Отзывы!$F:$F)+ТехническийЛист!$C$1)</f>
        <v>50</v>
      </c>
      <c r="D274" s="3" t="str">
        <f aca="false">IFERROR(__xludf.dummyfunction("IMPORTRANGE('ТехническийЛист'!$B$1,""список!D""&amp;'ТехническийЛист'!$A275)"),"Есть доступ")</f>
        <v>Есть доступ</v>
      </c>
      <c r="E274" s="3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23.25" hidden="false" customHeight="true" outlineLevel="0" collapsed="false">
      <c r="A275" s="3" t="s">
        <v>537</v>
      </c>
      <c r="B275" s="3" t="s">
        <v>538</v>
      </c>
      <c r="C275" s="3" t="n">
        <f aca="false">IF(B275="","",SUMIF(Отзывы!$C:$C,$B275,Отзывы!$F:$F)+ТехническийЛист!$C$1)</f>
        <v>63</v>
      </c>
      <c r="D275" s="3" t="str">
        <f aca="false">IFERROR(__xludf.dummyfunction("IMPORTRANGE('ТехническийЛист'!$B$1,""список!D""&amp;'ТехническийЛист'!$A276)"),"Есть доступ")</f>
        <v>Есть доступ</v>
      </c>
      <c r="E275" s="3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23.25" hidden="false" customHeight="true" outlineLevel="0" collapsed="false">
      <c r="A276" s="3" t="s">
        <v>539</v>
      </c>
      <c r="B276" s="3" t="s">
        <v>540</v>
      </c>
      <c r="C276" s="3" t="n">
        <f aca="false">IF(B276="","",SUMIF(Отзывы!$C:$C,$B276,Отзывы!$F:$F)+ТехническийЛист!$C$1)</f>
        <v>60</v>
      </c>
      <c r="D276" s="3" t="str">
        <f aca="false">IFERROR(__xludf.dummyfunction("IMPORTRANGE('ТехническийЛист'!$B$1,""список!D""&amp;'ТехническийЛист'!$A277)"),"Есть доступ")</f>
        <v>Есть доступ</v>
      </c>
      <c r="E276" s="3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23.25" hidden="false" customHeight="true" outlineLevel="0" collapsed="false">
      <c r="A277" s="3" t="s">
        <v>541</v>
      </c>
      <c r="B277" s="3" t="s">
        <v>542</v>
      </c>
      <c r="C277" s="3" t="n">
        <f aca="false">IF(B277="","",SUMIF(Отзывы!$C:$C,$B277,Отзывы!$F:$F)+ТехническийЛист!$C$1)</f>
        <v>50</v>
      </c>
      <c r="D277" s="3" t="str">
        <f aca="false">IFERROR(__xludf.dummyfunction("IMPORTRANGE('ТехническийЛист'!$B$1,""список!D""&amp;'ТехническийЛист'!$A278)"),"Есть доступ")</f>
        <v>Есть доступ</v>
      </c>
      <c r="E277" s="3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23.25" hidden="false" customHeight="true" outlineLevel="0" collapsed="false">
      <c r="A278" s="3" t="s">
        <v>543</v>
      </c>
      <c r="B278" s="3" t="s">
        <v>544</v>
      </c>
      <c r="C278" s="3" t="n">
        <f aca="false">IF(B278="","",SUMIF(Отзывы!$C:$C,$B278,Отзывы!$F:$F)+ТехническийЛист!$C$1)</f>
        <v>50</v>
      </c>
      <c r="D278" s="3" t="str">
        <f aca="false">IFERROR(__xludf.dummyfunction("IMPORTRANGE('ТехническийЛист'!$B$1,""список!D""&amp;'ТехническийЛист'!$A279)"),"Есть доступ")</f>
        <v>Есть доступ</v>
      </c>
      <c r="E278" s="3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23.25" hidden="false" customHeight="true" outlineLevel="0" collapsed="false">
      <c r="A279" s="3" t="s">
        <v>545</v>
      </c>
      <c r="B279" s="3" t="s">
        <v>546</v>
      </c>
      <c r="C279" s="3" t="n">
        <f aca="false">IF(B279="","",SUMIF(Отзывы!$C:$C,$B279,Отзывы!$F:$F)+ТехническийЛист!$C$1)</f>
        <v>68</v>
      </c>
      <c r="D279" s="3" t="str">
        <f aca="false">IFERROR(__xludf.dummyfunction("IMPORTRANGE('ТехническийЛист'!$B$1,""список!D""&amp;'ТехническийЛист'!$A280)"),"Есть доступ")</f>
        <v>Есть доступ</v>
      </c>
      <c r="E279" s="3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23.25" hidden="false" customHeight="true" outlineLevel="0" collapsed="false">
      <c r="A280" s="3" t="s">
        <v>547</v>
      </c>
      <c r="B280" s="3" t="s">
        <v>548</v>
      </c>
      <c r="C280" s="3" t="n">
        <f aca="false">IF(B280="","",SUMIF(Отзывы!$C:$C,$B280,Отзывы!$F:$F)+ТехническийЛист!$C$1)</f>
        <v>35</v>
      </c>
      <c r="D280" s="3" t="str">
        <f aca="false">IFERROR(__xludf.dummyfunction("IMPORTRANGE('ТехническийЛист'!$B$1,""список!D""&amp;'ТехническийЛист'!$A281)"),"Есть доступ")</f>
        <v>Есть доступ</v>
      </c>
      <c r="E280" s="3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23.25" hidden="false" customHeight="true" outlineLevel="0" collapsed="false">
      <c r="A281" s="3" t="s">
        <v>549</v>
      </c>
      <c r="B281" s="3" t="s">
        <v>550</v>
      </c>
      <c r="C281" s="3" t="n">
        <f aca="false">IF(B281="","",SUMIF(Отзывы!$C:$C,$B281,Отзывы!$F:$F)+ТехническийЛист!$C$1)</f>
        <v>51</v>
      </c>
      <c r="D281" s="3" t="str">
        <f aca="false">IFERROR(__xludf.dummyfunction("IMPORTRANGE('ТехническийЛист'!$B$1,""список!D""&amp;'ТехническийЛист'!$A282)"),"Есть доступ")</f>
        <v>Есть доступ</v>
      </c>
      <c r="E281" s="3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23.25" hidden="false" customHeight="true" outlineLevel="0" collapsed="false">
      <c r="A282" s="3" t="s">
        <v>551</v>
      </c>
      <c r="B282" s="3" t="s">
        <v>552</v>
      </c>
      <c r="C282" s="3" t="n">
        <f aca="false">IF(B282="","",SUMIF(Отзывы!$C:$C,$B282,Отзывы!$F:$F)+ТехническийЛист!$C$1)</f>
        <v>50</v>
      </c>
      <c r="D282" s="3" t="str">
        <f aca="false">IFERROR(__xludf.dummyfunction("IMPORTRANGE('ТехническийЛист'!$B$1,""список!D""&amp;'ТехническийЛист'!$A283)"),"Есть доступ")</f>
        <v>Есть доступ</v>
      </c>
      <c r="E282" s="3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23.25" hidden="false" customHeight="true" outlineLevel="0" collapsed="false">
      <c r="A283" s="3" t="s">
        <v>553</v>
      </c>
      <c r="B283" s="3" t="s">
        <v>554</v>
      </c>
      <c r="C283" s="3" t="n">
        <f aca="false">IF(B283="","",SUMIF(Отзывы!$C:$C,$B283,Отзывы!$F:$F)+ТехническийЛист!$C$1)</f>
        <v>60</v>
      </c>
      <c r="D283" s="3" t="str">
        <f aca="false">IFERROR(__xludf.dummyfunction("IMPORTRANGE('ТехническийЛист'!$B$1,""список!D""&amp;'ТехническийЛист'!$A284)"),"Есть доступ")</f>
        <v>Есть доступ</v>
      </c>
      <c r="E283" s="3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23.25" hidden="false" customHeight="true" outlineLevel="0" collapsed="false">
      <c r="A284" s="3" t="s">
        <v>555</v>
      </c>
      <c r="B284" s="3" t="s">
        <v>556</v>
      </c>
      <c r="C284" s="3" t="n">
        <f aca="false">IF(B284="","",SUMIF(Отзывы!$C:$C,$B284,Отзывы!$F:$F)+ТехническийЛист!$C$1)</f>
        <v>50</v>
      </c>
      <c r="D284" s="3" t="str">
        <f aca="false">IFERROR(__xludf.dummyfunction("IMPORTRANGE('ТехническийЛист'!$B$1,""список!D""&amp;'ТехническийЛист'!$A285)"),"Есть доступ")</f>
        <v>Есть доступ</v>
      </c>
      <c r="E284" s="3" t="s">
        <v>557</v>
      </c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23.25" hidden="false" customHeight="true" outlineLevel="0" collapsed="false">
      <c r="A285" s="3" t="s">
        <v>558</v>
      </c>
      <c r="B285" s="3" t="s">
        <v>559</v>
      </c>
      <c r="C285" s="3" t="n">
        <f aca="false">IF(B285="","",SUMIF(Отзывы!$C:$C,$B285,Отзывы!$F:$F)+ТехническийЛист!$C$1)</f>
        <v>60</v>
      </c>
      <c r="D285" s="3" t="str">
        <f aca="false">IFERROR(__xludf.dummyfunction("IMPORTRANGE('ТехническийЛист'!$B$1,""список!D""&amp;'ТехническийЛист'!$A286)"),"Есть доступ")</f>
        <v>Есть доступ</v>
      </c>
      <c r="E285" s="3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23.25" hidden="false" customHeight="true" outlineLevel="0" collapsed="false">
      <c r="A286" s="3" t="s">
        <v>560</v>
      </c>
      <c r="B286" s="3" t="s">
        <v>561</v>
      </c>
      <c r="C286" s="3" t="n">
        <f aca="false">IF(B286="","",SUMIF(Отзывы!$C:$C,$B286,Отзывы!$F:$F)+ТехническийЛист!$C$1)</f>
        <v>50</v>
      </c>
      <c r="D286" s="3" t="str">
        <f aca="false">IFERROR(__xludf.dummyfunction("IMPORTRANGE('ТехническийЛист'!$B$1,""список!D""&amp;'ТехническийЛист'!$A287)"),"Есть доступ")</f>
        <v>Есть доступ</v>
      </c>
      <c r="E286" s="3" t="s">
        <v>562</v>
      </c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23.25" hidden="false" customHeight="true" outlineLevel="0" collapsed="false">
      <c r="A287" s="3" t="s">
        <v>563</v>
      </c>
      <c r="B287" s="3" t="s">
        <v>564</v>
      </c>
      <c r="C287" s="3" t="n">
        <f aca="false">IF(B287="","",SUMIF(Отзывы!$C:$C,$B287,Отзывы!$F:$F)+ТехническийЛист!$C$1)</f>
        <v>36</v>
      </c>
      <c r="D287" s="3" t="str">
        <f aca="false">IFERROR(__xludf.dummyfunction("IMPORTRANGE('ТехническийЛист'!$B$1,""список!D""&amp;'ТехническийЛист'!$A288)"),"Есть доступ")</f>
        <v>Есть доступ</v>
      </c>
      <c r="E287" s="3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23.25" hidden="false" customHeight="true" outlineLevel="0" collapsed="false">
      <c r="A288" s="3" t="s">
        <v>565</v>
      </c>
      <c r="B288" s="3" t="s">
        <v>566</v>
      </c>
      <c r="C288" s="3" t="n">
        <f aca="false">IF(B288="","",SUMIF(Отзывы!$C:$C,$B288,Отзывы!$F:$F)+ТехническийЛист!$C$1)</f>
        <v>35</v>
      </c>
      <c r="D288" s="3" t="str">
        <f aca="false">IFERROR(__xludf.dummyfunction("IMPORTRANGE('ТехническийЛист'!$B$1,""список!D""&amp;'ТехническийЛист'!$A289)"),"Есть доступ")</f>
        <v>Есть доступ</v>
      </c>
      <c r="E288" s="3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23.25" hidden="false" customHeight="true" outlineLevel="0" collapsed="false">
      <c r="A289" s="3" t="s">
        <v>567</v>
      </c>
      <c r="B289" s="3" t="s">
        <v>567</v>
      </c>
      <c r="C289" s="3" t="n">
        <f aca="false">IF(B289="","",SUMIF(Отзывы!$C:$C,$B289,Отзывы!$F:$F)+ТехническийЛист!$C$1)</f>
        <v>50</v>
      </c>
      <c r="D289" s="3" t="str">
        <f aca="false">IFERROR(__xludf.dummyfunction("IMPORTRANGE('ТехническийЛист'!$B$1,""список!D""&amp;'ТехническийЛист'!$A290)"),"Есть доступ")</f>
        <v>Есть доступ</v>
      </c>
      <c r="E289" s="3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23.25" hidden="false" customHeight="true" outlineLevel="0" collapsed="false">
      <c r="A290" s="3" t="s">
        <v>568</v>
      </c>
      <c r="B290" s="3" t="s">
        <v>569</v>
      </c>
      <c r="C290" s="3" t="n">
        <f aca="false">IF(B290="","",SUMIF(Отзывы!$C:$C,$B290,Отзывы!$F:$F)+ТехническийЛист!$C$1)</f>
        <v>50</v>
      </c>
      <c r="D290" s="3" t="str">
        <f aca="false">IFERROR(__xludf.dummyfunction("IMPORTRANGE('ТехническийЛист'!$B$1,""список!D""&amp;'ТехническийЛист'!$A291)"),"Есть доступ")</f>
        <v>Есть доступ</v>
      </c>
      <c r="E290" s="3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23.25" hidden="false" customHeight="true" outlineLevel="0" collapsed="false">
      <c r="A291" s="3" t="s">
        <v>570</v>
      </c>
      <c r="B291" s="3" t="s">
        <v>571</v>
      </c>
      <c r="C291" s="3" t="n">
        <f aca="false">IF(B291="","",SUMIF(Отзывы!$C:$C,$B291,Отзывы!$F:$F)+ТехническийЛист!$C$1)</f>
        <v>50</v>
      </c>
      <c r="D291" s="3" t="str">
        <f aca="false">IFERROR(__xludf.dummyfunction("IMPORTRANGE('ТехническийЛист'!$B$1,""список!D""&amp;'ТехническийЛист'!$A292)"),"Есть доступ")</f>
        <v>Есть доступ</v>
      </c>
      <c r="E291" s="3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23.25" hidden="false" customHeight="true" outlineLevel="0" collapsed="false">
      <c r="A292" s="3" t="s">
        <v>572</v>
      </c>
      <c r="B292" s="3" t="s">
        <v>573</v>
      </c>
      <c r="C292" s="3" t="n">
        <f aca="false">IF(B292="","",SUMIF(Отзывы!$C:$C,$B292,Отзывы!$F:$F)+ТехническийЛист!$C$1)</f>
        <v>60</v>
      </c>
      <c r="D292" s="3" t="str">
        <f aca="false">IFERROR(__xludf.dummyfunction("IMPORTRANGE('ТехническийЛист'!$B$1,""список!D""&amp;'ТехническийЛист'!$A293)"),"Есть доступ")</f>
        <v>Есть доступ</v>
      </c>
      <c r="E292" s="3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23.25" hidden="false" customHeight="true" outlineLevel="0" collapsed="false">
      <c r="A293" s="3" t="s">
        <v>574</v>
      </c>
      <c r="B293" s="3" t="s">
        <v>575</v>
      </c>
      <c r="C293" s="3" t="n">
        <f aca="false">IF(B293="","",SUMIF(Отзывы!$C:$C,$B293,Отзывы!$F:$F)+ТехническийЛист!$C$1)</f>
        <v>35</v>
      </c>
      <c r="D293" s="3" t="str">
        <f aca="false">IFERROR(__xludf.dummyfunction("IMPORTRANGE('ТехническийЛист'!$B$1,""список!D""&amp;'ТехническийЛист'!$A294)"),"Есть доступ")</f>
        <v>Есть доступ</v>
      </c>
      <c r="E293" s="3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23.25" hidden="false" customHeight="true" outlineLevel="0" collapsed="false">
      <c r="A294" s="3" t="s">
        <v>576</v>
      </c>
      <c r="B294" s="3" t="s">
        <v>577</v>
      </c>
      <c r="C294" s="3" t="n">
        <f aca="false">IF(B294="","",SUMIF(Отзывы!$C:$C,$B294,Отзывы!$F:$F)+ТехническийЛист!$C$1)</f>
        <v>94</v>
      </c>
      <c r="D294" s="3" t="str">
        <f aca="false">IFERROR(__xludf.dummyfunction("IMPORTRANGE('ТехническийЛист'!$B$1,""список!D""&amp;'ТехническийЛист'!$A295)"),"Есть доступ")</f>
        <v>Есть доступ</v>
      </c>
      <c r="E294" s="3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23.25" hidden="false" customHeight="true" outlineLevel="0" collapsed="false">
      <c r="A295" s="3" t="s">
        <v>578</v>
      </c>
      <c r="B295" s="3" t="s">
        <v>579</v>
      </c>
      <c r="C295" s="3" t="n">
        <f aca="false">IF(B295="","",SUMIF(Отзывы!$C:$C,$B295,Отзывы!$F:$F)+ТехническийЛист!$C$1)</f>
        <v>36</v>
      </c>
      <c r="D295" s="3" t="str">
        <f aca="false">IFERROR(__xludf.dummyfunction("IMPORTRANGE('ТехническийЛист'!$B$1,""список!D""&amp;'ТехническийЛист'!$A296)"),"Нет доступа")</f>
        <v>Нет доступа</v>
      </c>
      <c r="E295" s="3" t="s">
        <v>580</v>
      </c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23.25" hidden="false" customHeight="true" outlineLevel="0" collapsed="false">
      <c r="A296" s="3" t="s">
        <v>581</v>
      </c>
      <c r="B296" s="3" t="s">
        <v>582</v>
      </c>
      <c r="C296" s="3" t="n">
        <f aca="false">IF(B296="","",SUMIF(Отзывы!$C:$C,$B296,Отзывы!$F:$F)+ТехническийЛист!$C$1)</f>
        <v>60</v>
      </c>
      <c r="D296" s="3" t="str">
        <f aca="false">IFERROR(__xludf.dummyfunction("IMPORTRANGE('ТехническийЛист'!$B$1,""список!D""&amp;'ТехническийЛист'!$A297)"),"Есть доступ")</f>
        <v>Есть доступ</v>
      </c>
      <c r="E296" s="3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23.25" hidden="false" customHeight="true" outlineLevel="0" collapsed="false">
      <c r="A297" s="3" t="s">
        <v>583</v>
      </c>
      <c r="B297" s="3" t="s">
        <v>584</v>
      </c>
      <c r="C297" s="3" t="n">
        <f aca="false">IF(B297="","",SUMIF(Отзывы!$C:$C,$B297,Отзывы!$F:$F)+ТехническийЛист!$C$1)</f>
        <v>50</v>
      </c>
      <c r="D297" s="3" t="str">
        <f aca="false">IFERROR(__xludf.dummyfunction("IMPORTRANGE('ТехническийЛист'!$B$1,""список!D""&amp;'ТехническийЛист'!$A298)"),"Есть доступ")</f>
        <v>Есть доступ</v>
      </c>
      <c r="E297" s="3" t="s">
        <v>585</v>
      </c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23.25" hidden="false" customHeight="true" outlineLevel="0" collapsed="false">
      <c r="A298" s="3" t="s">
        <v>586</v>
      </c>
      <c r="B298" s="3" t="s">
        <v>587</v>
      </c>
      <c r="C298" s="3" t="n">
        <f aca="false">IF(B298="","",SUMIF(Отзывы!$C:$C,$B298,Отзывы!$F:$F)+ТехническийЛист!$C$1)</f>
        <v>50</v>
      </c>
      <c r="D298" s="3" t="str">
        <f aca="false">IFERROR(__xludf.dummyfunction("IMPORTRANGE('ТехническийЛист'!$B$1,""список!D""&amp;'ТехническийЛист'!$A299)"),"Есть доступ")</f>
        <v>Есть доступ</v>
      </c>
      <c r="E298" s="3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23.25" hidden="false" customHeight="true" outlineLevel="0" collapsed="false">
      <c r="A299" s="3" t="s">
        <v>588</v>
      </c>
      <c r="B299" s="3" t="s">
        <v>589</v>
      </c>
      <c r="C299" s="3" t="n">
        <f aca="false">IF(B299="","",SUMIF(Отзывы!$C:$C,$B299,Отзывы!$F:$F)+ТехническийЛист!$C$1)</f>
        <v>50</v>
      </c>
      <c r="D299" s="3" t="str">
        <f aca="false">IFERROR(__xludf.dummyfunction("IMPORTRANGE('ТехническийЛист'!$B$1,""список!D""&amp;'ТехническийЛист'!$A300)"),"Есть доступ")</f>
        <v>Есть доступ</v>
      </c>
      <c r="E299" s="3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23.25" hidden="false" customHeight="true" outlineLevel="0" collapsed="false">
      <c r="A300" s="3" t="s">
        <v>590</v>
      </c>
      <c r="B300" s="3" t="s">
        <v>591</v>
      </c>
      <c r="C300" s="3" t="n">
        <f aca="false">IF(B300="","",SUMIF(Отзывы!$C:$C,$B300,Отзывы!$F:$F)+ТехническийЛист!$C$1)</f>
        <v>50</v>
      </c>
      <c r="D300" s="3" t="str">
        <f aca="false">IFERROR(__xludf.dummyfunction("IMPORTRANGE('ТехническийЛист'!$B$1,""список!D""&amp;'ТехническийЛист'!$A301)"),"Есть доступ")</f>
        <v>Есть доступ</v>
      </c>
      <c r="E300" s="3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23.25" hidden="false" customHeight="true" outlineLevel="0" collapsed="false">
      <c r="A301" s="3" t="s">
        <v>592</v>
      </c>
      <c r="B301" s="3" t="s">
        <v>593</v>
      </c>
      <c r="C301" s="3" t="n">
        <f aca="false">IF(B301="","",SUMIF(Отзывы!$C:$C,$B301,Отзывы!$F:$F)+ТехническийЛист!$C$1)</f>
        <v>50</v>
      </c>
      <c r="D301" s="3" t="str">
        <f aca="false">IFERROR(__xludf.dummyfunction("IMPORTRANGE('ТехническийЛист'!$B$1,""список!D""&amp;'ТехническийЛист'!$A302)"),"Есть доступ")</f>
        <v>Есть доступ</v>
      </c>
      <c r="E301" s="3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23.25" hidden="false" customHeight="true" outlineLevel="0" collapsed="false">
      <c r="A302" s="3" t="s">
        <v>594</v>
      </c>
      <c r="B302" s="3" t="s">
        <v>595</v>
      </c>
      <c r="C302" s="3" t="n">
        <f aca="false">IF(B302="","",SUMIF(Отзывы!$C:$C,$B302,Отзывы!$F:$F)+ТехническийЛист!$C$1)</f>
        <v>50</v>
      </c>
      <c r="D302" s="3" t="str">
        <f aca="false">IFERROR(__xludf.dummyfunction("IMPORTRANGE('ТехническийЛист'!$B$1,""список!D""&amp;'ТехническийЛист'!$A303)"),"Есть доступ")</f>
        <v>Есть доступ</v>
      </c>
      <c r="E302" s="3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23.25" hidden="false" customHeight="true" outlineLevel="0" collapsed="false">
      <c r="A303" s="3" t="s">
        <v>596</v>
      </c>
      <c r="B303" s="3" t="s">
        <v>597</v>
      </c>
      <c r="C303" s="3" t="n">
        <f aca="false">IF(B303="","",SUMIF(Отзывы!$C:$C,$B303,Отзывы!$F:$F)+ТехническийЛист!$C$1)</f>
        <v>50</v>
      </c>
      <c r="D303" s="3" t="str">
        <f aca="false">IFERROR(__xludf.dummyfunction("IMPORTRANGE('ТехническийЛист'!$B$1,""список!D""&amp;'ТехническийЛист'!$A304)"),"Есть доступ")</f>
        <v>Есть доступ</v>
      </c>
      <c r="E303" s="3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23.25" hidden="false" customHeight="true" outlineLevel="0" collapsed="false">
      <c r="A304" s="3" t="s">
        <v>598</v>
      </c>
      <c r="B304" s="3" t="s">
        <v>599</v>
      </c>
      <c r="C304" s="3" t="n">
        <f aca="false">IF(B304="","",SUMIF(Отзывы!$C:$C,$B304,Отзывы!$F:$F)+ТехническийЛист!$C$1)</f>
        <v>50</v>
      </c>
      <c r="D304" s="3" t="str">
        <f aca="false">IFERROR(__xludf.dummyfunction("IMPORTRANGE('ТехническийЛист'!$B$1,""список!D""&amp;'ТехническийЛист'!$A305)"),"Есть доступ")</f>
        <v>Есть доступ</v>
      </c>
      <c r="E304" s="3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23.25" hidden="false" customHeight="true" outlineLevel="0" collapsed="false">
      <c r="A305" s="3" t="s">
        <v>600</v>
      </c>
      <c r="B305" s="3" t="s">
        <v>601</v>
      </c>
      <c r="C305" s="3" t="n">
        <f aca="false">IF(B305="","",SUMIF(Отзывы!$C:$C,$B305,Отзывы!$F:$F)+ТехническийЛист!$C$1)</f>
        <v>50</v>
      </c>
      <c r="D305" s="3" t="str">
        <f aca="false">IFERROR(__xludf.dummyfunction("IMPORTRANGE('ТехническийЛист'!$B$1,""список!D""&amp;'ТехническийЛист'!$A306)"),"Есть доступ")</f>
        <v>Есть доступ</v>
      </c>
      <c r="E305" s="3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23.25" hidden="false" customHeight="true" outlineLevel="0" collapsed="false">
      <c r="A306" s="3" t="s">
        <v>602</v>
      </c>
      <c r="B306" s="3" t="s">
        <v>603</v>
      </c>
      <c r="C306" s="3" t="n">
        <f aca="false">IF(B306="","",SUMIF(Отзывы!$C:$C,$B306,Отзывы!$F:$F)+ТехническийЛист!$C$1)</f>
        <v>50</v>
      </c>
      <c r="D306" s="3" t="str">
        <f aca="false">IFERROR(__xludf.dummyfunction("IMPORTRANGE('ТехническийЛист'!$B$1,""список!D""&amp;'ТехническийЛист'!$A307)"),"Есть доступ")</f>
        <v>Есть доступ</v>
      </c>
      <c r="E306" s="3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23.25" hidden="false" customHeight="true" outlineLevel="0" collapsed="false">
      <c r="A307" s="3" t="s">
        <v>604</v>
      </c>
      <c r="B307" s="3" t="s">
        <v>605</v>
      </c>
      <c r="C307" s="3" t="n">
        <f aca="false">IF(B307="","",SUMIF(Отзывы!$C:$C,$B307,Отзывы!$F:$F)+ТехническийЛист!$C$1)</f>
        <v>60</v>
      </c>
      <c r="D307" s="3" t="str">
        <f aca="false">IFERROR(__xludf.dummyfunction("IMPORTRANGE('ТехническийЛист'!$B$1,""список!D""&amp;'ТехническийЛист'!$A308)"),"Есть доступ")</f>
        <v>Есть доступ</v>
      </c>
      <c r="E307" s="3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23.25" hidden="false" customHeight="true" outlineLevel="0" collapsed="false">
      <c r="A308" s="3" t="s">
        <v>606</v>
      </c>
      <c r="B308" s="3" t="s">
        <v>607</v>
      </c>
      <c r="C308" s="3" t="n">
        <f aca="false">IF(B308="","",SUMIF(Отзывы!$C:$C,$B308,Отзывы!$F:$F)+ТехническийЛист!$C$1)</f>
        <v>50</v>
      </c>
      <c r="D308" s="3" t="str">
        <f aca="false">IFERROR(__xludf.dummyfunction("IMPORTRANGE('ТехническийЛист'!$B$1,""список!D""&amp;'ТехническийЛист'!$A309)"),"Есть доступ")</f>
        <v>Есть доступ</v>
      </c>
      <c r="E308" s="3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23.25" hidden="false" customHeight="true" outlineLevel="0" collapsed="false">
      <c r="A309" s="3" t="s">
        <v>608</v>
      </c>
      <c r="B309" s="3" t="s">
        <v>609</v>
      </c>
      <c r="C309" s="3" t="n">
        <f aca="false">IF(B309="","",SUMIF(Отзывы!$C:$C,$B309,Отзывы!$F:$F)+ТехническийЛист!$C$1)</f>
        <v>93</v>
      </c>
      <c r="D309" s="3" t="str">
        <f aca="false">IFERROR(__xludf.dummyfunction("IMPORTRANGE('ТехническийЛист'!$B$1,""список!D""&amp;'ТехническийЛист'!$A310)"),"Есть доступ")</f>
        <v>Есть доступ</v>
      </c>
      <c r="E309" s="3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23.25" hidden="false" customHeight="true" outlineLevel="0" collapsed="false">
      <c r="A310" s="3" t="s">
        <v>610</v>
      </c>
      <c r="B310" s="3" t="s">
        <v>611</v>
      </c>
      <c r="C310" s="3" t="n">
        <f aca="false">IF(B310="","",SUMIF(Отзывы!$C:$C,$B310,Отзывы!$F:$F)+ТехническийЛист!$C$1)</f>
        <v>50</v>
      </c>
      <c r="D310" s="3" t="str">
        <f aca="false">IFERROR(__xludf.dummyfunction("IMPORTRANGE('ТехническийЛист'!$B$1,""список!D""&amp;'ТехническийЛист'!$A311)"),"Нет доступа")</f>
        <v>Нет доступа</v>
      </c>
      <c r="E310" s="2" t="s">
        <v>612</v>
      </c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23.25" hidden="false" customHeight="true" outlineLevel="0" collapsed="false">
      <c r="A311" s="3" t="s">
        <v>613</v>
      </c>
      <c r="B311" s="3" t="s">
        <v>614</v>
      </c>
      <c r="C311" s="3" t="n">
        <f aca="false">IF(B311="","",SUMIF(Отзывы!$C:$C,$B311,Отзывы!$F:$F)+ТехническийЛист!$C$1)</f>
        <v>50</v>
      </c>
      <c r="D311" s="3" t="str">
        <f aca="false">IFERROR(__xludf.dummyfunction("IMPORTRANGE('ТехническийЛист'!$B$1,""список!D""&amp;'ТехническийЛист'!$A312)"),"Есть доступ")</f>
        <v>Есть доступ</v>
      </c>
      <c r="E311" s="3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23.25" hidden="false" customHeight="true" outlineLevel="0" collapsed="false">
      <c r="A312" s="3" t="s">
        <v>615</v>
      </c>
      <c r="B312" s="3" t="s">
        <v>616</v>
      </c>
      <c r="C312" s="3" t="n">
        <f aca="false">IF(B312="","",SUMIF(Отзывы!$C:$C,$B312,Отзывы!$F:$F)+ТехническийЛист!$C$1)</f>
        <v>48</v>
      </c>
      <c r="D312" s="3" t="str">
        <f aca="false">IFERROR(__xludf.dummyfunction("IMPORTRANGE('ТехническийЛист'!$B$1,""список!D""&amp;'ТехническийЛист'!$A313)"),"Есть доступ")</f>
        <v>Есть доступ</v>
      </c>
      <c r="E312" s="3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23.25" hidden="false" customHeight="true" outlineLevel="0" collapsed="false">
      <c r="A313" s="3" t="s">
        <v>617</v>
      </c>
      <c r="B313" s="3" t="s">
        <v>618</v>
      </c>
      <c r="C313" s="3" t="n">
        <f aca="false">IF(B313="","",SUMIF(Отзывы!$C:$C,$B313,Отзывы!$F:$F)+ТехническийЛист!$C$1)</f>
        <v>56</v>
      </c>
      <c r="D313" s="3" t="str">
        <f aca="false">IFERROR(__xludf.dummyfunction("IMPORTRANGE('ТехническийЛист'!$B$1,""список!D""&amp;'ТехническийЛист'!$A314)"),"Есть доступ")</f>
        <v>Есть доступ</v>
      </c>
      <c r="E313" s="3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23.25" hidden="false" customHeight="true" outlineLevel="0" collapsed="false">
      <c r="A314" s="3" t="s">
        <v>619</v>
      </c>
      <c r="B314" s="3" t="s">
        <v>620</v>
      </c>
      <c r="C314" s="3" t="n">
        <f aca="false">IF(B314="","",SUMIF(Отзывы!$C:$C,$B314,Отзывы!$F:$F)+ТехническийЛист!$C$1)</f>
        <v>50</v>
      </c>
      <c r="D314" s="3" t="str">
        <f aca="false">IFERROR(__xludf.dummyfunction("IMPORTRANGE('ТехническийЛист'!$B$1,""список!D""&amp;'ТехническийЛист'!$A315)"),"Есть доступ")</f>
        <v>Есть доступ</v>
      </c>
      <c r="E314" s="3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23.25" hidden="false" customHeight="true" outlineLevel="0" collapsed="false">
      <c r="A315" s="17" t="s">
        <v>621</v>
      </c>
      <c r="B315" s="3" t="s">
        <v>622</v>
      </c>
      <c r="C315" s="3" t="n">
        <f aca="false">IF(B315="","",SUMIF(Отзывы!$C:$C,$B315,Отзывы!$F:$F)+ТехническийЛист!$C$1)</f>
        <v>55</v>
      </c>
      <c r="D315" s="3" t="str">
        <f aca="false">IFERROR(__xludf.dummyfunction("IMPORTRANGE('ТехническийЛист'!$B$1,""список!D""&amp;'ТехническийЛист'!$A316)"),"Есть доступ")</f>
        <v>Есть доступ</v>
      </c>
      <c r="E315" s="3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23.25" hidden="false" customHeight="true" outlineLevel="0" collapsed="false">
      <c r="A316" s="3" t="s">
        <v>623</v>
      </c>
      <c r="B316" s="3" t="s">
        <v>624</v>
      </c>
      <c r="C316" s="3" t="n">
        <f aca="false">IF(B316="","",SUMIF(Отзывы!$C:$C,$B316,Отзывы!$F:$F)+ТехническийЛист!$C$1)</f>
        <v>35</v>
      </c>
      <c r="D316" s="3" t="str">
        <f aca="false">IFERROR(__xludf.dummyfunction("IMPORTRANGE('ТехническийЛист'!$B$1,""список!D""&amp;'ТехническийЛист'!$A317)"),"Есть доступ")</f>
        <v>Есть доступ</v>
      </c>
      <c r="E316" s="3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23.25" hidden="false" customHeight="true" outlineLevel="0" collapsed="false">
      <c r="A317" s="3" t="s">
        <v>625</v>
      </c>
      <c r="B317" s="3" t="s">
        <v>626</v>
      </c>
      <c r="C317" s="3" t="n">
        <f aca="false">IF(B317="","",SUMIF(Отзывы!$C:$C,$B317,Отзывы!$F:$F)+ТехническийЛист!$C$1)</f>
        <v>50</v>
      </c>
      <c r="D317" s="3" t="str">
        <f aca="false">IFERROR(__xludf.dummyfunction("IMPORTRANGE('ТехническийЛист'!$B$1,""список!D""&amp;'ТехническийЛист'!$A318)"),"Нет доступа")</f>
        <v>Нет доступа</v>
      </c>
      <c r="E317" s="3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23.25" hidden="false" customHeight="true" outlineLevel="0" collapsed="false">
      <c r="A318" s="3" t="s">
        <v>627</v>
      </c>
      <c r="B318" s="3" t="s">
        <v>628</v>
      </c>
      <c r="C318" s="3" t="n">
        <f aca="false">IF(B318="","",SUMIF(Отзывы!$C:$C,$B318,Отзывы!$F:$F)+ТехническийЛист!$C$1)</f>
        <v>50</v>
      </c>
      <c r="D318" s="3" t="str">
        <f aca="false">IFERROR(__xludf.dummyfunction("IMPORTRANGE('ТехническийЛист'!$B$1,""список!D""&amp;'ТехническийЛист'!$A319)"),"Есть доступ")</f>
        <v>Есть доступ</v>
      </c>
      <c r="E318" s="3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23.25" hidden="false" customHeight="true" outlineLevel="0" collapsed="false">
      <c r="A319" s="3" t="s">
        <v>629</v>
      </c>
      <c r="B319" s="3" t="s">
        <v>630</v>
      </c>
      <c r="C319" s="3" t="n">
        <f aca="false">IF(B319="","",SUMIF(Отзывы!$C:$C,$B319,Отзывы!$F:$F)+ТехническийЛист!$C$1)</f>
        <v>50</v>
      </c>
      <c r="D319" s="3" t="str">
        <f aca="false">IFERROR(__xludf.dummyfunction("IMPORTRANGE('ТехническийЛист'!$B$1,""список!D""&amp;'ТехническийЛист'!$A320)"),"Есть доступ")</f>
        <v>Есть доступ</v>
      </c>
      <c r="E319" s="3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23.25" hidden="false" customHeight="true" outlineLevel="0" collapsed="false">
      <c r="A320" s="5" t="s">
        <v>631</v>
      </c>
      <c r="B320" s="5" t="s">
        <v>631</v>
      </c>
      <c r="C320" s="3" t="n">
        <f aca="false">IF(B320="","",SUMIF(Отзывы!$C:$C,$B320,Отзывы!$F:$F)+ТехническийЛист!$C$1)</f>
        <v>35</v>
      </c>
      <c r="D320" s="3" t="str">
        <f aca="false">IFERROR(__xludf.dummyfunction("IMPORTRANGE('ТехническийЛист'!$B$1,""список!D""&amp;'ТехническийЛист'!$A321)"),"Есть доступ")</f>
        <v>Есть доступ</v>
      </c>
      <c r="E320" s="3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23.25" hidden="false" customHeight="true" outlineLevel="0" collapsed="false">
      <c r="A321" s="3" t="s">
        <v>632</v>
      </c>
      <c r="B321" s="3" t="s">
        <v>633</v>
      </c>
      <c r="C321" s="3" t="n">
        <f aca="false">IF(B321="","",SUMIF(Отзывы!$C:$C,$B321,Отзывы!$F:$F)+ТехническийЛист!$C$1)</f>
        <v>50</v>
      </c>
      <c r="D321" s="3" t="str">
        <f aca="false">IFERROR(__xludf.dummyfunction("IMPORTRANGE('ТехническийЛист'!$B$1,""список!D""&amp;'ТехническийЛист'!$A322)"),"Есть доступ")</f>
        <v>Есть доступ</v>
      </c>
      <c r="E321" s="3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23.25" hidden="false" customHeight="true" outlineLevel="0" collapsed="false">
      <c r="A322" s="3" t="s">
        <v>634</v>
      </c>
      <c r="B322" s="3" t="s">
        <v>635</v>
      </c>
      <c r="C322" s="3" t="n">
        <f aca="false">IF(B322="","",SUMIF(Отзывы!$C:$C,$B322,Отзывы!$F:$F)+ТехническийЛист!$C$1)</f>
        <v>35</v>
      </c>
      <c r="D322" s="3" t="str">
        <f aca="false">IFERROR(__xludf.dummyfunction("IMPORTRANGE('ТехническийЛист'!$B$1,""список!D""&amp;'ТехническийЛист'!$A323)"),"Есть доступ")</f>
        <v>Есть доступ</v>
      </c>
      <c r="E322" s="3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23.25" hidden="false" customHeight="true" outlineLevel="0" collapsed="false">
      <c r="A323" s="3" t="s">
        <v>636</v>
      </c>
      <c r="B323" s="3" t="s">
        <v>637</v>
      </c>
      <c r="C323" s="3" t="n">
        <f aca="false">IF(B323="","",SUMIF(Отзывы!$C:$C,$B323,Отзывы!$F:$F)+ТехническийЛист!$C$1)</f>
        <v>50</v>
      </c>
      <c r="D323" s="3" t="str">
        <f aca="false">IFERROR(__xludf.dummyfunction("IMPORTRANGE('ТехническийЛист'!$B$1,""список!D""&amp;'ТехническийЛист'!$A324)"),"Есть доступ")</f>
        <v>Есть доступ</v>
      </c>
      <c r="E323" s="3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23.25" hidden="false" customHeight="true" outlineLevel="0" collapsed="false">
      <c r="A324" s="3" t="s">
        <v>638</v>
      </c>
      <c r="B324" s="14" t="s">
        <v>639</v>
      </c>
      <c r="C324" s="3" t="n">
        <f aca="false">IF(B324="","",SUMIF(Отзывы!$C:$C,$B324,Отзывы!$F:$F)+ТехническийЛист!$C$1)</f>
        <v>50</v>
      </c>
      <c r="D324" s="3" t="str">
        <f aca="false">IFERROR(__xludf.dummyfunction("IMPORTRANGE('ТехническийЛист'!$B$1,""список!D""&amp;'ТехническийЛист'!$A325)"),"Есть доступ")</f>
        <v>Есть доступ</v>
      </c>
      <c r="E324" s="3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23.25" hidden="false" customHeight="true" outlineLevel="0" collapsed="false">
      <c r="A325" s="3" t="s">
        <v>640</v>
      </c>
      <c r="B325" s="3" t="s">
        <v>641</v>
      </c>
      <c r="C325" s="3" t="n">
        <f aca="false">IF(B325="","",SUMIF(Отзывы!$C:$C,$B325,Отзывы!$F:$F)+ТехническийЛист!$C$1)</f>
        <v>54</v>
      </c>
      <c r="D325" s="3" t="str">
        <f aca="false">IFERROR(__xludf.dummyfunction("IMPORTRANGE('ТехническийЛист'!$B$1,""список!D""&amp;'ТехническийЛист'!$A326)"),"Есть доступ")</f>
        <v>Есть доступ</v>
      </c>
      <c r="E325" s="3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23.25" hidden="false" customHeight="true" outlineLevel="0" collapsed="false">
      <c r="A326" s="3" t="s">
        <v>642</v>
      </c>
      <c r="B326" s="3" t="s">
        <v>643</v>
      </c>
      <c r="C326" s="3" t="n">
        <f aca="false">IF(B326="","",SUMIF(Отзывы!$C:$C,$B326,Отзывы!$F:$F)+ТехническийЛист!$C$1)</f>
        <v>0</v>
      </c>
      <c r="D326" s="3" t="str">
        <f aca="false">IFERROR(__xludf.dummyfunction("IMPORTRANGE('ТехническийЛист'!$B$1,""список!D""&amp;'ТехническийЛист'!$A327)"),"Нет доступа")</f>
        <v>Нет доступа</v>
      </c>
      <c r="E326" s="3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23.25" hidden="false" customHeight="true" outlineLevel="0" collapsed="false">
      <c r="A327" s="3" t="s">
        <v>644</v>
      </c>
      <c r="B327" s="3" t="s">
        <v>645</v>
      </c>
      <c r="C327" s="3" t="n">
        <f aca="false">IF(B327="","",SUMIF(Отзывы!$C:$C,$B327,Отзывы!$F:$F)+ТехническийЛист!$C$1)</f>
        <v>48</v>
      </c>
      <c r="D327" s="3" t="str">
        <f aca="false">IFERROR(__xludf.dummyfunction("IMPORTRANGE('ТехническийЛист'!$B$1,""список!D""&amp;'ТехническийЛист'!$A328)"),"Есть доступ")</f>
        <v>Есть доступ</v>
      </c>
      <c r="E327" s="3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23.25" hidden="false" customHeight="true" outlineLevel="0" collapsed="false">
      <c r="A328" s="3" t="s">
        <v>646</v>
      </c>
      <c r="B328" s="3" t="s">
        <v>647</v>
      </c>
      <c r="C328" s="3" t="n">
        <f aca="false">IF(B328="","",SUMIF(Отзывы!$C:$C,$B328,Отзывы!$F:$F)+ТехническийЛист!$C$1)</f>
        <v>62</v>
      </c>
      <c r="D328" s="3" t="str">
        <f aca="false">IFERROR(__xludf.dummyfunction("IMPORTRANGE('ТехническийЛист'!$B$1,""список!D""&amp;'ТехническийЛист'!$A329)"),"Есть доступ")</f>
        <v>Есть доступ</v>
      </c>
      <c r="E328" s="3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23.25" hidden="false" customHeight="true" outlineLevel="0" collapsed="false">
      <c r="A329" s="3" t="s">
        <v>648</v>
      </c>
      <c r="B329" s="3" t="s">
        <v>649</v>
      </c>
      <c r="C329" s="3" t="n">
        <f aca="false">IF(B329="","",SUMIF(Отзывы!$C:$C,$B329,Отзывы!$F:$F)+ТехническийЛист!$C$1)</f>
        <v>50</v>
      </c>
      <c r="D329" s="3" t="str">
        <f aca="false">IFERROR(__xludf.dummyfunction("IMPORTRANGE('ТехническийЛист'!$B$1,""список!D""&amp;'ТехническийЛист'!$A330)"),"Есть доступ")</f>
        <v>Есть доступ</v>
      </c>
      <c r="E329" s="3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23.25" hidden="false" customHeight="true" outlineLevel="0" collapsed="false">
      <c r="A330" s="3" t="s">
        <v>650</v>
      </c>
      <c r="B330" s="3" t="s">
        <v>651</v>
      </c>
      <c r="C330" s="3" t="n">
        <f aca="false">IF(B330="","",SUMIF(Отзывы!$C:$C,$B330,Отзывы!$F:$F)+ТехническийЛист!$C$1)</f>
        <v>50</v>
      </c>
      <c r="D330" s="3" t="str">
        <f aca="false">IFERROR(__xludf.dummyfunction("IMPORTRANGE('ТехническийЛист'!$B$1,""список!D""&amp;'ТехническийЛист'!$A331)"),"Есть доступ")</f>
        <v>Есть доступ</v>
      </c>
      <c r="E330" s="3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23.25" hidden="false" customHeight="true" outlineLevel="0" collapsed="false">
      <c r="A331" s="3" t="s">
        <v>652</v>
      </c>
      <c r="B331" s="3" t="s">
        <v>653</v>
      </c>
      <c r="C331" s="3" t="n">
        <f aca="false">IF(B331="","",SUMIF(Отзывы!$C:$C,$B331,Отзывы!$F:$F)+ТехническийЛист!$C$1)</f>
        <v>35</v>
      </c>
      <c r="D331" s="3" t="str">
        <f aca="false">IFERROR(__xludf.dummyfunction("IMPORTRANGE('ТехническийЛист'!$B$1,""список!D""&amp;'ТехническийЛист'!$A332)"),"Есть доступ")</f>
        <v>Есть доступ</v>
      </c>
      <c r="E331" s="3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23.25" hidden="false" customHeight="true" outlineLevel="0" collapsed="false">
      <c r="A332" s="3" t="s">
        <v>654</v>
      </c>
      <c r="B332" s="3" t="s">
        <v>655</v>
      </c>
      <c r="C332" s="3" t="n">
        <f aca="false">IF(B332="","",SUMIF(Отзывы!$C:$C,$B332,Отзывы!$F:$F)+ТехническийЛист!$C$1)</f>
        <v>55</v>
      </c>
      <c r="D332" s="3" t="str">
        <f aca="false">IFERROR(__xludf.dummyfunction("IMPORTRANGE('ТехническийЛист'!$B$1,""список!D""&amp;'ТехническийЛист'!$A333)"),"Есть доступ")</f>
        <v>Есть доступ</v>
      </c>
      <c r="E332" s="3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23.25" hidden="false" customHeight="true" outlineLevel="0" collapsed="false">
      <c r="A333" s="3" t="s">
        <v>656</v>
      </c>
      <c r="B333" s="3" t="s">
        <v>657</v>
      </c>
      <c r="C333" s="3" t="n">
        <f aca="false">IF(B333="","",SUMIF(Отзывы!$C:$C,$B333,Отзывы!$F:$F)+ТехническийЛист!$C$1)</f>
        <v>46</v>
      </c>
      <c r="D333" s="3" t="str">
        <f aca="false">IFERROR(__xludf.dummyfunction("IMPORTRANGE('ТехническийЛист'!$B$1,""список!D""&amp;'ТехническийЛист'!$A334)"),"Есть доступ")</f>
        <v>Есть доступ</v>
      </c>
      <c r="E333" s="3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23.25" hidden="false" customHeight="true" outlineLevel="0" collapsed="false">
      <c r="A334" s="3" t="s">
        <v>658</v>
      </c>
      <c r="B334" s="3" t="s">
        <v>658</v>
      </c>
      <c r="C334" s="3" t="n">
        <f aca="false">IF(B334="","",SUMIF(Отзывы!$C:$C,$B334,Отзывы!$F:$F)+ТехническийЛист!$C$1)</f>
        <v>50</v>
      </c>
      <c r="D334" s="3" t="str">
        <f aca="false">IFERROR(__xludf.dummyfunction("IMPORTRANGE('ТехническийЛист'!$B$1,""список!D""&amp;'ТехническийЛист'!$A335)"),"Есть доступ")</f>
        <v>Есть доступ</v>
      </c>
      <c r="E334" s="3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23.25" hidden="false" customHeight="true" outlineLevel="0" collapsed="false">
      <c r="A335" s="3" t="s">
        <v>659</v>
      </c>
      <c r="B335" s="3" t="s">
        <v>660</v>
      </c>
      <c r="C335" s="3" t="n">
        <f aca="false">IF(B335="","",SUMIF(Отзывы!$C:$C,$B335,Отзывы!$F:$F)+ТехническийЛист!$C$1)</f>
        <v>50</v>
      </c>
      <c r="D335" s="3" t="str">
        <f aca="false">IFERROR(__xludf.dummyfunction("IMPORTRANGE('ТехническийЛист'!$B$1,""список!D""&amp;'ТехническийЛист'!$A336)"),"Есть доступ")</f>
        <v>Есть доступ</v>
      </c>
      <c r="E335" s="3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23.25" hidden="false" customHeight="true" outlineLevel="0" collapsed="false">
      <c r="A336" s="3" t="s">
        <v>661</v>
      </c>
      <c r="B336" s="3" t="s">
        <v>662</v>
      </c>
      <c r="C336" s="3" t="n">
        <f aca="false">IF(B336="","",SUMIF(Отзывы!$C:$C,$B336,Отзывы!$F:$F)+ТехническийЛист!$C$1)</f>
        <v>50</v>
      </c>
      <c r="D336" s="3" t="str">
        <f aca="false">IFERROR(__xludf.dummyfunction("IMPORTRANGE('ТехническийЛист'!$B$1,""список!D""&amp;'ТехническийЛист'!$A337)"),"Есть доступ")</f>
        <v>Есть доступ</v>
      </c>
      <c r="E336" s="3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23.25" hidden="false" customHeight="true" outlineLevel="0" collapsed="false">
      <c r="A337" s="3" t="s">
        <v>663</v>
      </c>
      <c r="B337" s="3" t="s">
        <v>663</v>
      </c>
      <c r="C337" s="3" t="n">
        <f aca="false">IF(B337="","",SUMIF(Отзывы!$C:$C,$B337,Отзывы!$F:$F)+ТехническийЛист!$C$1)</f>
        <v>50</v>
      </c>
      <c r="D337" s="3" t="str">
        <f aca="false">IFERROR(__xludf.dummyfunction("IMPORTRANGE('ТехническийЛист'!$B$1,""список!D""&amp;'ТехническийЛист'!$A338)"),"Есть доступ")</f>
        <v>Есть доступ</v>
      </c>
      <c r="E337" s="3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23.25" hidden="false" customHeight="true" outlineLevel="0" collapsed="false">
      <c r="A338" s="3" t="s">
        <v>664</v>
      </c>
      <c r="B338" s="3" t="s">
        <v>665</v>
      </c>
      <c r="C338" s="3" t="n">
        <f aca="false">IF(B338="","",SUMIF(Отзывы!$C:$C,$B338,Отзывы!$F:$F)+ТехническийЛист!$C$1)</f>
        <v>35</v>
      </c>
      <c r="D338" s="3" t="str">
        <f aca="false">IFERROR(__xludf.dummyfunction("IMPORTRANGE('ТехническийЛист'!$B$1,""список!D""&amp;'ТехническийЛист'!$A339)"),"Есть доступ")</f>
        <v>Есть доступ</v>
      </c>
      <c r="E338" s="3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23.25" hidden="false" customHeight="true" outlineLevel="0" collapsed="false">
      <c r="A339" s="3" t="s">
        <v>666</v>
      </c>
      <c r="B339" s="3" t="s">
        <v>667</v>
      </c>
      <c r="C339" s="3" t="n">
        <f aca="false">IF(B339="","",SUMIF(Отзывы!$C:$C,$B339,Отзывы!$F:$F)+ТехническийЛист!$C$1)</f>
        <v>68</v>
      </c>
      <c r="D339" s="3" t="str">
        <f aca="false">IFERROR(__xludf.dummyfunction("IMPORTRANGE('ТехническийЛист'!$B$1,""список!D""&amp;'ТехническийЛист'!$A340)"),"Есть доступ")</f>
        <v>Есть доступ</v>
      </c>
      <c r="E339" s="3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23.25" hidden="false" customHeight="true" outlineLevel="0" collapsed="false">
      <c r="A340" s="3" t="s">
        <v>668</v>
      </c>
      <c r="B340" s="3" t="s">
        <v>669</v>
      </c>
      <c r="C340" s="3" t="n">
        <f aca="false">IF(B340="","",SUMIF(Отзывы!$C:$C,$B340,Отзывы!$F:$F)+ТехническийЛист!$C$1)</f>
        <v>50</v>
      </c>
      <c r="D340" s="3" t="str">
        <f aca="false">IFERROR(__xludf.dummyfunction("IMPORTRANGE('ТехническийЛист'!$B$1,""список!D""&amp;'ТехническийЛист'!$A341)"),"Есть доступ")</f>
        <v>Есть доступ</v>
      </c>
      <c r="E340" s="3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23.25" hidden="false" customHeight="true" outlineLevel="0" collapsed="false">
      <c r="A341" s="3" t="s">
        <v>670</v>
      </c>
      <c r="B341" s="3" t="s">
        <v>671</v>
      </c>
      <c r="C341" s="3" t="n">
        <f aca="false">IF(B341="","",SUMIF(Отзывы!$C:$C,$B341,Отзывы!$F:$F)+ТехническийЛист!$C$1)</f>
        <v>100</v>
      </c>
      <c r="D341" s="3" t="str">
        <f aca="false">IFERROR(__xludf.dummyfunction("IMPORTRANGE('ТехническийЛист'!$B$1,""список!D""&amp;'ТехническийЛист'!$A342)"),"Есть доступ")</f>
        <v>Есть доступ</v>
      </c>
      <c r="E341" s="3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23.25" hidden="false" customHeight="true" outlineLevel="0" collapsed="false">
      <c r="A342" s="3" t="s">
        <v>672</v>
      </c>
      <c r="B342" s="3" t="s">
        <v>673</v>
      </c>
      <c r="C342" s="3" t="n">
        <f aca="false">IF(B342="","",SUMIF(Отзывы!$C:$C,$B342,Отзывы!$F:$F)+ТехническийЛист!$C$1)</f>
        <v>63</v>
      </c>
      <c r="D342" s="3" t="str">
        <f aca="false">IFERROR(__xludf.dummyfunction("IMPORTRANGE('ТехническийЛист'!$B$1,""список!D""&amp;'ТехническийЛист'!$A343)"),"Есть доступ")</f>
        <v>Есть доступ</v>
      </c>
      <c r="E342" s="20" t="s">
        <v>674</v>
      </c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23.25" hidden="false" customHeight="true" outlineLevel="0" collapsed="false">
      <c r="A343" s="3" t="s">
        <v>675</v>
      </c>
      <c r="B343" s="3" t="s">
        <v>676</v>
      </c>
      <c r="C343" s="3" t="n">
        <f aca="false">IF(B343="","",SUMIF(Отзывы!$C:$C,$B343,Отзывы!$F:$F)+ТехническийЛист!$C$1)</f>
        <v>45</v>
      </c>
      <c r="D343" s="3" t="str">
        <f aca="false">IFERROR(__xludf.dummyfunction("IMPORTRANGE('ТехническийЛист'!$B$1,""список!D""&amp;'ТехническийЛист'!$A344)"),"Есть доступ")</f>
        <v>Есть доступ</v>
      </c>
      <c r="E343" s="3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23.25" hidden="false" customHeight="true" outlineLevel="0" collapsed="false">
      <c r="A344" s="3" t="s">
        <v>677</v>
      </c>
      <c r="B344" s="3" t="s">
        <v>678</v>
      </c>
      <c r="C344" s="3" t="n">
        <f aca="false">IF(B344="","",SUMIF(Отзывы!$C:$C,$B344,Отзывы!$F:$F)+ТехническийЛист!$C$1)</f>
        <v>50</v>
      </c>
      <c r="D344" s="3" t="str">
        <f aca="false">IFERROR(__xludf.dummyfunction("IMPORTRANGE('ТехническийЛист'!$B$1,""список!D""&amp;'ТехническийЛист'!$A345)"),"Есть доступ")</f>
        <v>Есть доступ</v>
      </c>
      <c r="E344" s="3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23.25" hidden="false" customHeight="true" outlineLevel="0" collapsed="false">
      <c r="A345" s="3" t="s">
        <v>679</v>
      </c>
      <c r="B345" s="3" t="s">
        <v>680</v>
      </c>
      <c r="C345" s="3" t="n">
        <f aca="false">IF(B345="","",SUMIF(Отзывы!$C:$C,$B345,Отзывы!$F:$F)+ТехническийЛист!$C$1)</f>
        <v>50</v>
      </c>
      <c r="D345" s="3" t="str">
        <f aca="false">IFERROR(__xludf.dummyfunction("IMPORTRANGE('ТехническийЛист'!$B$1,""список!D""&amp;'ТехническийЛист'!$A346)"),"Есть доступ")</f>
        <v>Есть доступ</v>
      </c>
      <c r="E345" s="3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23.25" hidden="false" customHeight="true" outlineLevel="0" collapsed="false">
      <c r="A346" s="3" t="s">
        <v>681</v>
      </c>
      <c r="B346" s="3" t="s">
        <v>681</v>
      </c>
      <c r="C346" s="3" t="n">
        <f aca="false">IF(B346="","",SUMIF(Отзывы!$C:$C,$B346,Отзывы!$F:$F)+ТехническийЛист!$C$1)</f>
        <v>50</v>
      </c>
      <c r="D346" s="3" t="str">
        <f aca="false">IFERROR(__xludf.dummyfunction("IMPORTRANGE('ТехническийЛист'!$B$1,""список!D""&amp;'ТехническийЛист'!$A347)"),"Есть доступ")</f>
        <v>Есть доступ</v>
      </c>
      <c r="E346" s="3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23.25" hidden="false" customHeight="true" outlineLevel="0" collapsed="false">
      <c r="A347" s="3" t="s">
        <v>682</v>
      </c>
      <c r="B347" s="3" t="s">
        <v>683</v>
      </c>
      <c r="C347" s="3" t="n">
        <f aca="false">IF(B347="","",SUMIF(Отзывы!$C:$C,$B347,Отзывы!$F:$F)+ТехническийЛист!$C$1)</f>
        <v>71</v>
      </c>
      <c r="D347" s="3" t="str">
        <f aca="false">IFERROR(__xludf.dummyfunction("IMPORTRANGE('ТехническийЛист'!$B$1,""список!D""&amp;'ТехническийЛист'!$A348)"),"Есть доступ")</f>
        <v>Есть доступ</v>
      </c>
      <c r="E347" s="3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23.25" hidden="false" customHeight="true" outlineLevel="0" collapsed="false">
      <c r="A348" s="3" t="s">
        <v>684</v>
      </c>
      <c r="B348" s="3" t="s">
        <v>685</v>
      </c>
      <c r="C348" s="3" t="n">
        <f aca="false">IF(B348="","",SUMIF(Отзывы!$C:$C,$B348,Отзывы!$F:$F)+ТехническийЛист!$C$1)</f>
        <v>50</v>
      </c>
      <c r="D348" s="3" t="str">
        <f aca="false">IFERROR(__xludf.dummyfunction("IMPORTRANGE('ТехническийЛист'!$B$1,""список!D""&amp;'ТехническийЛист'!$A349)"),"Есть доступ")</f>
        <v>Есть доступ</v>
      </c>
      <c r="E348" s="3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23.25" hidden="false" customHeight="true" outlineLevel="0" collapsed="false">
      <c r="A349" s="3" t="s">
        <v>686</v>
      </c>
      <c r="B349" s="3" t="s">
        <v>687</v>
      </c>
      <c r="C349" s="3" t="n">
        <f aca="false">IF(B349="","",SUMIF(Отзывы!$C:$C,$B349,Отзывы!$F:$F)+ТехническийЛист!$C$1)</f>
        <v>52</v>
      </c>
      <c r="D349" s="3" t="str">
        <f aca="false">IFERROR(__xludf.dummyfunction("IMPORTRANGE('ТехническийЛист'!$B$1,""список!D""&amp;'ТехническийЛист'!$A350)"),"Есть доступ")</f>
        <v>Есть доступ</v>
      </c>
      <c r="E349" s="3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23.25" hidden="false" customHeight="true" outlineLevel="0" collapsed="false">
      <c r="A350" s="3" t="s">
        <v>688</v>
      </c>
      <c r="B350" s="3" t="s">
        <v>688</v>
      </c>
      <c r="C350" s="3" t="n">
        <f aca="false">IF(B350="","",SUMIF(Отзывы!$C:$C,$B350,Отзывы!$F:$F)+ТехническийЛист!$C$1)</f>
        <v>50</v>
      </c>
      <c r="D350" s="3" t="str">
        <f aca="false">IFERROR(__xludf.dummyfunction("IMPORTRANGE('ТехническийЛист'!$B$1,""список!D""&amp;'ТехническийЛист'!$A351)"),"Есть доступ")</f>
        <v>Есть доступ</v>
      </c>
      <c r="E350" s="3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23.25" hidden="false" customHeight="true" outlineLevel="0" collapsed="false">
      <c r="A351" s="3" t="s">
        <v>689</v>
      </c>
      <c r="B351" s="3" t="s">
        <v>690</v>
      </c>
      <c r="C351" s="3" t="n">
        <f aca="false">IF(B351="","",SUMIF(Отзывы!$C:$C,$B351,Отзывы!$F:$F)+ТехническийЛист!$C$1)</f>
        <v>50</v>
      </c>
      <c r="D351" s="3" t="str">
        <f aca="false">IFERROR(__xludf.dummyfunction("IMPORTRANGE('ТехническийЛист'!$B$1,""список!D""&amp;'ТехническийЛист'!$A352)"),"Есть доступ")</f>
        <v>Есть доступ</v>
      </c>
      <c r="E351" s="3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23.25" hidden="false" customHeight="true" outlineLevel="0" collapsed="false">
      <c r="A352" s="3" t="s">
        <v>691</v>
      </c>
      <c r="B352" s="3" t="s">
        <v>692</v>
      </c>
      <c r="C352" s="3" t="n">
        <f aca="false">IF(B352="","",SUMIF(Отзывы!$C:$C,$B352,Отзывы!$F:$F)+ТехническийЛист!$C$1)</f>
        <v>65</v>
      </c>
      <c r="D352" s="3" t="str">
        <f aca="false">IFERROR(__xludf.dummyfunction("IMPORTRANGE('ТехническийЛист'!$B$1,""список!D""&amp;'ТехническийЛист'!$A353)"),"Есть доступ")</f>
        <v>Есть доступ</v>
      </c>
      <c r="E352" s="3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23.25" hidden="false" customHeight="true" outlineLevel="0" collapsed="false">
      <c r="A353" s="3" t="s">
        <v>693</v>
      </c>
      <c r="B353" s="3" t="s">
        <v>694</v>
      </c>
      <c r="C353" s="3" t="n">
        <f aca="false">IF(B353="","",SUMIF(Отзывы!$C:$C,$B353,Отзывы!$F:$F)+ТехническийЛист!$C$1)</f>
        <v>10</v>
      </c>
      <c r="D353" s="3" t="str">
        <f aca="false">IFERROR(__xludf.dummyfunction("IMPORTRANGE('ТехническийЛист'!$B$1,""список!D""&amp;'ТехническийЛист'!$A354)"),"Есть доступ")</f>
        <v>Есть доступ</v>
      </c>
      <c r="E353" s="3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23.25" hidden="false" customHeight="true" outlineLevel="0" collapsed="false">
      <c r="A354" s="3" t="s">
        <v>695</v>
      </c>
      <c r="B354" s="3" t="s">
        <v>696</v>
      </c>
      <c r="C354" s="3" t="n">
        <f aca="false">IF(B354="","",SUMIF(Отзывы!$C:$C,$B354,Отзывы!$F:$F)+ТехническийЛист!$C$1)</f>
        <v>35</v>
      </c>
      <c r="D354" s="3" t="str">
        <f aca="false">IFERROR(__xludf.dummyfunction("IMPORTRANGE('ТехническийЛист'!$B$1,""список!D""&amp;'ТехническийЛист'!$A355)"),"Есть доступ")</f>
        <v>Есть доступ</v>
      </c>
      <c r="E354" s="3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23.25" hidden="false" customHeight="true" outlineLevel="0" collapsed="false">
      <c r="A355" s="3" t="s">
        <v>697</v>
      </c>
      <c r="B355" s="3" t="s">
        <v>698</v>
      </c>
      <c r="C355" s="3" t="n">
        <f aca="false">IF(B355="","",SUMIF(Отзывы!$C:$C,$B355,Отзывы!$F:$F)+ТехническийЛист!$C$1)</f>
        <v>81</v>
      </c>
      <c r="D355" s="3" t="str">
        <f aca="false">IFERROR(__xludf.dummyfunction("IMPORTRANGE('ТехническийЛист'!$B$1,""список!D""&amp;'ТехническийЛист'!$A356)"),"Есть доступ")</f>
        <v>Есть доступ</v>
      </c>
      <c r="E355" s="3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23.25" hidden="false" customHeight="true" outlineLevel="0" collapsed="false">
      <c r="A356" s="3" t="s">
        <v>699</v>
      </c>
      <c r="B356" s="3" t="s">
        <v>700</v>
      </c>
      <c r="C356" s="3" t="n">
        <f aca="false">IF(B356="","",SUMIF(Отзывы!$C:$C,$B356,Отзывы!$F:$F)+ТехническийЛист!$C$1)</f>
        <v>60</v>
      </c>
      <c r="D356" s="3" t="str">
        <f aca="false">IFERROR(__xludf.dummyfunction("IMPORTRANGE('ТехническийЛист'!$B$1,""список!D""&amp;'ТехническийЛист'!$A357)"),"Есть доступ")</f>
        <v>Есть доступ</v>
      </c>
      <c r="E356" s="3" t="s">
        <v>701</v>
      </c>
      <c r="F356" s="2" t="s">
        <v>702</v>
      </c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23.25" hidden="false" customHeight="true" outlineLevel="0" collapsed="false">
      <c r="A357" s="3" t="s">
        <v>703</v>
      </c>
      <c r="B357" s="3" t="s">
        <v>704</v>
      </c>
      <c r="C357" s="3" t="n">
        <f aca="false">IF(B357="","",SUMIF(Отзывы!$C:$C,$B357,Отзывы!$F:$F)+ТехническийЛист!$C$1)</f>
        <v>35</v>
      </c>
      <c r="D357" s="3" t="str">
        <f aca="false">IFERROR(__xludf.dummyfunction("IMPORTRANGE('ТехническийЛист'!$B$1,""список!D""&amp;'ТехническийЛист'!$A358)"),"Нет доступа")</f>
        <v>Нет доступа</v>
      </c>
      <c r="E357" s="3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23.25" hidden="false" customHeight="true" outlineLevel="0" collapsed="false">
      <c r="A358" s="3" t="s">
        <v>705</v>
      </c>
      <c r="B358" s="3" t="s">
        <v>706</v>
      </c>
      <c r="C358" s="3" t="n">
        <f aca="false">IF(B358="","",SUMIF(Отзывы!$C:$C,$B358,Отзывы!$F:$F)+ТехническийЛист!$C$1)</f>
        <v>60</v>
      </c>
      <c r="D358" s="3" t="str">
        <f aca="false">IFERROR(__xludf.dummyfunction("IMPORTRANGE('ТехническийЛист'!$B$1,""список!D""&amp;'ТехническийЛист'!$A359)"),"Есть доступ")</f>
        <v>Есть доступ</v>
      </c>
      <c r="E358" s="3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23.25" hidden="false" customHeight="true" outlineLevel="0" collapsed="false">
      <c r="A359" s="3" t="s">
        <v>707</v>
      </c>
      <c r="B359" s="3" t="s">
        <v>708</v>
      </c>
      <c r="C359" s="3" t="n">
        <f aca="false">IF(B359="","",SUMIF(Отзывы!$C:$C,$B359,Отзывы!$F:$F)+ТехническийЛист!$C$1)</f>
        <v>53</v>
      </c>
      <c r="D359" s="3" t="str">
        <f aca="false">IFERROR(__xludf.dummyfunction("IMPORTRANGE('ТехническийЛист'!$B$1,""список!D""&amp;'ТехническийЛист'!$A360)"),"Есть доступ")</f>
        <v>Есть доступ</v>
      </c>
      <c r="E359" s="3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23.25" hidden="false" customHeight="true" outlineLevel="0" collapsed="false">
      <c r="A360" s="3" t="s">
        <v>709</v>
      </c>
      <c r="B360" s="3" t="s">
        <v>710</v>
      </c>
      <c r="C360" s="3" t="n">
        <f aca="false">IF(B360="","",SUMIF(Отзывы!$C:$C,$B360,Отзывы!$F:$F)+ТехническийЛист!$C$1)</f>
        <v>50</v>
      </c>
      <c r="D360" s="3" t="str">
        <f aca="false">IFERROR(__xludf.dummyfunction("IMPORTRANGE('ТехническийЛист'!$B$1,""список!D""&amp;'ТехническийЛист'!$A361)"),"Есть доступ")</f>
        <v>Есть доступ</v>
      </c>
      <c r="E360" s="3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23.25" hidden="false" customHeight="true" outlineLevel="0" collapsed="false">
      <c r="A361" s="3" t="s">
        <v>711</v>
      </c>
      <c r="B361" s="3" t="s">
        <v>711</v>
      </c>
      <c r="C361" s="3" t="n">
        <f aca="false">IF(B361="","",SUMIF(Отзывы!$C:$C,$B361,Отзывы!$F:$F)+ТехническийЛист!$C$1)</f>
        <v>60</v>
      </c>
      <c r="D361" s="3" t="str">
        <f aca="false">IFERROR(__xludf.dummyfunction("IMPORTRANGE('ТехническийЛист'!$B$1,""список!D""&amp;'ТехническийЛист'!$A362)"),"Есть доступ")</f>
        <v>Есть доступ</v>
      </c>
      <c r="E361" s="3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23.25" hidden="false" customHeight="true" outlineLevel="0" collapsed="false">
      <c r="A362" s="3" t="s">
        <v>712</v>
      </c>
      <c r="B362" s="3" t="s">
        <v>713</v>
      </c>
      <c r="C362" s="3" t="n">
        <f aca="false">IF(B362="","",SUMIF(Отзывы!$C:$C,$B362,Отзывы!$F:$F)+ТехническийЛист!$C$1)</f>
        <v>50</v>
      </c>
      <c r="D362" s="3" t="str">
        <f aca="false">IFERROR(__xludf.dummyfunction("IMPORTRANGE('ТехническийЛист'!$B$1,""список!D""&amp;'ТехническийЛист'!$A363)"),"Есть доступ")</f>
        <v>Есть доступ</v>
      </c>
      <c r="E362" s="3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23.25" hidden="false" customHeight="true" outlineLevel="0" collapsed="false">
      <c r="A363" s="3" t="s">
        <v>714</v>
      </c>
      <c r="B363" s="3" t="s">
        <v>714</v>
      </c>
      <c r="C363" s="3" t="n">
        <f aca="false">IF(B363="","",SUMIF(Отзывы!$C:$C,$B363,Отзывы!$F:$F)+ТехническийЛист!$C$1)</f>
        <v>50</v>
      </c>
      <c r="D363" s="3" t="str">
        <f aca="false">IFERROR(__xludf.dummyfunction("IMPORTRANGE('ТехническийЛист'!$B$1,""список!D""&amp;'ТехническийЛист'!$A364)"),"Есть доступ")</f>
        <v>Есть доступ</v>
      </c>
      <c r="E363" s="3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23.25" hidden="false" customHeight="true" outlineLevel="0" collapsed="false">
      <c r="A364" s="3" t="s">
        <v>715</v>
      </c>
      <c r="B364" s="3" t="s">
        <v>716</v>
      </c>
      <c r="C364" s="3" t="n">
        <f aca="false">IF(B364="","",SUMIF(Отзывы!$C:$C,$B364,Отзывы!$F:$F)+ТехническийЛист!$C$1)</f>
        <v>36</v>
      </c>
      <c r="D364" s="3" t="str">
        <f aca="false">IFERROR(__xludf.dummyfunction("IMPORTRANGE('ТехническийЛист'!$B$1,""список!D""&amp;'ТехническийЛист'!$A365)"),"Есть доступ")</f>
        <v>Есть доступ</v>
      </c>
      <c r="E364" s="3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23.25" hidden="false" customHeight="true" outlineLevel="0" collapsed="false">
      <c r="A365" s="3" t="s">
        <v>717</v>
      </c>
      <c r="B365" s="3" t="s">
        <v>718</v>
      </c>
      <c r="C365" s="3" t="n">
        <f aca="false">IF(B365="","",SUMIF(Отзывы!$C:$C,$B365,Отзывы!$F:$F)+ТехническийЛист!$C$1)</f>
        <v>35</v>
      </c>
      <c r="D365" s="3" t="str">
        <f aca="false">IFERROR(__xludf.dummyfunction("IMPORTRANGE('ТехническийЛист'!$B$1,""список!D""&amp;'ТехническийЛист'!$A366)"),"Нет доступа")</f>
        <v>Нет доступа</v>
      </c>
      <c r="E365" s="3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23.25" hidden="false" customHeight="true" outlineLevel="0" collapsed="false">
      <c r="A366" s="3" t="s">
        <v>719</v>
      </c>
      <c r="B366" s="3" t="s">
        <v>719</v>
      </c>
      <c r="C366" s="3" t="n">
        <f aca="false">IF(B366="","",SUMIF(Отзывы!$C:$C,$B366,Отзывы!$F:$F)+ТехническийЛист!$C$1)</f>
        <v>37</v>
      </c>
      <c r="D366" s="3" t="str">
        <f aca="false">IFERROR(__xludf.dummyfunction("IMPORTRANGE('ТехническийЛист'!$B$1,""список!D""&amp;'ТехническийЛист'!$A367)"),"Есть доступ")</f>
        <v>Есть доступ</v>
      </c>
      <c r="E366" s="3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23.25" hidden="false" customHeight="true" outlineLevel="0" collapsed="false">
      <c r="A367" s="3" t="s">
        <v>720</v>
      </c>
      <c r="B367" s="3" t="s">
        <v>721</v>
      </c>
      <c r="C367" s="3" t="n">
        <f aca="false">IF(B367="","",SUMIF(Отзывы!$C:$C,$B367,Отзывы!$F:$F)+ТехническийЛист!$C$1)</f>
        <v>37</v>
      </c>
      <c r="D367" s="3" t="str">
        <f aca="false">IFERROR(__xludf.dummyfunction("IMPORTRANGE('ТехническийЛист'!$B$1,""список!D""&amp;'ТехническийЛист'!$A368)"),"Есть доступ")</f>
        <v>Есть доступ</v>
      </c>
      <c r="E367" s="3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23.25" hidden="false" customHeight="true" outlineLevel="0" collapsed="false">
      <c r="A368" s="3" t="s">
        <v>722</v>
      </c>
      <c r="B368" s="3" t="s">
        <v>723</v>
      </c>
      <c r="C368" s="3" t="n">
        <f aca="false">IF(B368="","",SUMIF(Отзывы!$C:$C,$B368,Отзывы!$F:$F)+ТехническийЛист!$C$1)</f>
        <v>50</v>
      </c>
      <c r="D368" s="3" t="str">
        <f aca="false">IFERROR(__xludf.dummyfunction("IMPORTRANGE('ТехническийЛист'!$B$1,""список!D""&amp;'ТехническийЛист'!$A369)"),"Есть доступ")</f>
        <v>Есть доступ</v>
      </c>
      <c r="E368" s="3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23.25" hidden="false" customHeight="true" outlineLevel="0" collapsed="false">
      <c r="A369" s="3" t="s">
        <v>724</v>
      </c>
      <c r="B369" s="3" t="s">
        <v>725</v>
      </c>
      <c r="C369" s="3" t="n">
        <f aca="false">IF(B369="","",SUMIF(Отзывы!$C:$C,$B369,Отзывы!$F:$F)+ТехническийЛист!$C$1)</f>
        <v>50</v>
      </c>
      <c r="D369" s="3" t="str">
        <f aca="false">IFERROR(__xludf.dummyfunction("IMPORTRANGE('ТехническийЛист'!$B$1,""список!D""&amp;'ТехническийЛист'!$A370)"),"Есть доступ")</f>
        <v>Есть доступ</v>
      </c>
      <c r="E369" s="3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23.25" hidden="false" customHeight="true" outlineLevel="0" collapsed="false">
      <c r="A370" s="3" t="s">
        <v>726</v>
      </c>
      <c r="B370" s="3" t="s">
        <v>727</v>
      </c>
      <c r="C370" s="3" t="n">
        <f aca="false">IF(B370="","",SUMIF(Отзывы!$C:$C,$B370,Отзывы!$F:$F)+ТехническийЛист!$C$1)</f>
        <v>50</v>
      </c>
      <c r="D370" s="3" t="str">
        <f aca="false">IFERROR(__xludf.dummyfunction("IMPORTRANGE('ТехническийЛист'!$B$1,""список!D""&amp;'ТехническийЛист'!$A371)"),"Есть доступ")</f>
        <v>Есть доступ</v>
      </c>
      <c r="E370" s="3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23.25" hidden="false" customHeight="true" outlineLevel="0" collapsed="false">
      <c r="A371" s="3" t="s">
        <v>728</v>
      </c>
      <c r="B371" s="3" t="s">
        <v>729</v>
      </c>
      <c r="C371" s="3" t="n">
        <f aca="false">IF(B371="","",SUMIF(Отзывы!$C:$C,$B371,Отзывы!$F:$F)+ТехническийЛист!$C$1)</f>
        <v>35</v>
      </c>
      <c r="D371" s="3" t="str">
        <f aca="false">IFERROR(__xludf.dummyfunction("IMPORTRANGE('ТехническийЛист'!$B$1,""список!D""&amp;'ТехническийЛист'!$A372)"),"Есть доступ")</f>
        <v>Есть доступ</v>
      </c>
      <c r="E371" s="3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23.25" hidden="false" customHeight="true" outlineLevel="0" collapsed="false">
      <c r="A372" s="3" t="s">
        <v>730</v>
      </c>
      <c r="B372" s="3" t="s">
        <v>731</v>
      </c>
      <c r="C372" s="3" t="n">
        <f aca="false">IF(B372="","",SUMIF(Отзывы!$C:$C,$B372,Отзывы!$F:$F)+ТехническийЛист!$C$1)</f>
        <v>50</v>
      </c>
      <c r="D372" s="3" t="str">
        <f aca="false">IFERROR(__xludf.dummyfunction("IMPORTRANGE('ТехническийЛист'!$B$1,""список!D""&amp;'ТехническийЛист'!$A373)"),"Есть доступ")</f>
        <v>Есть доступ</v>
      </c>
      <c r="E372" s="3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23.25" hidden="false" customHeight="true" outlineLevel="0" collapsed="false">
      <c r="A373" s="3" t="s">
        <v>732</v>
      </c>
      <c r="B373" s="3" t="s">
        <v>733</v>
      </c>
      <c r="C373" s="3" t="n">
        <f aca="false">IF(B373="","",SUMIF(Отзывы!$C:$C,$B373,Отзывы!$F:$F)+ТехническийЛист!$C$1)</f>
        <v>63</v>
      </c>
      <c r="D373" s="3" t="str">
        <f aca="false">IFERROR(__xludf.dummyfunction("IMPORTRANGE('ТехническийЛист'!$B$1,""список!D""&amp;'ТехническийЛист'!$A374)"),"Есть доступ")</f>
        <v>Есть доступ</v>
      </c>
      <c r="E373" s="3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23.25" hidden="false" customHeight="true" outlineLevel="0" collapsed="false">
      <c r="A374" s="3" t="s">
        <v>734</v>
      </c>
      <c r="B374" s="3" t="s">
        <v>735</v>
      </c>
      <c r="C374" s="3" t="n">
        <f aca="false">IF(B374="","",SUMIF(Отзывы!$C:$C,$B374,Отзывы!$F:$F)+ТехническийЛист!$C$1)</f>
        <v>50</v>
      </c>
      <c r="D374" s="3" t="str">
        <f aca="false">IFERROR(__xludf.dummyfunction("IMPORTRANGE('ТехническийЛист'!$B$1,""список!D""&amp;'ТехническийЛист'!$A375)"),"Есть доступ")</f>
        <v>Есть доступ</v>
      </c>
      <c r="E374" s="3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23.25" hidden="false" customHeight="true" outlineLevel="0" collapsed="false">
      <c r="A375" s="3" t="s">
        <v>736</v>
      </c>
      <c r="B375" s="3" t="s">
        <v>737</v>
      </c>
      <c r="C375" s="3" t="n">
        <f aca="false">IF(B375="","",SUMIF(Отзывы!$C:$C,$B375,Отзывы!$F:$F)+ТехническийЛист!$C$1)</f>
        <v>65</v>
      </c>
      <c r="D375" s="3" t="str">
        <f aca="false">IFERROR(__xludf.dummyfunction("IMPORTRANGE('ТехническийЛист'!$B$1,""список!D""&amp;'ТехническийЛист'!$A376)"),"Есть доступ")</f>
        <v>Есть доступ</v>
      </c>
      <c r="E375" s="3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23.25" hidden="false" customHeight="true" outlineLevel="0" collapsed="false">
      <c r="A376" s="3" t="s">
        <v>738</v>
      </c>
      <c r="B376" s="3" t="s">
        <v>385</v>
      </c>
      <c r="C376" s="3" t="n">
        <f aca="false">IF(B376="","",SUMIF(Отзывы!$C:$C,$B376,Отзывы!$F:$F)+ТехническийЛист!$C$1)</f>
        <v>52</v>
      </c>
      <c r="D376" s="3" t="str">
        <f aca="false">IFERROR(__xludf.dummyfunction("IMPORTRANGE('ТехническийЛист'!$B$1,""список!D""&amp;'ТехническийЛист'!$A377)"),"Есть доступ")</f>
        <v>Есть доступ</v>
      </c>
      <c r="E376" s="3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23.25" hidden="false" customHeight="true" outlineLevel="0" collapsed="false">
      <c r="A377" s="3" t="s">
        <v>739</v>
      </c>
      <c r="B377" s="3" t="s">
        <v>740</v>
      </c>
      <c r="C377" s="3" t="n">
        <f aca="false">IF(B377="","",SUMIF(Отзывы!$C:$C,$B377,Отзывы!$F:$F)+ТехническийЛист!$C$1)</f>
        <v>50</v>
      </c>
      <c r="D377" s="3" t="str">
        <f aca="false">IFERROR(__xludf.dummyfunction("IMPORTRANGE('ТехническийЛист'!$B$1,""список!D""&amp;'ТехническийЛист'!$A378)"),"Есть доступ")</f>
        <v>Есть доступ</v>
      </c>
      <c r="E377" s="3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23.25" hidden="false" customHeight="true" outlineLevel="0" collapsed="false">
      <c r="A378" s="3" t="s">
        <v>741</v>
      </c>
      <c r="B378" s="3" t="s">
        <v>741</v>
      </c>
      <c r="C378" s="3" t="n">
        <f aca="false">IF(B378="","",SUMIF(Отзывы!$C:$C,$B378,Отзывы!$F:$F)+ТехническийЛист!$C$1)</f>
        <v>77</v>
      </c>
      <c r="D378" s="3" t="str">
        <f aca="false">IFERROR(__xludf.dummyfunction("IMPORTRANGE('ТехническийЛист'!$B$1,""список!D""&amp;'ТехническийЛист'!$A379)"),"Есть доступ")</f>
        <v>Есть доступ</v>
      </c>
      <c r="E378" s="3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23.25" hidden="false" customHeight="true" outlineLevel="0" collapsed="false">
      <c r="A379" s="3" t="s">
        <v>742</v>
      </c>
      <c r="B379" s="3" t="s">
        <v>743</v>
      </c>
      <c r="C379" s="3" t="n">
        <f aca="false">IF(B379="","",SUMIF(Отзывы!$C:$C,$B379,Отзывы!$F:$F)+ТехническийЛист!$C$1)</f>
        <v>55</v>
      </c>
      <c r="D379" s="3" t="str">
        <f aca="false">IFERROR(__xludf.dummyfunction("IMPORTRANGE('ТехническийЛист'!$B$1,""список!D""&amp;'ТехническийЛист'!$A380)"),"Есть доступ")</f>
        <v>Есть доступ</v>
      </c>
      <c r="E379" s="3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23.25" hidden="false" customHeight="true" outlineLevel="0" collapsed="false">
      <c r="A380" s="3" t="s">
        <v>744</v>
      </c>
      <c r="B380" s="3" t="s">
        <v>745</v>
      </c>
      <c r="C380" s="3" t="n">
        <f aca="false">IF(B380="","",SUMIF(Отзывы!$C:$C,$B380,Отзывы!$F:$F)+ТехническийЛист!$C$1)</f>
        <v>52</v>
      </c>
      <c r="D380" s="3" t="str">
        <f aca="false">IFERROR(__xludf.dummyfunction("IMPORTRANGE('ТехническийЛист'!$B$1,""список!D""&amp;'ТехническийЛист'!$A381)"),"Есть доступ")</f>
        <v>Есть доступ</v>
      </c>
      <c r="E380" s="3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23.25" hidden="false" customHeight="true" outlineLevel="0" collapsed="false">
      <c r="A381" s="3" t="s">
        <v>746</v>
      </c>
      <c r="B381" s="3" t="s">
        <v>746</v>
      </c>
      <c r="C381" s="3" t="n">
        <f aca="false">IF(B381="","",SUMIF(Отзывы!$C:$C,$B381,Отзывы!$F:$F)+ТехническийЛист!$C$1)</f>
        <v>60</v>
      </c>
      <c r="D381" s="3" t="str">
        <f aca="false">IFERROR(__xludf.dummyfunction("IMPORTRANGE('ТехническийЛист'!$B$1,""список!D""&amp;'ТехническийЛист'!$A382)"),"Есть доступ")</f>
        <v>Есть доступ</v>
      </c>
      <c r="E381" s="3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23.25" hidden="false" customHeight="true" outlineLevel="0" collapsed="false">
      <c r="A382" s="3" t="s">
        <v>747</v>
      </c>
      <c r="B382" s="3" t="s">
        <v>748</v>
      </c>
      <c r="C382" s="3" t="n">
        <f aca="false">IF(B382="","",SUMIF(Отзывы!$C:$C,$B382,Отзывы!$F:$F)+ТехническийЛист!$C$1)</f>
        <v>50</v>
      </c>
      <c r="D382" s="3" t="str">
        <f aca="false">IFERROR(__xludf.dummyfunction("IMPORTRANGE('ТехническийЛист'!$B$1,""список!D""&amp;'ТехническийЛист'!$A383)"),"Есть доступ")</f>
        <v>Есть доступ</v>
      </c>
      <c r="E382" s="3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23.25" hidden="false" customHeight="true" outlineLevel="0" collapsed="false">
      <c r="A383" s="3" t="s">
        <v>749</v>
      </c>
      <c r="B383" s="3" t="s">
        <v>749</v>
      </c>
      <c r="C383" s="3" t="n">
        <f aca="false">IF(B383="","",SUMIF(Отзывы!$C:$C,$B383,Отзывы!$F:$F)+ТехническийЛист!$C$1)</f>
        <v>50</v>
      </c>
      <c r="D383" s="3" t="str">
        <f aca="false">IFERROR(__xludf.dummyfunction("IMPORTRANGE('ТехническийЛист'!$B$1,""список!D""&amp;'ТехническийЛист'!$A384)"),"Есть доступ")</f>
        <v>Есть доступ</v>
      </c>
      <c r="E383" s="3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23.25" hidden="false" customHeight="true" outlineLevel="0" collapsed="false">
      <c r="A384" s="3" t="s">
        <v>750</v>
      </c>
      <c r="B384" s="3" t="s">
        <v>751</v>
      </c>
      <c r="C384" s="3" t="n">
        <f aca="false">IF(B384="","",SUMIF(Отзывы!$C:$C,$B384,Отзывы!$F:$F)+ТехническийЛист!$C$1)</f>
        <v>50</v>
      </c>
      <c r="D384" s="3" t="str">
        <f aca="false">IFERROR(__xludf.dummyfunction("IMPORTRANGE('ТехническийЛист'!$B$1,""список!D""&amp;'ТехническийЛист'!$A385)"),"Есть доступ")</f>
        <v>Есть доступ</v>
      </c>
      <c r="E384" s="3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23.25" hidden="false" customHeight="true" outlineLevel="0" collapsed="false">
      <c r="A385" s="2" t="s">
        <v>752</v>
      </c>
      <c r="B385" s="3" t="s">
        <v>753</v>
      </c>
      <c r="C385" s="3" t="n">
        <f aca="false">IF(B385="","",SUMIF(Отзывы!$C:$C,$B385,Отзывы!$F:$F)+ТехническийЛист!$C$1)</f>
        <v>55</v>
      </c>
      <c r="D385" s="3" t="str">
        <f aca="false">IFERROR(__xludf.dummyfunction("IMPORTRANGE('ТехническийЛист'!$B$1,""список!D""&amp;'ТехническийЛист'!$A386)"),"Есть доступ")</f>
        <v>Есть доступ</v>
      </c>
      <c r="E385" s="3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23.25" hidden="false" customHeight="true" outlineLevel="0" collapsed="false">
      <c r="A386" s="3" t="s">
        <v>754</v>
      </c>
      <c r="B386" s="3" t="s">
        <v>755</v>
      </c>
      <c r="C386" s="3" t="n">
        <f aca="false">IF(B386="","",SUMIF(Отзывы!$C:$C,$B386,Отзывы!$F:$F)+ТехническийЛист!$C$1)</f>
        <v>35</v>
      </c>
      <c r="D386" s="3" t="str">
        <f aca="false">IFERROR(__xludf.dummyfunction("IMPORTRANGE('ТехническийЛист'!$B$1,""список!D""&amp;'ТехническийЛист'!$A387)"),"Есть доступ")</f>
        <v>Есть доступ</v>
      </c>
      <c r="E386" s="3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23.25" hidden="false" customHeight="true" outlineLevel="0" collapsed="false">
      <c r="A387" s="3" t="s">
        <v>756</v>
      </c>
      <c r="B387" s="3" t="s">
        <v>757</v>
      </c>
      <c r="C387" s="3" t="n">
        <f aca="false">IF(B387="","",SUMIF(Отзывы!$C:$C,$B387,Отзывы!$F:$F)+ТехническийЛист!$C$1)</f>
        <v>15</v>
      </c>
      <c r="D387" s="3" t="str">
        <f aca="false">IFERROR(__xludf.dummyfunction("IMPORTRANGE('ТехническийЛист'!$B$1,""список!D""&amp;'ТехническийЛист'!$A388)"),"Есть доступ")</f>
        <v>Есть доступ</v>
      </c>
      <c r="E387" s="3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23.25" hidden="false" customHeight="true" outlineLevel="0" collapsed="false">
      <c r="A388" s="3" t="s">
        <v>758</v>
      </c>
      <c r="B388" s="3" t="s">
        <v>759</v>
      </c>
      <c r="C388" s="3" t="n">
        <f aca="false">IF(B388="","",SUMIF(Отзывы!$C:$C,$B388,Отзывы!$F:$F)+ТехническийЛист!$C$1)</f>
        <v>73</v>
      </c>
      <c r="D388" s="3" t="str">
        <f aca="false">IFERROR(__xludf.dummyfunction("IMPORTRANGE('ТехническийЛист'!$B$1,""список!D""&amp;'ТехническийЛист'!$A389)"),"Есть доступ")</f>
        <v>Есть доступ</v>
      </c>
      <c r="E388" s="3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23.25" hidden="false" customHeight="true" outlineLevel="0" collapsed="false">
      <c r="A389" s="3" t="s">
        <v>760</v>
      </c>
      <c r="B389" s="3" t="s">
        <v>761</v>
      </c>
      <c r="C389" s="3" t="n">
        <f aca="false">IF(B389="","",SUMIF(Отзывы!$C:$C,$B389,Отзывы!$F:$F)+ТехническийЛист!$C$1)</f>
        <v>50</v>
      </c>
      <c r="D389" s="3" t="str">
        <f aca="false">IFERROR(__xludf.dummyfunction("IMPORTRANGE('ТехническийЛист'!$B$1,""список!D""&amp;'ТехническийЛист'!$A390)"),"Нет доступа")</f>
        <v>Нет доступа</v>
      </c>
      <c r="E389" s="3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23.25" hidden="false" customHeight="true" outlineLevel="0" collapsed="false">
      <c r="A390" s="3" t="s">
        <v>762</v>
      </c>
      <c r="B390" s="20" t="s">
        <v>763</v>
      </c>
      <c r="C390" s="3" t="n">
        <f aca="false">IF(B390="","",SUMIF(Отзывы!$C:$C,$B390,Отзывы!$F:$F)+ТехническийЛист!$C$1)</f>
        <v>40</v>
      </c>
      <c r="D390" s="3" t="str">
        <f aca="false">IFERROR(__xludf.dummyfunction("IMPORTRANGE('ТехническийЛист'!$B$1,""список!D""&amp;'ТехническийЛист'!$A391)"),"Есть доступ")</f>
        <v>Есть доступ</v>
      </c>
      <c r="E390" s="3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23.25" hidden="false" customHeight="true" outlineLevel="0" collapsed="false">
      <c r="A391" s="7" t="s">
        <v>764</v>
      </c>
      <c r="B391" s="7" t="s">
        <v>764</v>
      </c>
      <c r="C391" s="3" t="n">
        <f aca="false">IF(B391="","",SUMIF(Отзывы!$C:$C,$B391,Отзывы!$F:$F)+ТехническийЛист!$C$1)</f>
        <v>60</v>
      </c>
      <c r="D391" s="3" t="str">
        <f aca="false">IFERROR(__xludf.dummyfunction("IMPORTRANGE('ТехническийЛист'!$B$1,""список!D""&amp;'ТехническийЛист'!$A392)"),"Есть доступ")</f>
        <v>Есть доступ</v>
      </c>
      <c r="E391" s="3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23.25" hidden="false" customHeight="true" outlineLevel="0" collapsed="false">
      <c r="A392" s="2" t="s">
        <v>765</v>
      </c>
      <c r="B392" s="2" t="s">
        <v>765</v>
      </c>
      <c r="C392" s="3" t="n">
        <f aca="false">IF(B392="","",SUMIF(Отзывы!$C:$C,$B392,Отзывы!$F:$F)+ТехническийЛист!$C$1)</f>
        <v>60</v>
      </c>
      <c r="D392" s="3" t="str">
        <f aca="false">IFERROR(__xludf.dummyfunction("IMPORTRANGE('ТехническийЛист'!$B$1,""список!D""&amp;'ТехническийЛист'!$A393)"),"Есть доступ")</f>
        <v>Есть доступ</v>
      </c>
      <c r="E392" s="3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23.25" hidden="false" customHeight="true" outlineLevel="0" collapsed="false">
      <c r="A393" s="2" t="s">
        <v>766</v>
      </c>
      <c r="B393" s="2" t="s">
        <v>767</v>
      </c>
      <c r="C393" s="3" t="n">
        <f aca="false">IF(B393="","",SUMIF(Отзывы!$C:$C,$B393,Отзывы!$F:$F)+ТехническийЛист!$C$1)</f>
        <v>67</v>
      </c>
      <c r="D393" s="3" t="str">
        <f aca="false">IFERROR(__xludf.dummyfunction("IMPORTRANGE('ТехническийЛист'!$B$1,""список!D""&amp;'ТехническийЛист'!$A394)"),"Есть доступ")</f>
        <v>Есть доступ</v>
      </c>
      <c r="E393" s="3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23.25" hidden="false" customHeight="true" outlineLevel="0" collapsed="false">
      <c r="A394" s="3" t="s">
        <v>768</v>
      </c>
      <c r="B394" s="3" t="s">
        <v>768</v>
      </c>
      <c r="C394" s="3" t="n">
        <f aca="false">IF(B394="","",SUMIF(Отзывы!$C:$C,$B394,Отзывы!$F:$F)+ТехническийЛист!$C$1)</f>
        <v>35</v>
      </c>
      <c r="D394" s="3" t="str">
        <f aca="false">IFERROR(__xludf.dummyfunction("IMPORTRANGE('ТехническийЛист'!$B$1,""список!D""&amp;'ТехническийЛист'!$A395)"),"Есть доступ")</f>
        <v>Есть доступ</v>
      </c>
      <c r="E394" s="3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23.25" hidden="false" customHeight="true" outlineLevel="0" collapsed="false">
      <c r="A395" s="7" t="s">
        <v>769</v>
      </c>
      <c r="B395" s="7" t="s">
        <v>770</v>
      </c>
      <c r="C395" s="3" t="n">
        <f aca="false">IF(B395="","",SUMIF(Отзывы!$C:$C,$B395,Отзывы!$F:$F)+ТехническийЛист!$C$1)</f>
        <v>50</v>
      </c>
      <c r="D395" s="3" t="str">
        <f aca="false">IFERROR(__xludf.dummyfunction("IMPORTRANGE('ТехническийЛист'!$B$1,""список!D""&amp;'ТехническийЛист'!$A396)"),"Есть доступ")</f>
        <v>Есть доступ</v>
      </c>
      <c r="E395" s="3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23.25" hidden="false" customHeight="true" outlineLevel="0" collapsed="false">
      <c r="A396" s="7" t="s">
        <v>771</v>
      </c>
      <c r="B396" s="7" t="s">
        <v>772</v>
      </c>
      <c r="C396" s="3" t="n">
        <f aca="false">IF(B396="","",SUMIF(Отзывы!$C:$C,$B396,Отзывы!$F:$F)+ТехническийЛист!$C$1)</f>
        <v>50</v>
      </c>
      <c r="D396" s="3" t="str">
        <f aca="false">IFERROR(__xludf.dummyfunction("IMPORTRANGE('ТехническийЛист'!$B$1,""список!D""&amp;'ТехническийЛист'!$A397)"),"Есть доступ")</f>
        <v>Есть доступ</v>
      </c>
      <c r="E396" s="3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23.25" hidden="false" customHeight="true" outlineLevel="0" collapsed="false">
      <c r="A397" s="7" t="s">
        <v>773</v>
      </c>
      <c r="B397" s="7" t="s">
        <v>774</v>
      </c>
      <c r="C397" s="3" t="n">
        <f aca="false">IF(B397="","",SUMIF(Отзывы!$C:$C,$B397,Отзывы!$F:$F)+ТехническийЛист!$C$1)</f>
        <v>50</v>
      </c>
      <c r="D397" s="3" t="str">
        <f aca="false">IFERROR(__xludf.dummyfunction("IMPORTRANGE('ТехническийЛист'!$B$1,""список!D""&amp;'ТехническийЛист'!$A398)"),"Есть доступ")</f>
        <v>Есть доступ</v>
      </c>
      <c r="E397" s="3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23.25" hidden="false" customHeight="true" outlineLevel="0" collapsed="false">
      <c r="A398" s="7" t="s">
        <v>775</v>
      </c>
      <c r="B398" s="7" t="s">
        <v>776</v>
      </c>
      <c r="C398" s="3" t="n">
        <f aca="false">IF(B398="","",SUMIF(Отзывы!$C:$C,$B398,Отзывы!$F:$F)+ТехническийЛист!$C$1)</f>
        <v>50</v>
      </c>
      <c r="D398" s="3" t="str">
        <f aca="false">IFERROR(__xludf.dummyfunction("IMPORTRANGE('ТехническийЛист'!$B$1,""список!D""&amp;'ТехническийЛист'!$A399)"),"Есть доступ")</f>
        <v>Есть доступ</v>
      </c>
      <c r="E398" s="3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23.25" hidden="false" customHeight="true" outlineLevel="0" collapsed="false">
      <c r="A399" s="3" t="s">
        <v>777</v>
      </c>
      <c r="B399" s="3" t="s">
        <v>778</v>
      </c>
      <c r="C399" s="3" t="n">
        <f aca="false">IF(B399="","",SUMIF(Отзывы!$C:$C,$B399,Отзывы!$F:$F)+ТехническийЛист!$C$1)</f>
        <v>43</v>
      </c>
      <c r="D399" s="3" t="str">
        <f aca="false">IFERROR(__xludf.dummyfunction("IMPORTRANGE('ТехническийЛист'!$B$1,""список!D""&amp;'ТехническийЛист'!$A400)"),"Есть доступ")</f>
        <v>Есть доступ</v>
      </c>
      <c r="E399" s="3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23.25" hidden="false" customHeight="true" outlineLevel="0" collapsed="false">
      <c r="A400" s="2" t="s">
        <v>779</v>
      </c>
      <c r="B400" s="14" t="s">
        <v>780</v>
      </c>
      <c r="C400" s="3" t="n">
        <f aca="false">IF(B400="","",SUMIF(Отзывы!$C:$C,$B400,Отзывы!$F:$F)+ТехническийЛист!$C$1)</f>
        <v>60</v>
      </c>
      <c r="D400" s="3" t="str">
        <f aca="false">IFERROR(__xludf.dummyfunction("IMPORTRANGE('ТехническийЛист'!$B$1,""список!D""&amp;'ТехническийЛист'!$A401)"),"Есть доступ")</f>
        <v>Есть доступ</v>
      </c>
      <c r="E400" s="3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23.25" hidden="false" customHeight="true" outlineLevel="0" collapsed="false">
      <c r="A401" s="2" t="s">
        <v>781</v>
      </c>
      <c r="B401" s="14" t="s">
        <v>782</v>
      </c>
      <c r="C401" s="3" t="n">
        <f aca="false">IF(B401="","",SUMIF(Отзывы!$C:$C,$B401,Отзывы!$F:$F)+ТехническийЛист!$C$1)</f>
        <v>50</v>
      </c>
      <c r="D401" s="3" t="str">
        <f aca="false">IFERROR(__xludf.dummyfunction("IMPORTRANGE('ТехническийЛист'!$B$1,""список!D""&amp;'ТехническийЛист'!$A402)"),"Есть доступ")</f>
        <v>Есть доступ</v>
      </c>
      <c r="E401" s="3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23.25" hidden="false" customHeight="true" outlineLevel="0" collapsed="false">
      <c r="A402" s="2" t="s">
        <v>783</v>
      </c>
      <c r="B402" s="14" t="s">
        <v>784</v>
      </c>
      <c r="C402" s="3" t="n">
        <f aca="false">IF(B402="","",SUMIF(Отзывы!$C:$C,$B402,Отзывы!$F:$F)+ТехническийЛист!$C$1)</f>
        <v>52</v>
      </c>
      <c r="D402" s="3" t="str">
        <f aca="false">IFERROR(__xludf.dummyfunction("IMPORTRANGE('ТехническийЛист'!$B$1,""список!D""&amp;'ТехническийЛист'!$A403)"),"Есть доступ")</f>
        <v>Есть доступ</v>
      </c>
      <c r="E402" s="3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23.25" hidden="false" customHeight="true" outlineLevel="0" collapsed="false">
      <c r="A403" s="3" t="s">
        <v>785</v>
      </c>
      <c r="B403" s="3" t="s">
        <v>786</v>
      </c>
      <c r="C403" s="3" t="n">
        <f aca="false">IF(B403="","",SUMIF(Отзывы!$C:$C,$B403,Отзывы!$F:$F)+ТехническийЛист!$C$1)</f>
        <v>60</v>
      </c>
      <c r="D403" s="3" t="str">
        <f aca="false">IFERROR(__xludf.dummyfunction("IMPORTRANGE('ТехническийЛист'!$B$1,""список!D""&amp;'ТехническийЛист'!$A404)"),"Есть доступ")</f>
        <v>Есть доступ</v>
      </c>
      <c r="E403" s="3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23.25" hidden="false" customHeight="true" outlineLevel="0" collapsed="false">
      <c r="A404" s="3" t="s">
        <v>787</v>
      </c>
      <c r="B404" s="3" t="s">
        <v>788</v>
      </c>
      <c r="C404" s="3" t="n">
        <f aca="false">IF(B404="","",SUMIF(Отзывы!$C:$C,$B404,Отзывы!$F:$F)+ТехническийЛист!$C$1)</f>
        <v>50</v>
      </c>
      <c r="D404" s="3" t="str">
        <f aca="false">IFERROR(__xludf.dummyfunction("IMPORTRANGE('ТехническийЛист'!$B$1,""список!D""&amp;'ТехническийЛист'!$A405)"),"Есть доступ")</f>
        <v>Есть доступ</v>
      </c>
      <c r="E404" s="3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23.25" hidden="false" customHeight="true" outlineLevel="0" collapsed="false">
      <c r="A405" s="3" t="s">
        <v>789</v>
      </c>
      <c r="B405" s="3" t="s">
        <v>790</v>
      </c>
      <c r="C405" s="3" t="n">
        <f aca="false">IF(B405="","",SUMIF(Отзывы!$C:$C,$B405,Отзывы!$F:$F)+ТехническийЛист!$C$1)</f>
        <v>65</v>
      </c>
      <c r="D405" s="3" t="str">
        <f aca="false">IFERROR(__xludf.dummyfunction("IMPORTRANGE('ТехническийЛист'!$B$1,""список!D""&amp;'ТехническийЛист'!$A406)"),"Есть доступ")</f>
        <v>Есть доступ</v>
      </c>
      <c r="E405" s="3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23.25" hidden="false" customHeight="true" outlineLevel="0" collapsed="false">
      <c r="A406" s="3" t="s">
        <v>791</v>
      </c>
      <c r="B406" s="3" t="s">
        <v>792</v>
      </c>
      <c r="C406" s="3" t="n">
        <f aca="false">IF(B406="","",SUMIF(Отзывы!$C:$C,$B406,Отзывы!$F:$F)+ТехническийЛист!$C$1)</f>
        <v>35</v>
      </c>
      <c r="D406" s="3" t="str">
        <f aca="false">IFERROR(__xludf.dummyfunction("IMPORTRANGE('ТехническийЛист'!$B$1,""список!D""&amp;'ТехническийЛист'!$A407)"),"Есть доступ")</f>
        <v>Есть доступ</v>
      </c>
      <c r="E406" s="3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23.25" hidden="false" customHeight="true" outlineLevel="0" collapsed="false">
      <c r="A407" s="3" t="s">
        <v>793</v>
      </c>
      <c r="B407" s="14" t="s">
        <v>794</v>
      </c>
      <c r="C407" s="3" t="n">
        <f aca="false">IF(B407="","",SUMIF(Отзывы!$C:$C,$B407,Отзывы!$F:$F)+ТехническийЛист!$C$1)</f>
        <v>35</v>
      </c>
      <c r="D407" s="3" t="str">
        <f aca="false">IFERROR(__xludf.dummyfunction("IMPORTRANGE('ТехническийЛист'!$B$1,""список!D""&amp;'ТехническийЛист'!$A408)"),"Есть доступ")</f>
        <v>Есть доступ</v>
      </c>
      <c r="E407" s="3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23.25" hidden="false" customHeight="true" outlineLevel="0" collapsed="false">
      <c r="A408" s="3" t="s">
        <v>795</v>
      </c>
      <c r="B408" s="8" t="s">
        <v>796</v>
      </c>
      <c r="C408" s="3" t="n">
        <f aca="false">IF(B408="","",SUMIF(Отзывы!$C:$C,$B408,Отзывы!$F:$F)+ТехническийЛист!$C$1)</f>
        <v>50</v>
      </c>
      <c r="D408" s="3" t="str">
        <f aca="false">IFERROR(__xludf.dummyfunction("IMPORTRANGE('ТехническийЛист'!$B$1,""список!D""&amp;'ТехническийЛист'!$A409)"),"Есть доступ")</f>
        <v>Есть доступ</v>
      </c>
      <c r="E408" s="3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23.25" hidden="false" customHeight="true" outlineLevel="0" collapsed="false">
      <c r="A409" s="3" t="s">
        <v>797</v>
      </c>
      <c r="B409" s="3" t="s">
        <v>798</v>
      </c>
      <c r="C409" s="3" t="n">
        <f aca="false">IF(B409="","",SUMIF(Отзывы!$C:$C,$B409,Отзывы!$F:$F)+ТехническийЛист!$C$1)</f>
        <v>50</v>
      </c>
      <c r="D409" s="3" t="str">
        <f aca="false">IFERROR(__xludf.dummyfunction("IMPORTRANGE('ТехническийЛист'!$B$1,""список!D""&amp;'ТехническийЛист'!$A410)"),"Есть доступ")</f>
        <v>Есть доступ</v>
      </c>
      <c r="E409" s="3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23.25" hidden="false" customHeight="true" outlineLevel="0" collapsed="false">
      <c r="A410" s="3" t="s">
        <v>799</v>
      </c>
      <c r="B410" s="3" t="s">
        <v>800</v>
      </c>
      <c r="C410" s="3" t="n">
        <f aca="false">IF(B410="","",SUMIF(Отзывы!$C:$C,$B410,Отзывы!$F:$F)+ТехническийЛист!$C$1)</f>
        <v>53</v>
      </c>
      <c r="D410" s="3" t="str">
        <f aca="false">IFERROR(__xludf.dummyfunction("IMPORTRANGE('ТехническийЛист'!$B$1,""список!D""&amp;'ТехническийЛист'!$A411)"),"Есть доступ")</f>
        <v>Есть доступ</v>
      </c>
      <c r="E410" s="3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23.25" hidden="false" customHeight="true" outlineLevel="0" collapsed="false">
      <c r="A411" s="3" t="s">
        <v>801</v>
      </c>
      <c r="B411" s="3" t="s">
        <v>801</v>
      </c>
      <c r="C411" s="3" t="n">
        <f aca="false">IF(B411="","",SUMIF(Отзывы!$C:$C,$B411,Отзывы!$F:$F)+ТехническийЛист!$C$1)</f>
        <v>50</v>
      </c>
      <c r="D411" s="3" t="str">
        <f aca="false">IFERROR(__xludf.dummyfunction("IMPORTRANGE('ТехническийЛист'!$B$1,""список!D""&amp;'ТехническийЛист'!$A412)"),"Есть доступ")</f>
        <v>Есть доступ</v>
      </c>
      <c r="E411" s="3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23.25" hidden="false" customHeight="true" outlineLevel="0" collapsed="false">
      <c r="A412" s="3" t="s">
        <v>802</v>
      </c>
      <c r="B412" s="3" t="s">
        <v>803</v>
      </c>
      <c r="C412" s="3" t="n">
        <f aca="false">IF(B412="","",SUMIF(Отзывы!$C:$C,$B412,Отзывы!$F:$F)+ТехническийЛист!$C$1)</f>
        <v>50</v>
      </c>
      <c r="D412" s="3" t="str">
        <f aca="false">IFERROR(__xludf.dummyfunction("IMPORTRANGE('ТехническийЛист'!$B$1,""список!D""&amp;'ТехническийЛист'!$A413)"),"Есть доступ")</f>
        <v>Есть доступ</v>
      </c>
      <c r="E412" s="3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23.25" hidden="false" customHeight="true" outlineLevel="0" collapsed="false">
      <c r="A413" s="3" t="s">
        <v>804</v>
      </c>
      <c r="B413" s="3" t="s">
        <v>805</v>
      </c>
      <c r="C413" s="3" t="n">
        <f aca="false">IF(B413="","",SUMIF(Отзывы!$C:$C,$B413,Отзывы!$F:$F)+ТехническийЛист!$C$1)</f>
        <v>50</v>
      </c>
      <c r="D413" s="3" t="str">
        <f aca="false">IFERROR(__xludf.dummyfunction("IMPORTRANGE('ТехническийЛист'!$B$1,""список!D""&amp;'ТехническийЛист'!$A414)"),"Есть доступ")</f>
        <v>Есть доступ</v>
      </c>
      <c r="E413" s="3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23.25" hidden="false" customHeight="true" outlineLevel="0" collapsed="false">
      <c r="A414" s="3" t="s">
        <v>806</v>
      </c>
      <c r="B414" s="3" t="s">
        <v>807</v>
      </c>
      <c r="C414" s="3" t="n">
        <f aca="false">IF(B414="","",SUMIF(Отзывы!$C:$C,$B414,Отзывы!$F:$F)+ТехническийЛист!$C$1)</f>
        <v>50</v>
      </c>
      <c r="D414" s="3" t="str">
        <f aca="false">IFERROR(__xludf.dummyfunction("IMPORTRANGE('ТехническийЛист'!$B$1,""список!D""&amp;'ТехническийЛист'!$A415)"),"Есть доступ")</f>
        <v>Есть доступ</v>
      </c>
      <c r="E414" s="3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23.25" hidden="false" customHeight="true" outlineLevel="0" collapsed="false">
      <c r="A415" s="3" t="s">
        <v>808</v>
      </c>
      <c r="B415" s="3" t="s">
        <v>809</v>
      </c>
      <c r="C415" s="3" t="n">
        <f aca="false">IF(B415="","",SUMIF(Отзывы!$C:$C,$B415,Отзывы!$F:$F)+ТехническийЛист!$C$1)</f>
        <v>60</v>
      </c>
      <c r="D415" s="3" t="str">
        <f aca="false">IFERROR(__xludf.dummyfunction("IMPORTRANGE('ТехническийЛист'!$B$1,""список!D""&amp;'ТехническийЛист'!$A416)"),"Есть доступ")</f>
        <v>Есть доступ</v>
      </c>
      <c r="E415" s="3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23.25" hidden="false" customHeight="true" outlineLevel="0" collapsed="false">
      <c r="A416" s="3" t="s">
        <v>810</v>
      </c>
      <c r="B416" s="3" t="s">
        <v>811</v>
      </c>
      <c r="C416" s="3" t="n">
        <f aca="false">IF(B416="","",SUMIF(Отзывы!$C:$C,$B416,Отзывы!$F:$F)+ТехническийЛист!$C$1)</f>
        <v>60</v>
      </c>
      <c r="D416" s="3" t="str">
        <f aca="false">IFERROR(__xludf.dummyfunction("IMPORTRANGE('ТехническийЛист'!$B$1,""список!D""&amp;'ТехническийЛист'!$A417)"),"Есть доступ")</f>
        <v>Есть доступ</v>
      </c>
      <c r="E416" s="3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23.25" hidden="false" customHeight="true" outlineLevel="0" collapsed="false">
      <c r="A417" s="3" t="s">
        <v>812</v>
      </c>
      <c r="B417" s="3" t="s">
        <v>813</v>
      </c>
      <c r="C417" s="3" t="n">
        <f aca="false">IF(B417="","",SUMIF(Отзывы!$C:$C,$B417,Отзывы!$F:$F)+ТехническийЛист!$C$1)</f>
        <v>50</v>
      </c>
      <c r="D417" s="3" t="str">
        <f aca="false">IFERROR(__xludf.dummyfunction("IMPORTRANGE('ТехническийЛист'!$B$1,""список!D""&amp;'ТехническийЛист'!$A418)"),"Есть доступ")</f>
        <v>Есть доступ</v>
      </c>
      <c r="E417" s="3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23.25" hidden="false" customHeight="true" outlineLevel="0" collapsed="false">
      <c r="A418" s="3" t="s">
        <v>814</v>
      </c>
      <c r="B418" s="3" t="s">
        <v>815</v>
      </c>
      <c r="C418" s="3" t="n">
        <f aca="false">IF(B418="","",SUMIF(Отзывы!$C:$C,$B418,Отзывы!$F:$F)+ТехническийЛист!$C$1)</f>
        <v>50</v>
      </c>
      <c r="D418" s="3" t="str">
        <f aca="false">IFERROR(__xludf.dummyfunction("IMPORTRANGE('ТехническийЛист'!$B$1,""список!D""&amp;'ТехническийЛист'!$A419)"),"Есть доступ")</f>
        <v>Есть доступ</v>
      </c>
      <c r="E418" s="3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23.25" hidden="false" customHeight="true" outlineLevel="0" collapsed="false">
      <c r="A419" s="3" t="s">
        <v>816</v>
      </c>
      <c r="B419" s="3" t="s">
        <v>817</v>
      </c>
      <c r="C419" s="3" t="n">
        <f aca="false">IF(B419="","",SUMIF(Отзывы!$C:$C,$B419,Отзывы!$F:$F)+ТехническийЛист!$C$1)</f>
        <v>51</v>
      </c>
      <c r="D419" s="3" t="str">
        <f aca="false">IFERROR(__xludf.dummyfunction("IMPORTRANGE('ТехническийЛист'!$B$1,""список!D""&amp;'ТехническийЛист'!$A420)"),"Есть доступ")</f>
        <v>Есть доступ</v>
      </c>
      <c r="E419" s="3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23.25" hidden="false" customHeight="true" outlineLevel="0" collapsed="false">
      <c r="A420" s="3" t="s">
        <v>818</v>
      </c>
      <c r="B420" s="3" t="s">
        <v>819</v>
      </c>
      <c r="C420" s="3" t="n">
        <f aca="false">IF(B420="","",SUMIF(Отзывы!$C:$C,$B420,Отзывы!$F:$F)+ТехническийЛист!$C$1)</f>
        <v>50</v>
      </c>
      <c r="D420" s="3" t="str">
        <f aca="false">IFERROR(__xludf.dummyfunction("IMPORTRANGE('ТехническийЛист'!$B$1,""список!D""&amp;'ТехническийЛист'!$A421)"),"Есть доступ")</f>
        <v>Есть доступ</v>
      </c>
      <c r="E420" s="3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23.25" hidden="false" customHeight="true" outlineLevel="0" collapsed="false">
      <c r="A421" s="3" t="s">
        <v>820</v>
      </c>
      <c r="B421" s="3" t="s">
        <v>821</v>
      </c>
      <c r="C421" s="3" t="n">
        <f aca="false">IF(B421="","",SUMIF(Отзывы!$C:$C,$B421,Отзывы!$F:$F)+ТехническийЛист!$C$1)</f>
        <v>53</v>
      </c>
      <c r="D421" s="3" t="str">
        <f aca="false">IFERROR(__xludf.dummyfunction("IMPORTRANGE('ТехническийЛист'!$B$1,""список!D""&amp;'ТехническийЛист'!$A422)"),"Есть доступ")</f>
        <v>Есть доступ</v>
      </c>
      <c r="E421" s="3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23.25" hidden="false" customHeight="true" outlineLevel="0" collapsed="false">
      <c r="A422" s="3" t="s">
        <v>822</v>
      </c>
      <c r="B422" s="3" t="s">
        <v>823</v>
      </c>
      <c r="C422" s="3" t="n">
        <f aca="false">IF(B422="","",SUMIF(Отзывы!$C:$C,$B422,Отзывы!$F:$F)+ТехническийЛист!$C$1)</f>
        <v>60</v>
      </c>
      <c r="D422" s="3" t="str">
        <f aca="false">IFERROR(__xludf.dummyfunction("IMPORTRANGE('ТехническийЛист'!$B$1,""список!D""&amp;'ТехническийЛист'!$A423)"),"Есть доступ")</f>
        <v>Есть доступ</v>
      </c>
      <c r="E422" s="3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23.25" hidden="false" customHeight="true" outlineLevel="0" collapsed="false">
      <c r="A423" s="3" t="s">
        <v>824</v>
      </c>
      <c r="B423" s="3" t="s">
        <v>824</v>
      </c>
      <c r="C423" s="3" t="n">
        <f aca="false">IF(B423="","",SUMIF(Отзывы!$C:$C,$B423,Отзывы!$F:$F)+ТехническийЛист!$C$1)</f>
        <v>51</v>
      </c>
      <c r="D423" s="3" t="str">
        <f aca="false">IFERROR(__xludf.dummyfunction("IMPORTRANGE('ТехническийЛист'!$B$1,""список!D""&amp;'ТехническийЛист'!$A424)"),"Есть доступ")</f>
        <v>Есть доступ</v>
      </c>
      <c r="E423" s="3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23.25" hidden="false" customHeight="true" outlineLevel="0" collapsed="false">
      <c r="A424" s="3" t="s">
        <v>825</v>
      </c>
      <c r="B424" s="3" t="s">
        <v>826</v>
      </c>
      <c r="C424" s="3" t="n">
        <f aca="false">IF(B424="","",SUMIF(Отзывы!$C:$C,$B424,Отзывы!$F:$F)+ТехническийЛист!$C$1)</f>
        <v>45</v>
      </c>
      <c r="D424" s="3" t="str">
        <f aca="false">IFERROR(__xludf.dummyfunction("IMPORTRANGE('ТехническийЛист'!$B$1,""список!D""&amp;'ТехническийЛист'!$A425)"),"Есть доступ")</f>
        <v>Есть доступ</v>
      </c>
      <c r="E424" s="3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23.25" hidden="false" customHeight="true" outlineLevel="0" collapsed="false">
      <c r="A425" s="2" t="s">
        <v>33</v>
      </c>
      <c r="B425" s="2" t="s">
        <v>33</v>
      </c>
      <c r="C425" s="3" t="n">
        <f aca="false">IF(B425="","",SUMIF(Отзывы!$C:$C,$B425,Отзывы!$F:$F)+ТехническийЛист!$C$1)</f>
        <v>50</v>
      </c>
      <c r="D425" s="3" t="str">
        <f aca="false">IFERROR(__xludf.dummyfunction("IMPORTRANGE('ТехническийЛист'!$B$1,""список!D""&amp;'ТехническийЛист'!$A426)"),"Нет доступа")</f>
        <v>Нет доступа</v>
      </c>
      <c r="E425" s="3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23.25" hidden="false" customHeight="true" outlineLevel="0" collapsed="false">
      <c r="A426" s="3" t="s">
        <v>827</v>
      </c>
      <c r="B426" s="3" t="s">
        <v>828</v>
      </c>
      <c r="C426" s="3" t="n">
        <f aca="false">IF(B426="","",SUMIF(Отзывы!$C:$C,$B426,Отзывы!$F:$F)+ТехническийЛист!$C$1)</f>
        <v>50</v>
      </c>
      <c r="D426" s="3" t="str">
        <f aca="false">IFERROR(__xludf.dummyfunction("IMPORTRANGE('ТехническийЛист'!$B$1,""список!D""&amp;'ТехническийЛист'!$A427)"),"Есть доступ")</f>
        <v>Есть доступ</v>
      </c>
      <c r="E426" s="3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23.25" hidden="false" customHeight="true" outlineLevel="0" collapsed="false">
      <c r="A427" s="3" t="s">
        <v>829</v>
      </c>
      <c r="B427" s="3" t="s">
        <v>830</v>
      </c>
      <c r="C427" s="3" t="n">
        <f aca="false">IF(B427="","",SUMIF(Отзывы!$C:$C,$B427,Отзывы!$F:$F)+ТехническийЛист!$C$1)</f>
        <v>50</v>
      </c>
      <c r="D427" s="3" t="str">
        <f aca="false">IFERROR(__xludf.dummyfunction("IMPORTRANGE('ТехническийЛист'!$B$1,""список!D""&amp;'ТехническийЛист'!$A428)"),"Есть доступ")</f>
        <v>Есть доступ</v>
      </c>
      <c r="E427" s="3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23.25" hidden="false" customHeight="true" outlineLevel="0" collapsed="false">
      <c r="A428" s="3" t="s">
        <v>831</v>
      </c>
      <c r="B428" s="3" t="s">
        <v>832</v>
      </c>
      <c r="C428" s="3" t="n">
        <f aca="false">IF(B428="","",SUMIF(Отзывы!$C:$C,$B428,Отзывы!$F:$F)+ТехническийЛист!$C$1)</f>
        <v>35</v>
      </c>
      <c r="D428" s="3" t="str">
        <f aca="false">IFERROR(__xludf.dummyfunction("IMPORTRANGE('ТехническийЛист'!$B$1,""список!D""&amp;'ТехническийЛист'!$A429)"),"Есть доступ")</f>
        <v>Есть доступ</v>
      </c>
      <c r="E428" s="3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23.25" hidden="false" customHeight="true" outlineLevel="0" collapsed="false">
      <c r="A429" s="3" t="s">
        <v>833</v>
      </c>
      <c r="B429" s="3" t="s">
        <v>834</v>
      </c>
      <c r="C429" s="3" t="n">
        <f aca="false">IF(B429="","",SUMIF(Отзывы!$C:$C,$B429,Отзывы!$F:$F)+ТехническийЛист!$C$1)</f>
        <v>51</v>
      </c>
      <c r="D429" s="3" t="str">
        <f aca="false">IFERROR(__xludf.dummyfunction("IMPORTRANGE('ТехническийЛист'!$B$1,""список!D""&amp;'ТехническийЛист'!$A430)"),"Есть доступ")</f>
        <v>Есть доступ</v>
      </c>
      <c r="E429" s="3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23.25" hidden="false" customHeight="true" outlineLevel="0" collapsed="false">
      <c r="A430" s="3" t="s">
        <v>835</v>
      </c>
      <c r="B430" s="3" t="s">
        <v>836</v>
      </c>
      <c r="C430" s="3" t="n">
        <f aca="false">IF(B430="","",SUMIF(Отзывы!$C:$C,$B430,Отзывы!$F:$F)+ТехническийЛист!$C$1)</f>
        <v>40</v>
      </c>
      <c r="D430" s="3" t="str">
        <f aca="false">IFERROR(__xludf.dummyfunction("IMPORTRANGE('ТехническийЛист'!$B$1,""список!D""&amp;'ТехническийЛист'!$A431)"),"Есть доступ")</f>
        <v>Есть доступ</v>
      </c>
      <c r="E430" s="3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23.25" hidden="false" customHeight="true" outlineLevel="0" collapsed="false">
      <c r="A431" s="3" t="s">
        <v>837</v>
      </c>
      <c r="B431" s="3" t="s">
        <v>838</v>
      </c>
      <c r="C431" s="3" t="n">
        <f aca="false">IF(B431="","",SUMIF(Отзывы!$C:$C,$B431,Отзывы!$F:$F)+ТехническийЛист!$C$1)</f>
        <v>65</v>
      </c>
      <c r="D431" s="3" t="str">
        <f aca="false">IFERROR(__xludf.dummyfunction("IMPORTRANGE('ТехническийЛист'!$B$1,""список!D""&amp;'ТехническийЛист'!$A432)"),"Есть доступ")</f>
        <v>Есть доступ</v>
      </c>
      <c r="E431" s="3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23.25" hidden="false" customHeight="true" outlineLevel="0" collapsed="false">
      <c r="A432" s="3" t="s">
        <v>839</v>
      </c>
      <c r="B432" s="3" t="s">
        <v>839</v>
      </c>
      <c r="C432" s="3" t="n">
        <f aca="false">IF(B432="","",SUMIF(Отзывы!$C:$C,$B432,Отзывы!$F:$F)+ТехническийЛист!$C$1)</f>
        <v>50</v>
      </c>
      <c r="D432" s="3" t="str">
        <f aca="false">IFERROR(__xludf.dummyfunction("IMPORTRANGE('ТехническийЛист'!$B$1,""список!D""&amp;'ТехническийЛист'!$A433)"),"Есть доступ")</f>
        <v>Есть доступ</v>
      </c>
      <c r="E432" s="3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23.25" hidden="false" customHeight="true" outlineLevel="0" collapsed="false">
      <c r="A433" s="3" t="s">
        <v>840</v>
      </c>
      <c r="B433" s="3" t="s">
        <v>841</v>
      </c>
      <c r="C433" s="3" t="n">
        <f aca="false">IF(B433="","",SUMIF(Отзывы!$C:$C,$B433,Отзывы!$F:$F)+ТехническийЛист!$C$1)</f>
        <v>60</v>
      </c>
      <c r="D433" s="3" t="str">
        <f aca="false">IFERROR(__xludf.dummyfunction("IMPORTRANGE('ТехническийЛист'!$B$1,""список!D""&amp;'ТехническийЛист'!$A434)"),"Есть доступ")</f>
        <v>Есть доступ</v>
      </c>
      <c r="E433" s="3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23.25" hidden="false" customHeight="true" outlineLevel="0" collapsed="false">
      <c r="A434" s="3" t="s">
        <v>842</v>
      </c>
      <c r="B434" s="3" t="s">
        <v>843</v>
      </c>
      <c r="C434" s="3" t="n">
        <f aca="false">IF(B434="","",SUMIF(Отзывы!$C:$C,$B434,Отзывы!$F:$F)+ТехническийЛист!$C$1)</f>
        <v>35</v>
      </c>
      <c r="D434" s="3" t="str">
        <f aca="false">IFERROR(__xludf.dummyfunction("IMPORTRANGE('ТехническийЛист'!$B$1,""список!D""&amp;'ТехническийЛист'!$A435)"),"Есть доступ")</f>
        <v>Есть доступ</v>
      </c>
      <c r="E434" s="3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23.25" hidden="false" customHeight="true" outlineLevel="0" collapsed="false">
      <c r="A435" s="3" t="s">
        <v>844</v>
      </c>
      <c r="B435" s="2" t="s">
        <v>845</v>
      </c>
      <c r="C435" s="3" t="n">
        <f aca="false">IF(B435="","",SUMIF(Отзывы!$C:$C,$B435,Отзывы!$F:$F)+ТехническийЛист!$C$1)</f>
        <v>60</v>
      </c>
      <c r="D435" s="3" t="str">
        <f aca="false">IFERROR(__xludf.dummyfunction("IMPORTRANGE('ТехническийЛист'!$B$1,""список!D""&amp;'ТехническийЛист'!$A436)"),"Есть доступ")</f>
        <v>Есть доступ</v>
      </c>
      <c r="E435" s="3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23.25" hidden="false" customHeight="true" outlineLevel="0" collapsed="false">
      <c r="A436" s="3" t="s">
        <v>846</v>
      </c>
      <c r="B436" s="3" t="s">
        <v>847</v>
      </c>
      <c r="C436" s="3" t="n">
        <f aca="false">IF(B436="","",SUMIF(Отзывы!$C:$C,$B436,Отзывы!$F:$F)+ТехническийЛист!$C$1)</f>
        <v>45</v>
      </c>
      <c r="D436" s="3" t="str">
        <f aca="false">IFERROR(__xludf.dummyfunction("IMPORTRANGE('ТехническийЛист'!$B$1,""список!D""&amp;'ТехническийЛист'!$A437)"),"Есть доступ")</f>
        <v>Есть доступ</v>
      </c>
      <c r="E436" s="3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23.25" hidden="false" customHeight="true" outlineLevel="0" collapsed="false">
      <c r="A437" s="18" t="s">
        <v>848</v>
      </c>
      <c r="B437" s="18" t="s">
        <v>849</v>
      </c>
      <c r="C437" s="3" t="n">
        <f aca="false">IF(B437="","",SUMIF(Отзывы!$C:$C,$B437,Отзывы!$F:$F)+ТехническийЛист!$C$1)</f>
        <v>35</v>
      </c>
      <c r="D437" s="3" t="str">
        <f aca="false">IFERROR(__xludf.dummyfunction("IMPORTRANGE('ТехническийЛист'!$B$1,""список!D""&amp;'ТехническийЛист'!$A438)"),"Есть доступ")</f>
        <v>Есть доступ</v>
      </c>
      <c r="E437" s="3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23.25" hidden="false" customHeight="true" outlineLevel="0" collapsed="false">
      <c r="A438" s="3" t="s">
        <v>850</v>
      </c>
      <c r="B438" s="3" t="s">
        <v>851</v>
      </c>
      <c r="C438" s="3" t="n">
        <f aca="false">IF(B438="","",SUMIF(Отзывы!$C:$C,$B438,Отзывы!$F:$F)+ТехническийЛист!$C$1)</f>
        <v>50</v>
      </c>
      <c r="D438" s="3" t="str">
        <f aca="false">IFERROR(__xludf.dummyfunction("IMPORTRANGE('ТехническийЛист'!$B$1,""список!D""&amp;'ТехническийЛист'!$A439)"),"Есть доступ")</f>
        <v>Есть доступ</v>
      </c>
      <c r="E438" s="3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23.25" hidden="false" customHeight="true" outlineLevel="0" collapsed="false">
      <c r="A439" s="3" t="s">
        <v>852</v>
      </c>
      <c r="B439" s="7" t="s">
        <v>853</v>
      </c>
      <c r="C439" s="3" t="n">
        <f aca="false">IF(B439="","",SUMIF(Отзывы!$C:$C,$B439,Отзывы!$F:$F)+ТехническийЛист!$C$1)</f>
        <v>50</v>
      </c>
      <c r="D439" s="3" t="str">
        <f aca="false">IFERROR(__xludf.dummyfunction("IMPORTRANGE('ТехническийЛист'!$B$1,""список!D""&amp;'ТехническийЛист'!$A440)"),"Есть доступ")</f>
        <v>Есть доступ</v>
      </c>
      <c r="E439" s="3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23.25" hidden="false" customHeight="true" outlineLevel="0" collapsed="false">
      <c r="A440" s="3" t="s">
        <v>854</v>
      </c>
      <c r="B440" s="3" t="s">
        <v>855</v>
      </c>
      <c r="C440" s="3" t="n">
        <f aca="false">IF(B440="","",SUMIF(Отзывы!$C:$C,$B440,Отзывы!$F:$F)+ТехническийЛист!$C$1)</f>
        <v>70</v>
      </c>
      <c r="D440" s="3" t="str">
        <f aca="false">IFERROR(__xludf.dummyfunction("IMPORTRANGE('ТехническийЛист'!$B$1,""список!D""&amp;'ТехническийЛист'!$A441)"),"Есть доступ")</f>
        <v>Есть доступ</v>
      </c>
      <c r="E440" s="3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23.25" hidden="false" customHeight="true" outlineLevel="0" collapsed="false">
      <c r="A441" s="3" t="s">
        <v>856</v>
      </c>
      <c r="B441" s="3" t="s">
        <v>857</v>
      </c>
      <c r="C441" s="3" t="n">
        <f aca="false">IF(B441="","",SUMIF(Отзывы!$C:$C,$B441,Отзывы!$F:$F)+ТехническийЛист!$C$1)</f>
        <v>50</v>
      </c>
      <c r="D441" s="3" t="str">
        <f aca="false">IFERROR(__xludf.dummyfunction("IMPORTRANGE('ТехническийЛист'!$B$1,""список!D""&amp;'ТехническийЛист'!$A442)"),"Нет доступа")</f>
        <v>Нет доступа</v>
      </c>
      <c r="E441" s="3" t="s">
        <v>858</v>
      </c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23.25" hidden="false" customHeight="true" outlineLevel="0" collapsed="false">
      <c r="A442" s="3" t="s">
        <v>859</v>
      </c>
      <c r="B442" s="3" t="s">
        <v>860</v>
      </c>
      <c r="C442" s="3" t="n">
        <f aca="false">IF(B442="","",SUMIF(Отзывы!$C:$C,$B442,Отзывы!$F:$F)+ТехническийЛист!$C$1)</f>
        <v>50</v>
      </c>
      <c r="D442" s="3" t="str">
        <f aca="false">IFERROR(__xludf.dummyfunction("IMPORTRANGE('ТехническийЛист'!$B$1,""список!D""&amp;'ТехническийЛист'!$A443)"),"Есть доступ")</f>
        <v>Есть доступ</v>
      </c>
      <c r="E442" s="3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23.25" hidden="false" customHeight="true" outlineLevel="0" collapsed="false">
      <c r="A443" s="3" t="s">
        <v>861</v>
      </c>
      <c r="B443" s="3" t="s">
        <v>862</v>
      </c>
      <c r="C443" s="3" t="n">
        <f aca="false">IF(B443="","",SUMIF(Отзывы!$C:$C,$B443,Отзывы!$F:$F)+ТехническийЛист!$C$1)</f>
        <v>50</v>
      </c>
      <c r="D443" s="3" t="str">
        <f aca="false">IFERROR(__xludf.dummyfunction("IMPORTRANGE('ТехническийЛист'!$B$1,""список!D""&amp;'ТехническийЛист'!$A444)"),"Есть доступ")</f>
        <v>Есть доступ</v>
      </c>
      <c r="E443" s="3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23.25" hidden="false" customHeight="true" outlineLevel="0" collapsed="false">
      <c r="A444" s="3" t="s">
        <v>863</v>
      </c>
      <c r="B444" s="3" t="s">
        <v>864</v>
      </c>
      <c r="C444" s="3" t="n">
        <f aca="false">IF(B444="","",SUMIF(Отзывы!$C:$C,$B444,Отзывы!$F:$F)+ТехническийЛист!$C$1)</f>
        <v>52</v>
      </c>
      <c r="D444" s="3" t="str">
        <f aca="false">IFERROR(__xludf.dummyfunction("IMPORTRANGE('ТехническийЛист'!$B$1,""список!D""&amp;'ТехническийЛист'!$A445)"),"Есть доступ")</f>
        <v>Есть доступ</v>
      </c>
      <c r="E444" s="3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23.25" hidden="false" customHeight="true" outlineLevel="0" collapsed="false">
      <c r="A445" s="3" t="s">
        <v>865</v>
      </c>
      <c r="B445" s="3" t="s">
        <v>866</v>
      </c>
      <c r="C445" s="3" t="n">
        <f aca="false">IF(B445="","",SUMIF(Отзывы!$C:$C,$B445,Отзывы!$F:$F)+ТехническийЛист!$C$1)</f>
        <v>35</v>
      </c>
      <c r="D445" s="3" t="str">
        <f aca="false">IFERROR(__xludf.dummyfunction("IMPORTRANGE('ТехническийЛист'!$B$1,""список!D""&amp;'ТехническийЛист'!$A446)"),"Есть доступ")</f>
        <v>Есть доступ</v>
      </c>
      <c r="E445" s="3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23.25" hidden="false" customHeight="true" outlineLevel="0" collapsed="false">
      <c r="A446" s="3" t="s">
        <v>867</v>
      </c>
      <c r="B446" s="3" t="s">
        <v>868</v>
      </c>
      <c r="C446" s="3" t="n">
        <f aca="false">IF(B446="","",SUMIF(Отзывы!$C:$C,$B446,Отзывы!$F:$F)+ТехническийЛист!$C$1)</f>
        <v>146</v>
      </c>
      <c r="D446" s="3" t="str">
        <f aca="false">IFERROR(__xludf.dummyfunction("IMPORTRANGE('ТехническийЛист'!$B$1,""список!D""&amp;'ТехническийЛист'!$A447)"),"Есть доступ")</f>
        <v>Есть доступ</v>
      </c>
      <c r="E446" s="3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23.25" hidden="false" customHeight="true" outlineLevel="0" collapsed="false">
      <c r="A447" s="3" t="s">
        <v>869</v>
      </c>
      <c r="B447" s="3" t="s">
        <v>869</v>
      </c>
      <c r="C447" s="3" t="n">
        <f aca="false">IF(B447="","",SUMIF(Отзывы!$C:$C,$B447,Отзывы!$F:$F)+ТехническийЛист!$C$1)</f>
        <v>50</v>
      </c>
      <c r="D447" s="3" t="str">
        <f aca="false">IFERROR(__xludf.dummyfunction("IMPORTRANGE('ТехническийЛист'!$B$1,""список!D""&amp;'ТехническийЛист'!$A448)"),"Есть доступ")</f>
        <v>Есть доступ</v>
      </c>
      <c r="E447" s="3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23.25" hidden="false" customHeight="true" outlineLevel="0" collapsed="false">
      <c r="A448" s="3" t="s">
        <v>870</v>
      </c>
      <c r="B448" s="3" t="s">
        <v>871</v>
      </c>
      <c r="C448" s="3" t="n">
        <f aca="false">IF(B448="","",SUMIF(Отзывы!$C:$C,$B448,Отзывы!$F:$F)+ТехническийЛист!$C$1)</f>
        <v>60</v>
      </c>
      <c r="D448" s="3" t="str">
        <f aca="false">IFERROR(__xludf.dummyfunction("IMPORTRANGE('ТехническийЛист'!$B$1,""список!D""&amp;'ТехническийЛист'!$A449)"),"Есть доступ")</f>
        <v>Есть доступ</v>
      </c>
      <c r="E448" s="3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23.25" hidden="false" customHeight="true" outlineLevel="0" collapsed="false">
      <c r="A449" s="3" t="s">
        <v>872</v>
      </c>
      <c r="B449" s="3" t="s">
        <v>873</v>
      </c>
      <c r="C449" s="3" t="n">
        <f aca="false">IF(B449="","",SUMIF(Отзывы!$C:$C,$B449,Отзывы!$F:$F)+ТехническийЛист!$C$1)</f>
        <v>60</v>
      </c>
      <c r="D449" s="3" t="str">
        <f aca="false">IFERROR(__xludf.dummyfunction("IMPORTRANGE('ТехническийЛист'!$B$1,""список!D""&amp;'ТехническийЛист'!$A450)"),"Есть доступ")</f>
        <v>Есть доступ</v>
      </c>
      <c r="E449" s="3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23.25" hidden="false" customHeight="true" outlineLevel="0" collapsed="false">
      <c r="A450" s="3" t="s">
        <v>874</v>
      </c>
      <c r="B450" s="3" t="s">
        <v>875</v>
      </c>
      <c r="C450" s="3" t="n">
        <f aca="false">IF(B450="","",SUMIF(Отзывы!$C:$C,$B450,Отзывы!$F:$F)+ТехническийЛист!$C$1)</f>
        <v>66</v>
      </c>
      <c r="D450" s="3" t="str">
        <f aca="false">IFERROR(__xludf.dummyfunction("IMPORTRANGE('ТехническийЛист'!$B$1,""список!D""&amp;'ТехническийЛист'!$A451)"),"Есть доступ")</f>
        <v>Есть доступ</v>
      </c>
      <c r="E450" s="3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23.25" hidden="false" customHeight="true" outlineLevel="0" collapsed="false">
      <c r="A451" s="3" t="s">
        <v>876</v>
      </c>
      <c r="B451" s="3" t="s">
        <v>877</v>
      </c>
      <c r="C451" s="3" t="n">
        <f aca="false">IF(B451="","",SUMIF(Отзывы!$C:$C,$B451,Отзывы!$F:$F)+ТехническийЛист!$C$1)</f>
        <v>61</v>
      </c>
      <c r="D451" s="3" t="str">
        <f aca="false">IFERROR(__xludf.dummyfunction("IMPORTRANGE('ТехническийЛист'!$B$1,""список!D""&amp;'ТехническийЛист'!$A452)"),"Есть доступ")</f>
        <v>Есть доступ</v>
      </c>
      <c r="E451" s="3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23.25" hidden="false" customHeight="true" outlineLevel="0" collapsed="false">
      <c r="A452" s="3" t="s">
        <v>878</v>
      </c>
      <c r="B452" s="3" t="s">
        <v>879</v>
      </c>
      <c r="C452" s="3" t="n">
        <f aca="false">IF(B452="","",SUMIF(Отзывы!$C:$C,$B452,Отзывы!$F:$F)+ТехническийЛист!$C$1)</f>
        <v>60</v>
      </c>
      <c r="D452" s="3" t="str">
        <f aca="false">IFERROR(__xludf.dummyfunction("IMPORTRANGE('ТехническийЛист'!$B$1,""список!D""&amp;'ТехническийЛист'!$A453)"),"Есть доступ")</f>
        <v>Есть доступ</v>
      </c>
      <c r="E452" s="3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23.25" hidden="false" customHeight="true" outlineLevel="0" collapsed="false">
      <c r="A453" s="3" t="s">
        <v>880</v>
      </c>
      <c r="B453" s="3" t="s">
        <v>881</v>
      </c>
      <c r="C453" s="3" t="n">
        <f aca="false">IF(B453="","",SUMIF(Отзывы!$C:$C,$B453,Отзывы!$F:$F)+ТехническийЛист!$C$1)</f>
        <v>60</v>
      </c>
      <c r="D453" s="3" t="str">
        <f aca="false">IFERROR(__xludf.dummyfunction("IMPORTRANGE('ТехническийЛист'!$B$1,""список!D""&amp;'ТехническийЛист'!$A454)"),"Есть доступ")</f>
        <v>Есть доступ</v>
      </c>
      <c r="E453" s="3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23.25" hidden="false" customHeight="true" outlineLevel="0" collapsed="false">
      <c r="A454" s="3" t="s">
        <v>882</v>
      </c>
      <c r="B454" s="3" t="s">
        <v>883</v>
      </c>
      <c r="C454" s="3" t="n">
        <f aca="false">IF(B454="","",SUMIF(Отзывы!$C:$C,$B454,Отзывы!$F:$F)+ТехническийЛист!$C$1)</f>
        <v>50</v>
      </c>
      <c r="D454" s="3" t="str">
        <f aca="false">IFERROR(__xludf.dummyfunction("IMPORTRANGE('ТехническийЛист'!$B$1,""список!D""&amp;'ТехническийЛист'!$A455)"),"Есть доступ")</f>
        <v>Есть доступ</v>
      </c>
      <c r="E454" s="3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23.25" hidden="false" customHeight="true" outlineLevel="0" collapsed="false">
      <c r="A455" s="3" t="s">
        <v>884</v>
      </c>
      <c r="B455" s="3" t="s">
        <v>885</v>
      </c>
      <c r="C455" s="3" t="n">
        <f aca="false">IF(B455="","",SUMIF(Отзывы!$C:$C,$B455,Отзывы!$F:$F)+ТехническийЛист!$C$1)</f>
        <v>50</v>
      </c>
      <c r="D455" s="3" t="str">
        <f aca="false">IFERROR(__xludf.dummyfunction("IMPORTRANGE('ТехническийЛист'!$B$1,""список!D""&amp;'ТехническийЛист'!$A456)"),"Есть доступ")</f>
        <v>Есть доступ</v>
      </c>
      <c r="E455" s="3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23.25" hidden="false" customHeight="true" outlineLevel="0" collapsed="false">
      <c r="A456" s="3" t="s">
        <v>886</v>
      </c>
      <c r="B456" s="3" t="s">
        <v>887</v>
      </c>
      <c r="C456" s="3" t="n">
        <f aca="false">IF(B456="","",SUMIF(Отзывы!$C:$C,$B456,Отзывы!$F:$F)+ТехническийЛист!$C$1)</f>
        <v>60</v>
      </c>
      <c r="D456" s="3" t="str">
        <f aca="false">IFERROR(__xludf.dummyfunction("IMPORTRANGE('ТехническийЛист'!$B$1,""список!D""&amp;'ТехническийЛист'!$A457)"),"Есть доступ")</f>
        <v>Есть доступ</v>
      </c>
      <c r="E456" s="3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23.25" hidden="false" customHeight="true" outlineLevel="0" collapsed="false">
      <c r="A457" s="3" t="s">
        <v>888</v>
      </c>
      <c r="B457" s="3" t="s">
        <v>889</v>
      </c>
      <c r="C457" s="3" t="n">
        <f aca="false">IF(B457="","",SUMIF(Отзывы!$C:$C,$B457,Отзывы!$F:$F)+ТехническийЛист!$C$1)</f>
        <v>50</v>
      </c>
      <c r="D457" s="3" t="str">
        <f aca="false">IFERROR(__xludf.dummyfunction("IMPORTRANGE('ТехническийЛист'!$B$1,""список!D""&amp;'ТехническийЛист'!$A458)"),"Есть доступ")</f>
        <v>Есть доступ</v>
      </c>
      <c r="E457" s="3" t="s">
        <v>890</v>
      </c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23.25" hidden="false" customHeight="true" outlineLevel="0" collapsed="false">
      <c r="A458" s="3" t="s">
        <v>891</v>
      </c>
      <c r="B458" s="3" t="s">
        <v>892</v>
      </c>
      <c r="C458" s="3" t="n">
        <f aca="false">IF(B458="","",SUMIF(Отзывы!$C:$C,$B458,Отзывы!$F:$F)+ТехническийЛист!$C$1)</f>
        <v>60</v>
      </c>
      <c r="D458" s="3" t="str">
        <f aca="false">IFERROR(__xludf.dummyfunction("IMPORTRANGE('ТехническийЛист'!$B$1,""список!D""&amp;'ТехническийЛист'!$A459)"),"Есть доступ")</f>
        <v>Есть доступ</v>
      </c>
      <c r="E458" s="3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23.25" hidden="false" customHeight="true" outlineLevel="0" collapsed="false">
      <c r="A459" s="3" t="s">
        <v>893</v>
      </c>
      <c r="B459" s="3" t="s">
        <v>894</v>
      </c>
      <c r="C459" s="3" t="n">
        <f aca="false">IF(B459="","",SUMIF(Отзывы!$C:$C,$B459,Отзывы!$F:$F)+ТехническийЛист!$C$1)</f>
        <v>50</v>
      </c>
      <c r="D459" s="3" t="str">
        <f aca="false">IFERROR(__xludf.dummyfunction("IMPORTRANGE('ТехническийЛист'!$B$1,""список!D""&amp;'ТехническийЛист'!$A460)"),"Есть доступ")</f>
        <v>Есть доступ</v>
      </c>
      <c r="E459" s="3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23.25" hidden="false" customHeight="true" outlineLevel="0" collapsed="false">
      <c r="A460" s="3" t="s">
        <v>895</v>
      </c>
      <c r="B460" s="3" t="s">
        <v>895</v>
      </c>
      <c r="C460" s="3" t="n">
        <f aca="false">IF(B460="","",SUMIF(Отзывы!$C:$C,$B460,Отзывы!$F:$F)+ТехническийЛист!$C$1)</f>
        <v>60</v>
      </c>
      <c r="D460" s="3" t="str">
        <f aca="false">IFERROR(__xludf.dummyfunction("IMPORTRANGE('ТехническийЛист'!$B$1,""список!D""&amp;'ТехническийЛист'!$A461)"),"Есть доступ")</f>
        <v>Есть доступ</v>
      </c>
      <c r="E460" s="3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23.25" hidden="false" customHeight="true" outlineLevel="0" collapsed="false">
      <c r="A461" s="3" t="s">
        <v>896</v>
      </c>
      <c r="B461" s="3" t="s">
        <v>897</v>
      </c>
      <c r="C461" s="3" t="n">
        <f aca="false">IF(B461="","",SUMIF(Отзывы!$C:$C,$B461,Отзывы!$F:$F)+ТехническийЛист!$C$1)</f>
        <v>50</v>
      </c>
      <c r="D461" s="3" t="str">
        <f aca="false">IFERROR(__xludf.dummyfunction("IMPORTRANGE('ТехническийЛист'!$B$1,""список!D""&amp;'ТехническийЛист'!$A462)"),"Есть доступ")</f>
        <v>Есть доступ</v>
      </c>
      <c r="E461" s="3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23.25" hidden="false" customHeight="true" outlineLevel="0" collapsed="false">
      <c r="A462" s="3" t="s">
        <v>898</v>
      </c>
      <c r="B462" s="3" t="s">
        <v>899</v>
      </c>
      <c r="C462" s="3" t="n">
        <f aca="false">IF(B462="","",SUMIF(Отзывы!$C:$C,$B462,Отзывы!$F:$F)+ТехническийЛист!$C$1)</f>
        <v>50</v>
      </c>
      <c r="D462" s="3" t="str">
        <f aca="false">IFERROR(__xludf.dummyfunction("IMPORTRANGE('ТехническийЛист'!$B$1,""список!D""&amp;'ТехническийЛист'!$A463)"),"Есть доступ")</f>
        <v>Есть доступ</v>
      </c>
      <c r="E462" s="3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23.25" hidden="false" customHeight="true" outlineLevel="0" collapsed="false">
      <c r="A463" s="3" t="s">
        <v>900</v>
      </c>
      <c r="B463" s="3" t="s">
        <v>901</v>
      </c>
      <c r="C463" s="3" t="n">
        <f aca="false">IF(B463="","",SUMIF(Отзывы!$C:$C,$B463,Отзывы!$F:$F)+ТехническийЛист!$C$1)</f>
        <v>50</v>
      </c>
      <c r="D463" s="3" t="str">
        <f aca="false">IFERROR(__xludf.dummyfunction("IMPORTRANGE('ТехническийЛист'!$B$1,""список!D""&amp;'ТехническийЛист'!$A464)"),"Есть доступ")</f>
        <v>Есть доступ</v>
      </c>
      <c r="E463" s="3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23.25" hidden="false" customHeight="true" outlineLevel="0" collapsed="false">
      <c r="A464" s="3" t="s">
        <v>902</v>
      </c>
      <c r="B464" s="3" t="s">
        <v>903</v>
      </c>
      <c r="C464" s="3" t="n">
        <f aca="false">IF(B464="","",SUMIF(Отзывы!$C:$C,$B464,Отзывы!$F:$F)+ТехническийЛист!$C$1)</f>
        <v>50</v>
      </c>
      <c r="D464" s="3" t="str">
        <f aca="false">IFERROR(__xludf.dummyfunction("IMPORTRANGE('ТехническийЛист'!$B$1,""список!D""&amp;'ТехническийЛист'!$A465)"),"Есть доступ")</f>
        <v>Есть доступ</v>
      </c>
      <c r="E464" s="3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23.25" hidden="false" customHeight="true" outlineLevel="0" collapsed="false">
      <c r="A465" s="3" t="s">
        <v>904</v>
      </c>
      <c r="B465" s="3" t="s">
        <v>905</v>
      </c>
      <c r="C465" s="3" t="n">
        <f aca="false">IF(B465="","",SUMIF(Отзывы!$C:$C,$B465,Отзывы!$F:$F)+ТехническийЛист!$C$1)</f>
        <v>63</v>
      </c>
      <c r="D465" s="3" t="str">
        <f aca="false">IFERROR(__xludf.dummyfunction("IMPORTRANGE('ТехническийЛист'!$B$1,""список!D""&amp;'ТехническийЛист'!$A466)"),"Есть доступ")</f>
        <v>Есть доступ</v>
      </c>
      <c r="E465" s="3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23.25" hidden="false" customHeight="true" outlineLevel="0" collapsed="false">
      <c r="A466" s="3" t="s">
        <v>906</v>
      </c>
      <c r="B466" s="3" t="s">
        <v>907</v>
      </c>
      <c r="C466" s="3" t="n">
        <f aca="false">IF(B466="","",SUMIF(Отзывы!$C:$C,$B466,Отзывы!$F:$F)+ТехническийЛист!$C$1)</f>
        <v>35</v>
      </c>
      <c r="D466" s="3" t="str">
        <f aca="false">IFERROR(__xludf.dummyfunction("IMPORTRANGE('ТехническийЛист'!$B$1,""список!D""&amp;'ТехническийЛист'!$A467)"),"Есть доступ")</f>
        <v>Есть доступ</v>
      </c>
      <c r="E466" s="3" t="s">
        <v>908</v>
      </c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23.25" hidden="false" customHeight="true" outlineLevel="0" collapsed="false">
      <c r="A467" s="3" t="s">
        <v>909</v>
      </c>
      <c r="B467" s="3" t="s">
        <v>910</v>
      </c>
      <c r="C467" s="3" t="n">
        <f aca="false">IF(B467="","",SUMIF(Отзывы!$C:$C,$B467,Отзывы!$F:$F)+ТехническийЛист!$C$1)</f>
        <v>50</v>
      </c>
      <c r="D467" s="3" t="str">
        <f aca="false">IFERROR(__xludf.dummyfunction("IMPORTRANGE('ТехническийЛист'!$B$1,""список!D""&amp;'ТехническийЛист'!$A468)"),"Есть доступ")</f>
        <v>Есть доступ</v>
      </c>
      <c r="E467" s="3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23.25" hidden="false" customHeight="true" outlineLevel="0" collapsed="false">
      <c r="A468" s="3" t="s">
        <v>911</v>
      </c>
      <c r="B468" s="3" t="s">
        <v>912</v>
      </c>
      <c r="C468" s="3" t="n">
        <f aca="false">IF(B468="","",SUMIF(Отзывы!$C:$C,$B468,Отзывы!$F:$F)+ТехническийЛист!$C$1)</f>
        <v>60</v>
      </c>
      <c r="D468" s="3" t="str">
        <f aca="false">IFERROR(__xludf.dummyfunction("IMPORTRANGE('ТехническийЛист'!$B$1,""список!D""&amp;'ТехническийЛист'!$A469)"),"Есть доступ")</f>
        <v>Есть доступ</v>
      </c>
      <c r="E468" s="3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23.25" hidden="false" customHeight="true" outlineLevel="0" collapsed="false">
      <c r="A469" s="3" t="s">
        <v>913</v>
      </c>
      <c r="B469" s="3" t="s">
        <v>914</v>
      </c>
      <c r="C469" s="3" t="n">
        <f aca="false">IF(B469="","",SUMIF(Отзывы!$C:$C,$B469,Отзывы!$F:$F)+ТехническийЛист!$C$1)</f>
        <v>50</v>
      </c>
      <c r="D469" s="3" t="str">
        <f aca="false">IFERROR(__xludf.dummyfunction("IMPORTRANGE('ТехническийЛист'!$B$1,""список!D""&amp;'ТехническийЛист'!$A470)"),"Есть доступ")</f>
        <v>Есть доступ</v>
      </c>
      <c r="E469" s="3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23.25" hidden="false" customHeight="true" outlineLevel="0" collapsed="false">
      <c r="A470" s="3" t="s">
        <v>915</v>
      </c>
      <c r="B470" s="3" t="s">
        <v>916</v>
      </c>
      <c r="C470" s="3" t="n">
        <f aca="false">IF(B470="","",SUMIF(Отзывы!$C:$C,$B470,Отзывы!$F:$F)+ТехническийЛист!$C$1)</f>
        <v>50</v>
      </c>
      <c r="D470" s="3" t="str">
        <f aca="false">IFERROR(__xludf.dummyfunction("IMPORTRANGE('ТехническийЛист'!$B$1,""список!D""&amp;'ТехническийЛист'!$A471)"),"Есть доступ")</f>
        <v>Есть доступ</v>
      </c>
      <c r="E470" s="3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23.25" hidden="false" customHeight="true" outlineLevel="0" collapsed="false">
      <c r="A471" s="3" t="s">
        <v>917</v>
      </c>
      <c r="B471" s="3" t="s">
        <v>918</v>
      </c>
      <c r="C471" s="3" t="n">
        <f aca="false">IF(B471="","",SUMIF(Отзывы!$C:$C,$B471,Отзывы!$F:$F)+ТехническийЛист!$C$1)</f>
        <v>60</v>
      </c>
      <c r="D471" s="3" t="str">
        <f aca="false">IFERROR(__xludf.dummyfunction("IMPORTRANGE('ТехническийЛист'!$B$1,""список!D""&amp;'ТехническийЛист'!$A472)"),"Есть доступ")</f>
        <v>Есть доступ</v>
      </c>
      <c r="E471" s="3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23.25" hidden="false" customHeight="true" outlineLevel="0" collapsed="false">
      <c r="A472" s="3" t="s">
        <v>919</v>
      </c>
      <c r="B472" s="3" t="s">
        <v>920</v>
      </c>
      <c r="C472" s="3" t="n">
        <f aca="false">IF(B472="","",SUMIF(Отзывы!$C:$C,$B472,Отзывы!$F:$F)+ТехническийЛист!$C$1)</f>
        <v>50</v>
      </c>
      <c r="D472" s="3" t="str">
        <f aca="false">IFERROR(__xludf.dummyfunction("IMPORTRANGE('ТехническийЛист'!$B$1,""список!D""&amp;'ТехническийЛист'!$A473)"),"Есть доступ")</f>
        <v>Есть доступ</v>
      </c>
      <c r="E472" s="3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23.25" hidden="false" customHeight="true" outlineLevel="0" collapsed="false">
      <c r="A473" s="3" t="s">
        <v>921</v>
      </c>
      <c r="B473" s="3" t="s">
        <v>922</v>
      </c>
      <c r="C473" s="3" t="n">
        <f aca="false">IF(B473="","",SUMIF(Отзывы!$C:$C,$B473,Отзывы!$F:$F)+ТехническийЛист!$C$1)</f>
        <v>66</v>
      </c>
      <c r="D473" s="3" t="str">
        <f aca="false">IFERROR(__xludf.dummyfunction("IMPORTRANGE('ТехническийЛист'!$B$1,""список!D""&amp;'ТехническийЛист'!$A474)"),"Есть доступ")</f>
        <v>Есть доступ</v>
      </c>
      <c r="E473" s="3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23.25" hidden="false" customHeight="true" outlineLevel="0" collapsed="false">
      <c r="A474" s="3" t="s">
        <v>923</v>
      </c>
      <c r="B474" s="3" t="s">
        <v>855</v>
      </c>
      <c r="C474" s="3" t="n">
        <f aca="false">IF(B474="","",SUMIF(Отзывы!$C:$C,$B474,Отзывы!$F:$F)+ТехническийЛист!$C$1)</f>
        <v>70</v>
      </c>
      <c r="D474" s="3" t="str">
        <f aca="false">IFERROR(__xludf.dummyfunction("IMPORTRANGE('ТехническийЛист'!$B$1,""список!D""&amp;'ТехническийЛист'!$A475)"),"Есть доступ")</f>
        <v>Есть доступ</v>
      </c>
      <c r="E474" s="3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23.25" hidden="false" customHeight="true" outlineLevel="0" collapsed="false">
      <c r="A475" s="3" t="s">
        <v>924</v>
      </c>
      <c r="B475" s="3" t="s">
        <v>925</v>
      </c>
      <c r="C475" s="3" t="n">
        <f aca="false">IF(B475="","",SUMIF(Отзывы!$C:$C,$B475,Отзывы!$F:$F)+ТехническийЛист!$C$1)</f>
        <v>50</v>
      </c>
      <c r="D475" s="3" t="str">
        <f aca="false">IFERROR(__xludf.dummyfunction("IMPORTRANGE('ТехническийЛист'!$B$1,""список!D""&amp;'ТехническийЛист'!$A476)"),"Есть доступ")</f>
        <v>Есть доступ</v>
      </c>
      <c r="E475" s="3" t="s">
        <v>858</v>
      </c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23.25" hidden="false" customHeight="true" outlineLevel="0" collapsed="false">
      <c r="A476" s="3" t="s">
        <v>926</v>
      </c>
      <c r="B476" s="3" t="s">
        <v>927</v>
      </c>
      <c r="C476" s="3" t="n">
        <f aca="false">IF(B476="","",SUMIF(Отзывы!$C:$C,$B476,Отзывы!$F:$F)+ТехническийЛист!$C$1)</f>
        <v>50</v>
      </c>
      <c r="D476" s="3" t="str">
        <f aca="false">IFERROR(__xludf.dummyfunction("IMPORTRANGE('ТехническийЛист'!$B$1,""список!D""&amp;'ТехническийЛист'!$A477)"),"Есть доступ")</f>
        <v>Есть доступ</v>
      </c>
      <c r="E476" s="3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23.25" hidden="false" customHeight="true" outlineLevel="0" collapsed="false">
      <c r="A477" s="3" t="s">
        <v>928</v>
      </c>
      <c r="B477" s="3" t="s">
        <v>929</v>
      </c>
      <c r="C477" s="3" t="n">
        <f aca="false">IF(B477="","",SUMIF(Отзывы!$C:$C,$B477,Отзывы!$F:$F)+ТехническийЛист!$C$1)</f>
        <v>35</v>
      </c>
      <c r="D477" s="3" t="str">
        <f aca="false">IFERROR(__xludf.dummyfunction("IMPORTRANGE('ТехническийЛист'!$B$1,""список!D""&amp;'ТехническийЛист'!$A478)"),"Есть доступ")</f>
        <v>Есть доступ</v>
      </c>
      <c r="E477" s="3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23.25" hidden="false" customHeight="true" outlineLevel="0" collapsed="false">
      <c r="A478" s="3" t="s">
        <v>930</v>
      </c>
      <c r="B478" s="3" t="s">
        <v>931</v>
      </c>
      <c r="C478" s="3" t="n">
        <f aca="false">IF(B478="","",SUMIF(Отзывы!$C:$C,$B478,Отзывы!$F:$F)+ТехническийЛист!$C$1)</f>
        <v>50</v>
      </c>
      <c r="D478" s="3" t="str">
        <f aca="false">IFERROR(__xludf.dummyfunction("IMPORTRANGE('ТехническийЛист'!$B$1,""список!D""&amp;'ТехническийЛист'!$A479)"),"Есть доступ")</f>
        <v>Есть доступ</v>
      </c>
      <c r="E478" s="3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23.25" hidden="false" customHeight="true" outlineLevel="0" collapsed="false">
      <c r="A479" s="3" t="s">
        <v>932</v>
      </c>
      <c r="B479" s="3" t="s">
        <v>933</v>
      </c>
      <c r="C479" s="3" t="n">
        <f aca="false">IF(B479="","",SUMIF(Отзывы!$C:$C,$B479,Отзывы!$F:$F)+ТехническийЛист!$C$1)</f>
        <v>50</v>
      </c>
      <c r="D479" s="3" t="str">
        <f aca="false">IFERROR(__xludf.dummyfunction("IMPORTRANGE('ТехническийЛист'!$B$1,""список!D""&amp;'ТехническийЛист'!$A480)"),"Есть доступ")</f>
        <v>Есть доступ</v>
      </c>
      <c r="E479" s="3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23.25" hidden="false" customHeight="true" outlineLevel="0" collapsed="false">
      <c r="A480" s="3" t="s">
        <v>934</v>
      </c>
      <c r="B480" s="3" t="s">
        <v>935</v>
      </c>
      <c r="C480" s="3" t="n">
        <f aca="false">IF(B480="","",SUMIF(Отзывы!$C:$C,$B480,Отзывы!$F:$F)+ТехническийЛист!$C$1)</f>
        <v>50</v>
      </c>
      <c r="D480" s="3" t="str">
        <f aca="false">IFERROR(__xludf.dummyfunction("IMPORTRANGE('ТехническийЛист'!$B$1,""список!D""&amp;'ТехническийЛист'!$A481)"),"Есть доступ")</f>
        <v>Есть доступ</v>
      </c>
      <c r="E480" s="3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23.25" hidden="false" customHeight="true" outlineLevel="0" collapsed="false">
      <c r="A481" s="3" t="s">
        <v>936</v>
      </c>
      <c r="B481" s="3" t="s">
        <v>937</v>
      </c>
      <c r="C481" s="3" t="n">
        <f aca="false">IF(B481="","",SUMIF(Отзывы!$C:$C,$B481,Отзывы!$F:$F)+ТехническийЛист!$C$1)</f>
        <v>35</v>
      </c>
      <c r="D481" s="3" t="str">
        <f aca="false">IFERROR(__xludf.dummyfunction("IMPORTRANGE('ТехническийЛист'!$B$1,""список!D""&amp;'ТехническийЛист'!$A482)"),"Есть доступ")</f>
        <v>Есть доступ</v>
      </c>
      <c r="E481" s="3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23.25" hidden="false" customHeight="true" outlineLevel="0" collapsed="false">
      <c r="A482" s="3" t="s">
        <v>938</v>
      </c>
      <c r="B482" s="3" t="s">
        <v>939</v>
      </c>
      <c r="C482" s="3" t="n">
        <f aca="false">IF(B482="","",SUMIF(Отзывы!$C:$C,$B482,Отзывы!$F:$F)+ТехническийЛист!$C$1)</f>
        <v>50</v>
      </c>
      <c r="D482" s="3" t="str">
        <f aca="false">IFERROR(__xludf.dummyfunction("IMPORTRANGE('ТехническийЛист'!$B$1,""список!D""&amp;'ТехническийЛист'!$A483)"),"Есть доступ")</f>
        <v>Есть доступ</v>
      </c>
      <c r="E482" s="3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23.25" hidden="false" customHeight="true" outlineLevel="0" collapsed="false">
      <c r="A483" s="3" t="s">
        <v>940</v>
      </c>
      <c r="B483" s="3" t="s">
        <v>941</v>
      </c>
      <c r="C483" s="3" t="n">
        <f aca="false">IF(B483="","",SUMIF(Отзывы!$C:$C,$B483,Отзывы!$F:$F)+ТехническийЛист!$C$1)</f>
        <v>50</v>
      </c>
      <c r="D483" s="3" t="str">
        <f aca="false">IFERROR(__xludf.dummyfunction("IMPORTRANGE('ТехническийЛист'!$B$1,""список!D""&amp;'ТехническийЛист'!$A484)"),"Есть доступ")</f>
        <v>Есть доступ</v>
      </c>
      <c r="E483" s="3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23.25" hidden="false" customHeight="true" outlineLevel="0" collapsed="false">
      <c r="A484" s="3" t="s">
        <v>942</v>
      </c>
      <c r="B484" s="3" t="s">
        <v>942</v>
      </c>
      <c r="C484" s="3" t="n">
        <f aca="false">IF(B484="","",SUMIF(Отзывы!$C:$C,$B484,Отзывы!$F:$F)+ТехническийЛист!$C$1)</f>
        <v>35</v>
      </c>
      <c r="D484" s="3" t="str">
        <f aca="false">IFERROR(__xludf.dummyfunction("IMPORTRANGE('ТехническийЛист'!$B$1,""список!D""&amp;'ТехническийЛист'!$A485)"),"Нет доступа")</f>
        <v>Нет доступа</v>
      </c>
      <c r="E484" s="3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23.25" hidden="false" customHeight="true" outlineLevel="0" collapsed="false">
      <c r="A485" s="3" t="s">
        <v>943</v>
      </c>
      <c r="B485" s="3" t="s">
        <v>944</v>
      </c>
      <c r="C485" s="3" t="n">
        <f aca="false">IF(B485="","",SUMIF(Отзывы!$C:$C,$B485,Отзывы!$F:$F)+ТехническийЛист!$C$1)</f>
        <v>45</v>
      </c>
      <c r="D485" s="3" t="str">
        <f aca="false">IFERROR(__xludf.dummyfunction("IMPORTRANGE('ТехническийЛист'!$B$1,""список!D""&amp;'ТехническийЛист'!$A486)"),"Есть доступ")</f>
        <v>Есть доступ</v>
      </c>
      <c r="E485" s="3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23.25" hidden="false" customHeight="true" outlineLevel="0" collapsed="false">
      <c r="A486" s="3" t="s">
        <v>945</v>
      </c>
      <c r="B486" s="3" t="s">
        <v>946</v>
      </c>
      <c r="C486" s="3" t="n">
        <f aca="false">IF(B486="","",SUMIF(Отзывы!$C:$C,$B486,Отзывы!$F:$F)+ТехническийЛист!$C$1)</f>
        <v>35</v>
      </c>
      <c r="D486" s="3" t="str">
        <f aca="false">IFERROR(__xludf.dummyfunction("IMPORTRANGE('ТехническийЛист'!$B$1,""список!D""&amp;'ТехническийЛист'!$A487)"),"Есть доступ")</f>
        <v>Есть доступ</v>
      </c>
      <c r="E486" s="3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23.25" hidden="false" customHeight="true" outlineLevel="0" collapsed="false">
      <c r="A487" s="3" t="s">
        <v>947</v>
      </c>
      <c r="B487" s="3" t="s">
        <v>948</v>
      </c>
      <c r="C487" s="3" t="n">
        <f aca="false">IF(B487="","",SUMIF(Отзывы!$C:$C,$B487,Отзывы!$F:$F)+ТехническийЛист!$C$1)</f>
        <v>50</v>
      </c>
      <c r="D487" s="3" t="str">
        <f aca="false">IFERROR(__xludf.dummyfunction("IMPORTRANGE('ТехническийЛист'!$B$1,""список!D""&amp;'ТехническийЛист'!$A488)"),"Есть доступ")</f>
        <v>Есть доступ</v>
      </c>
      <c r="E487" s="3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23.25" hidden="false" customHeight="true" outlineLevel="0" collapsed="false">
      <c r="A488" s="3" t="s">
        <v>949</v>
      </c>
      <c r="B488" s="3" t="s">
        <v>950</v>
      </c>
      <c r="C488" s="3" t="n">
        <f aca="false">IF(B488="","",SUMIF(Отзывы!$C:$C,$B488,Отзывы!$F:$F)+ТехническийЛист!$C$1)</f>
        <v>35</v>
      </c>
      <c r="D488" s="3" t="str">
        <f aca="false">IFERROR(__xludf.dummyfunction("IMPORTRANGE('ТехническийЛист'!$B$1,""список!D""&amp;'ТехническийЛист'!$A489)"),"Есть доступ")</f>
        <v>Есть доступ</v>
      </c>
      <c r="E488" s="3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23.25" hidden="false" customHeight="true" outlineLevel="0" collapsed="false">
      <c r="A489" s="3" t="s">
        <v>951</v>
      </c>
      <c r="B489" s="3" t="s">
        <v>952</v>
      </c>
      <c r="C489" s="3" t="n">
        <f aca="false">IF(B489="","",SUMIF(Отзывы!$C:$C,$B489,Отзывы!$F:$F)+ТехническийЛист!$C$1)</f>
        <v>60</v>
      </c>
      <c r="D489" s="3" t="str">
        <f aca="false">IFERROR(__xludf.dummyfunction("IMPORTRANGE('ТехническийЛист'!$B$1,""список!D""&amp;'ТехническийЛист'!$A490)"),"Есть доступ")</f>
        <v>Есть доступ</v>
      </c>
      <c r="E489" s="3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23.25" hidden="false" customHeight="true" outlineLevel="0" collapsed="false">
      <c r="A490" s="3" t="s">
        <v>953</v>
      </c>
      <c r="B490" s="3" t="s">
        <v>953</v>
      </c>
      <c r="C490" s="3" t="n">
        <f aca="false">IF(B490="","",SUMIF(Отзывы!$C:$C,$B490,Отзывы!$F:$F)+ТехническийЛист!$C$1)</f>
        <v>35</v>
      </c>
      <c r="D490" s="3" t="str">
        <f aca="false">IFERROR(__xludf.dummyfunction("IMPORTRANGE('ТехническийЛист'!$B$1,""список!D""&amp;'ТехническийЛист'!$A491)"),"Есть доступ")</f>
        <v>Есть доступ</v>
      </c>
      <c r="E490" s="3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23.25" hidden="false" customHeight="true" outlineLevel="0" collapsed="false">
      <c r="A491" s="3" t="s">
        <v>954</v>
      </c>
      <c r="B491" s="3" t="s">
        <v>955</v>
      </c>
      <c r="C491" s="3" t="n">
        <f aca="false">IF(B491="","",SUMIF(Отзывы!$C:$C,$B491,Отзывы!$F:$F)+ТехническийЛист!$C$1)</f>
        <v>50</v>
      </c>
      <c r="D491" s="3" t="str">
        <f aca="false">IFERROR(__xludf.dummyfunction("IMPORTRANGE('ТехническийЛист'!$B$1,""список!D""&amp;'ТехническийЛист'!$A492)"),"Есть доступ")</f>
        <v>Есть доступ</v>
      </c>
      <c r="E491" s="3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23.25" hidden="false" customHeight="true" outlineLevel="0" collapsed="false">
      <c r="A492" s="3" t="s">
        <v>956</v>
      </c>
      <c r="B492" s="3" t="s">
        <v>957</v>
      </c>
      <c r="C492" s="3" t="n">
        <f aca="false">IF(B492="","",SUMIF(Отзывы!$C:$C,$B492,Отзывы!$F:$F)+ТехническийЛист!$C$1)</f>
        <v>50</v>
      </c>
      <c r="D492" s="3" t="str">
        <f aca="false">IFERROR(__xludf.dummyfunction("IMPORTRANGE('ТехническийЛист'!$B$1,""список!D""&amp;'ТехническийЛист'!$A493)"),"Есть доступ")</f>
        <v>Есть доступ</v>
      </c>
      <c r="E492" s="3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23.25" hidden="false" customHeight="true" outlineLevel="0" collapsed="false">
      <c r="A493" s="3" t="s">
        <v>958</v>
      </c>
      <c r="B493" s="3" t="s">
        <v>959</v>
      </c>
      <c r="C493" s="3" t="n">
        <f aca="false">IF(B493="","",SUMIF(Отзывы!$C:$C,$B493,Отзывы!$F:$F)+ТехническийЛист!$C$1)</f>
        <v>35</v>
      </c>
      <c r="D493" s="3" t="str">
        <f aca="false">IFERROR(__xludf.dummyfunction("IMPORTRANGE('ТехническийЛист'!$B$1,""список!D""&amp;'ТехническийЛист'!$A494)"),"Есть доступ")</f>
        <v>Есть доступ</v>
      </c>
      <c r="E493" s="3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23.25" hidden="false" customHeight="true" outlineLevel="0" collapsed="false">
      <c r="A494" s="3" t="s">
        <v>960</v>
      </c>
      <c r="B494" s="3" t="s">
        <v>961</v>
      </c>
      <c r="C494" s="3" t="n">
        <f aca="false">IF(B494="","",SUMIF(Отзывы!$C:$C,$B494,Отзывы!$F:$F)+ТехническийЛист!$C$1)</f>
        <v>50</v>
      </c>
      <c r="D494" s="3" t="str">
        <f aca="false">IFERROR(__xludf.dummyfunction("IMPORTRANGE('ТехническийЛист'!$B$1,""список!D""&amp;'ТехническийЛист'!$A495)"),"Есть доступ")</f>
        <v>Есть доступ</v>
      </c>
      <c r="E494" s="3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23.25" hidden="false" customHeight="true" outlineLevel="0" collapsed="false">
      <c r="A495" s="3" t="s">
        <v>962</v>
      </c>
      <c r="B495" s="3" t="s">
        <v>963</v>
      </c>
      <c r="C495" s="3" t="n">
        <f aca="false">IF(B495="","",SUMIF(Отзывы!$C:$C,$B495,Отзывы!$F:$F)+ТехническийЛист!$C$1)</f>
        <v>50</v>
      </c>
      <c r="D495" s="3" t="str">
        <f aca="false">IFERROR(__xludf.dummyfunction("IMPORTRANGE('ТехническийЛист'!$B$1,""список!D""&amp;'ТехническийЛист'!$A496)"),"Есть доступ")</f>
        <v>Есть доступ</v>
      </c>
      <c r="E495" s="3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23.25" hidden="false" customHeight="true" outlineLevel="0" collapsed="false">
      <c r="A496" s="3" t="s">
        <v>964</v>
      </c>
      <c r="B496" s="3" t="s">
        <v>965</v>
      </c>
      <c r="C496" s="3" t="n">
        <f aca="false">IF(B496="","",SUMIF(Отзывы!$C:$C,$B496,Отзывы!$F:$F)+ТехническийЛист!$C$1)</f>
        <v>50</v>
      </c>
      <c r="D496" s="3" t="str">
        <f aca="false">IFERROR(__xludf.dummyfunction("IMPORTRANGE('ТехническийЛист'!$B$1,""список!D""&amp;'ТехническийЛист'!$A497)"),"Есть доступ")</f>
        <v>Есть доступ</v>
      </c>
      <c r="E496" s="3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23.25" hidden="false" customHeight="true" outlineLevel="0" collapsed="false">
      <c r="A497" s="3" t="s">
        <v>966</v>
      </c>
      <c r="B497" s="3" t="s">
        <v>967</v>
      </c>
      <c r="C497" s="3" t="n">
        <f aca="false">IF(B497="","",SUMIF(Отзывы!$C:$C,$B497,Отзывы!$F:$F)+ТехническийЛист!$C$1)</f>
        <v>35</v>
      </c>
      <c r="D497" s="3" t="str">
        <f aca="false">IFERROR(__xludf.dummyfunction("IMPORTRANGE('ТехническийЛист'!$B$1,""список!D""&amp;'ТехническийЛист'!$A498)"),"Есть доступ")</f>
        <v>Есть доступ</v>
      </c>
      <c r="E497" s="3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23.25" hidden="false" customHeight="true" outlineLevel="0" collapsed="false">
      <c r="A498" s="3" t="s">
        <v>968</v>
      </c>
      <c r="B498" s="3" t="s">
        <v>969</v>
      </c>
      <c r="C498" s="3" t="n">
        <f aca="false">IF(B498="","",SUMIF(Отзывы!$C:$C,$B498,Отзывы!$F:$F)+ТехническийЛист!$C$1)</f>
        <v>50</v>
      </c>
      <c r="D498" s="3" t="str">
        <f aca="false">IFERROR(__xludf.dummyfunction("IMPORTRANGE('ТехническийЛист'!$B$1,""список!D""&amp;'ТехническийЛист'!$A499)"),"")</f>
        <v/>
      </c>
      <c r="E498" s="3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23.25" hidden="false" customHeight="true" outlineLevel="0" collapsed="false">
      <c r="A499" s="3"/>
      <c r="B499" s="3"/>
      <c r="C499" s="3" t="str">
        <f aca="false">IF(B499="","",SUMIF(Отзывы!$C:$C,$B499,Отзывы!$F:$F)+ТехническийЛист!$C$1)</f>
        <v/>
      </c>
      <c r="D499" s="3" t="str">
        <f aca="false">IFERROR(__xludf.dummyfunction("IMPORTRANGE('ТехническийЛист'!$B$1,""список!D""&amp;'ТехническийЛист'!$A500)"),"")</f>
        <v/>
      </c>
      <c r="E499" s="3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23.25" hidden="false" customHeight="true" outlineLevel="0" collapsed="false">
      <c r="A500" s="3"/>
      <c r="B500" s="3"/>
      <c r="C500" s="3" t="str">
        <f aca="false">IF(B500="","",SUMIF(Отзывы!$C:$C,$B500,Отзывы!$F:$F)+ТехническийЛист!$C$1)</f>
        <v/>
      </c>
      <c r="D500" s="3" t="str">
        <f aca="false">IFERROR(__xludf.dummyfunction("IMPORTRANGE('ТехническийЛист'!$B$1,""список!D""&amp;'ТехническийЛист'!$A501)"),"")</f>
        <v/>
      </c>
      <c r="E500" s="3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23.25" hidden="false" customHeight="true" outlineLevel="0" collapsed="false">
      <c r="A501" s="3"/>
      <c r="B501" s="3"/>
      <c r="C501" s="3" t="str">
        <f aca="false">IF(B501="","",SUMIF(Отзывы!$C:$C,$B501,Отзывы!$F:$F)+ТехническийЛист!$C$1)</f>
        <v/>
      </c>
      <c r="D501" s="3" t="str">
        <f aca="false">IFERROR(__xludf.dummyfunction("IMPORTRANGE('ТехническийЛист'!$B$1,""список!D""&amp;'ТехническийЛист'!$A502)"),"")</f>
        <v/>
      </c>
      <c r="E501" s="3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23.25" hidden="false" customHeight="true" outlineLevel="0" collapsed="false">
      <c r="A502" s="3"/>
      <c r="B502" s="3"/>
      <c r="C502" s="3" t="str">
        <f aca="false">IF(B502="","",SUMIF(Отзывы!$C:$C,$B502,Отзывы!$F:$F)+ТехническийЛист!$C$1)</f>
        <v/>
      </c>
      <c r="D502" s="3" t="str">
        <f aca="false">IFERROR(__xludf.dummyfunction("IMPORTRANGE('ТехническийЛист'!$B$1,""список!D""&amp;'ТехническийЛист'!$A503)"),"")</f>
        <v/>
      </c>
      <c r="E502" s="3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23.25" hidden="false" customHeight="true" outlineLevel="0" collapsed="false">
      <c r="A503" s="3"/>
      <c r="B503" s="3"/>
      <c r="C503" s="3" t="str">
        <f aca="false">IF(B503="","",SUMIF(Отзывы!$C:$C,$B503,Отзывы!$F:$F)+ТехническийЛист!$C$1)</f>
        <v/>
      </c>
      <c r="D503" s="3" t="str">
        <f aca="false">IFERROR(__xludf.dummyfunction("IMPORTRANGE('ТехническийЛист'!$B$1,""список!D""&amp;'ТехническийЛист'!$A504)"),"")</f>
        <v/>
      </c>
      <c r="E503" s="3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23.25" hidden="false" customHeight="true" outlineLevel="0" collapsed="false">
      <c r="A504" s="3"/>
      <c r="B504" s="3"/>
      <c r="C504" s="3" t="str">
        <f aca="false">IF(B504="","",SUMIF(Отзывы!$C:$C,$B504,Отзывы!$F:$F)+ТехническийЛист!$C$1)</f>
        <v/>
      </c>
      <c r="D504" s="3" t="str">
        <f aca="false">IFERROR(__xludf.dummyfunction("IMPORTRANGE('ТехническийЛист'!$B$1,""список!D""&amp;'ТехническийЛист'!$A505)"),"")</f>
        <v/>
      </c>
      <c r="E504" s="3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23.25" hidden="false" customHeight="true" outlineLevel="0" collapsed="false">
      <c r="A505" s="3"/>
      <c r="B505" s="3"/>
      <c r="C505" s="3" t="str">
        <f aca="false">IF(B505="","",SUMIF(Отзывы!$C:$C,$B505,Отзывы!$F:$F)+ТехническийЛист!$C$1)</f>
        <v/>
      </c>
      <c r="D505" s="3" t="str">
        <f aca="false">IFERROR(__xludf.dummyfunction("IMPORTRANGE('ТехническийЛист'!$B$1,""список!D""&amp;'ТехническийЛист'!$A506)"),"")</f>
        <v/>
      </c>
      <c r="E505" s="3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23.25" hidden="false" customHeight="true" outlineLevel="0" collapsed="false">
      <c r="A506" s="3"/>
      <c r="B506" s="3"/>
      <c r="C506" s="3" t="str">
        <f aca="false">IF(B506="","",SUMIF(Отзывы!$C:$C,$B506,Отзывы!$F:$F)+ТехническийЛист!$C$1)</f>
        <v/>
      </c>
      <c r="D506" s="3" t="str">
        <f aca="false">IFERROR(__xludf.dummyfunction("IMPORTRANGE('ТехническийЛист'!$B$1,""список!D""&amp;'ТехническийЛист'!$A507)"),"")</f>
        <v/>
      </c>
      <c r="E506" s="3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23.25" hidden="false" customHeight="true" outlineLevel="0" collapsed="false">
      <c r="A507" s="3"/>
      <c r="B507" s="3"/>
      <c r="C507" s="3" t="str">
        <f aca="false">IF(B507="","",SUMIF(Отзывы!$C:$C,$B507,Отзывы!$F:$F)+ТехническийЛист!$C$1)</f>
        <v/>
      </c>
      <c r="D507" s="3" t="str">
        <f aca="false">IFERROR(__xludf.dummyfunction("IMPORTRANGE('ТехническийЛист'!$B$1,""список!D""&amp;'ТехническийЛист'!$A508)"),"")</f>
        <v/>
      </c>
      <c r="E507" s="3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23.25" hidden="false" customHeight="true" outlineLevel="0" collapsed="false">
      <c r="A508" s="3"/>
      <c r="B508" s="3"/>
      <c r="C508" s="3" t="str">
        <f aca="false">IF(B508="","",SUMIF(Отзывы!$C:$C,$B508,Отзывы!$F:$F)+ТехническийЛист!$C$1)</f>
        <v/>
      </c>
      <c r="D508" s="3" t="str">
        <f aca="false">IFERROR(__xludf.dummyfunction("IMPORTRANGE('ТехническийЛист'!$B$1,""список!D""&amp;'ТехническийЛист'!$A509)"),"")</f>
        <v/>
      </c>
      <c r="E508" s="3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23.25" hidden="false" customHeight="true" outlineLevel="0" collapsed="false">
      <c r="A509" s="3"/>
      <c r="B509" s="3"/>
      <c r="C509" s="3" t="str">
        <f aca="false">IF(B509="","",SUMIF(Отзывы!$C:$C,$B509,Отзывы!$F:$F)+ТехническийЛист!$C$1)</f>
        <v/>
      </c>
      <c r="D509" s="3" t="str">
        <f aca="false">IFERROR(__xludf.dummyfunction("IMPORTRANGE('ТехническийЛист'!$B$1,""список!D""&amp;'ТехническийЛист'!$A510)"),"")</f>
        <v/>
      </c>
      <c r="E509" s="3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23.25" hidden="false" customHeight="true" outlineLevel="0" collapsed="false">
      <c r="A510" s="3"/>
      <c r="B510" s="3"/>
      <c r="C510" s="3" t="str">
        <f aca="false">IF(B510="","",SUMIF(Отзывы!$C:$C,$B510,Отзывы!$F:$F)+ТехническийЛист!$C$1)</f>
        <v/>
      </c>
      <c r="D510" s="3" t="str">
        <f aca="false">IFERROR(__xludf.dummyfunction("IMPORTRANGE('ТехническийЛист'!$B$1,""список!D""&amp;'ТехническийЛист'!$A511)"),"")</f>
        <v/>
      </c>
      <c r="E510" s="3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23.25" hidden="false" customHeight="true" outlineLevel="0" collapsed="false">
      <c r="A511" s="3"/>
      <c r="B511" s="3"/>
      <c r="C511" s="3" t="str">
        <f aca="false">IF(B511="","",SUMIF(Отзывы!$C:$C,$B511,Отзывы!$F:$F)+ТехническийЛист!$C$1)</f>
        <v/>
      </c>
      <c r="D511" s="3" t="str">
        <f aca="false">IFERROR(__xludf.dummyfunction("IMPORTRANGE('ТехническийЛист'!$B$1,""список!D""&amp;'ТехническийЛист'!$A512)"),"")</f>
        <v/>
      </c>
      <c r="E511" s="3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23.25" hidden="false" customHeight="true" outlineLevel="0" collapsed="false">
      <c r="A512" s="3"/>
      <c r="B512" s="3"/>
      <c r="C512" s="3" t="str">
        <f aca="false">IF(B512="","",SUMIF(Отзывы!$C:$C,$B512,Отзывы!$F:$F)+ТехническийЛист!$C$1)</f>
        <v/>
      </c>
      <c r="D512" s="3" t="str">
        <f aca="false">IFERROR(__xludf.dummyfunction("IMPORTRANGE('ТехническийЛист'!$B$1,""список!D""&amp;'ТехническийЛист'!$A513)"),"")</f>
        <v/>
      </c>
      <c r="E512" s="3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23.25" hidden="false" customHeight="true" outlineLevel="0" collapsed="false">
      <c r="A513" s="3"/>
      <c r="B513" s="3"/>
      <c r="C513" s="3" t="str">
        <f aca="false">IF(B513="","",SUMIF(Отзывы!$C:$C,$B513,Отзывы!$F:$F)+ТехническийЛист!$C$1)</f>
        <v/>
      </c>
      <c r="D513" s="3" t="str">
        <f aca="false">IFERROR(__xludf.dummyfunction("IMPORTRANGE('ТехническийЛист'!$B$1,""список!D""&amp;'ТехническийЛист'!$A514)"),"")</f>
        <v/>
      </c>
      <c r="E513" s="3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23.25" hidden="false" customHeight="true" outlineLevel="0" collapsed="false">
      <c r="A514" s="3"/>
      <c r="B514" s="3"/>
      <c r="C514" s="3" t="str">
        <f aca="false">IF(B514="","",SUMIF(Отзывы!$C:$C,$B514,Отзывы!$F:$F)+ТехническийЛист!$C$1)</f>
        <v/>
      </c>
      <c r="D514" s="3" t="str">
        <f aca="false">IFERROR(__xludf.dummyfunction("IMPORTRANGE('ТехническийЛист'!$B$1,""список!D""&amp;'ТехническийЛист'!$A515)"),"")</f>
        <v/>
      </c>
      <c r="E514" s="3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23.25" hidden="false" customHeight="true" outlineLevel="0" collapsed="false">
      <c r="A515" s="3"/>
      <c r="B515" s="3"/>
      <c r="C515" s="3" t="str">
        <f aca="false">IF(B515="","",SUMIF(Отзывы!$C:$C,$B515,Отзывы!$F:$F)+ТехническийЛист!$C$1)</f>
        <v/>
      </c>
      <c r="D515" s="3" t="str">
        <f aca="false">IFERROR(__xludf.dummyfunction("IMPORTRANGE('ТехническийЛист'!$B$1,""список!D""&amp;'ТехническийЛист'!$A516)"),"")</f>
        <v/>
      </c>
      <c r="E515" s="3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23.25" hidden="false" customHeight="true" outlineLevel="0" collapsed="false">
      <c r="A516" s="3"/>
      <c r="B516" s="3"/>
      <c r="C516" s="3" t="str">
        <f aca="false">IF(B516="","",SUMIF(Отзывы!$C:$C,$B516,Отзывы!$F:$F)+ТехническийЛист!$C$1)</f>
        <v/>
      </c>
      <c r="D516" s="3" t="str">
        <f aca="false">IFERROR(__xludf.dummyfunction("IMPORTRANGE('ТехническийЛист'!$B$1,""список!D""&amp;'ТехническийЛист'!$A517)"),"")</f>
        <v/>
      </c>
      <c r="E516" s="3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23.25" hidden="false" customHeight="true" outlineLevel="0" collapsed="false">
      <c r="A517" s="3"/>
      <c r="B517" s="3"/>
      <c r="C517" s="3" t="str">
        <f aca="false">IF(B517="","",SUMIF(Отзывы!$C:$C,$B517,Отзывы!$F:$F)+ТехническийЛист!$C$1)</f>
        <v/>
      </c>
      <c r="D517" s="3" t="str">
        <f aca="false">IFERROR(__xludf.dummyfunction("IMPORTRANGE('ТехническийЛист'!$B$1,""список!D""&amp;'ТехническийЛист'!$A518)"),"")</f>
        <v/>
      </c>
      <c r="E517" s="3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23.25" hidden="false" customHeight="true" outlineLevel="0" collapsed="false">
      <c r="A518" s="3"/>
      <c r="B518" s="3"/>
      <c r="C518" s="3" t="str">
        <f aca="false">IF(B518="","",SUMIF(Отзывы!$C:$C,$B518,Отзывы!$F:$F)+ТехническийЛист!$C$1)</f>
        <v/>
      </c>
      <c r="D518" s="3" t="str">
        <f aca="false">IFERROR(__xludf.dummyfunction("IMPORTRANGE('ТехническийЛист'!$B$1,""список!D""&amp;'ТехническийЛист'!$A519)"),"")</f>
        <v/>
      </c>
      <c r="E518" s="3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23.25" hidden="false" customHeight="true" outlineLevel="0" collapsed="false">
      <c r="A519" s="3"/>
      <c r="B519" s="3"/>
      <c r="C519" s="3" t="str">
        <f aca="false">IF(B519="","",SUMIF(Отзывы!$C:$C,$B519,Отзывы!$F:$F)+ТехническийЛист!$C$1)</f>
        <v/>
      </c>
      <c r="D519" s="3" t="str">
        <f aca="false">IFERROR(__xludf.dummyfunction("IMPORTRANGE('ТехническийЛист'!$B$1,""список!D""&amp;'ТехническийЛист'!$A520)"),"")</f>
        <v/>
      </c>
      <c r="E519" s="3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23.25" hidden="false" customHeight="true" outlineLevel="0" collapsed="false">
      <c r="A520" s="3"/>
      <c r="B520" s="3"/>
      <c r="C520" s="3" t="str">
        <f aca="false">IF(B520="","",SUMIF(Отзывы!$C:$C,$B520,Отзывы!$F:$F)+ТехническийЛист!$C$1)</f>
        <v/>
      </c>
      <c r="D520" s="3" t="str">
        <f aca="false">IFERROR(__xludf.dummyfunction("IMPORTRANGE('ТехническийЛист'!$B$1,""список!D""&amp;'ТехническийЛист'!$A521)"),"")</f>
        <v/>
      </c>
      <c r="E520" s="3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23.25" hidden="false" customHeight="true" outlineLevel="0" collapsed="false">
      <c r="A521" s="3"/>
      <c r="B521" s="3"/>
      <c r="C521" s="3" t="str">
        <f aca="false">IF(B521="","",SUMIF(Отзывы!$C:$C,$B521,Отзывы!$F:$F)+ТехническийЛист!$C$1)</f>
        <v/>
      </c>
      <c r="D521" s="3" t="str">
        <f aca="false">IFERROR(__xludf.dummyfunction("IMPORTRANGE('ТехническийЛист'!$B$1,""список!D""&amp;'ТехническийЛист'!$A522)"),"")</f>
        <v/>
      </c>
      <c r="E521" s="3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23.25" hidden="false" customHeight="true" outlineLevel="0" collapsed="false">
      <c r="A522" s="3"/>
      <c r="B522" s="3"/>
      <c r="C522" s="3" t="str">
        <f aca="false">IF(B522="","",SUMIF(Отзывы!$C:$C,$B522,Отзывы!$F:$F)+ТехническийЛист!$C$1)</f>
        <v/>
      </c>
      <c r="D522" s="3" t="str">
        <f aca="false">IFERROR(__xludf.dummyfunction("IMPORTRANGE('ТехническийЛист'!$B$1,""список!D""&amp;'ТехническийЛист'!$A523)"),"")</f>
        <v/>
      </c>
      <c r="E522" s="3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23.25" hidden="false" customHeight="true" outlineLevel="0" collapsed="false">
      <c r="A523" s="3"/>
      <c r="B523" s="3"/>
      <c r="C523" s="3" t="str">
        <f aca="false">IF(B523="","",SUMIF(Отзывы!$C:$C,$B523,Отзывы!$F:$F)+ТехническийЛист!$C$1)</f>
        <v/>
      </c>
      <c r="D523" s="3" t="str">
        <f aca="false">IFERROR(__xludf.dummyfunction("IMPORTRANGE('ТехническийЛист'!$B$1,""список!D""&amp;'ТехническийЛист'!$A524)"),"")</f>
        <v/>
      </c>
      <c r="E523" s="3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23.25" hidden="false" customHeight="true" outlineLevel="0" collapsed="false">
      <c r="A524" s="3"/>
      <c r="B524" s="3"/>
      <c r="C524" s="3" t="str">
        <f aca="false">IF(B524="","",SUMIF(Отзывы!$C:$C,$B524,Отзывы!$F:$F)+ТехническийЛист!$C$1)</f>
        <v/>
      </c>
      <c r="D524" s="3" t="str">
        <f aca="false">IFERROR(__xludf.dummyfunction("IMPORTRANGE('ТехническийЛист'!$B$1,""список!D""&amp;'ТехническийЛист'!$A525)"),"")</f>
        <v/>
      </c>
      <c r="E524" s="3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23.25" hidden="false" customHeight="true" outlineLevel="0" collapsed="false">
      <c r="A525" s="3"/>
      <c r="B525" s="3"/>
      <c r="C525" s="3" t="str">
        <f aca="false">IF(B525="","",SUMIF(Отзывы!$C:$C,$B525,Отзывы!$F:$F)+ТехническийЛист!$C$1)</f>
        <v/>
      </c>
      <c r="D525" s="3" t="str">
        <f aca="false">IFERROR(__xludf.dummyfunction("IMPORTRANGE('ТехническийЛист'!$B$1,""список!D""&amp;'ТехническийЛист'!$A526)"),"")</f>
        <v/>
      </c>
      <c r="E525" s="3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23.25" hidden="false" customHeight="true" outlineLevel="0" collapsed="false">
      <c r="A526" s="3"/>
      <c r="B526" s="3"/>
      <c r="C526" s="3" t="str">
        <f aca="false">IF(B526="","",SUMIF(Отзывы!$C:$C,$B526,Отзывы!$F:$F)+ТехническийЛист!$C$1)</f>
        <v/>
      </c>
      <c r="D526" s="3" t="str">
        <f aca="false">IFERROR(__xludf.dummyfunction("IMPORTRANGE('ТехническийЛист'!$B$1,""список!D""&amp;'ТехническийЛист'!$A527)"),"")</f>
        <v/>
      </c>
      <c r="E526" s="3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23.25" hidden="false" customHeight="true" outlineLevel="0" collapsed="false">
      <c r="A527" s="3"/>
      <c r="B527" s="3"/>
      <c r="C527" s="3" t="str">
        <f aca="false">IF(B527="","",SUMIF(Отзывы!$C:$C,$B527,Отзывы!$F:$F)+ТехническийЛист!$C$1)</f>
        <v/>
      </c>
      <c r="D527" s="3" t="str">
        <f aca="false">IFERROR(__xludf.dummyfunction("IMPORTRANGE('ТехническийЛист'!$B$1,""список!D""&amp;'ТехническийЛист'!$A528)"),"")</f>
        <v/>
      </c>
      <c r="E527" s="3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23.25" hidden="false" customHeight="true" outlineLevel="0" collapsed="false">
      <c r="A528" s="3"/>
      <c r="B528" s="3"/>
      <c r="C528" s="3" t="str">
        <f aca="false">IF(B528="","",SUMIF(Отзывы!$C:$C,$B528,Отзывы!$F:$F)+ТехническийЛист!$C$1)</f>
        <v/>
      </c>
      <c r="D528" s="3" t="str">
        <f aca="false">IFERROR(__xludf.dummyfunction("IMPORTRANGE('ТехническийЛист'!$B$1,""список!D""&amp;'ТехническийЛист'!$A529)"),"")</f>
        <v/>
      </c>
      <c r="E528" s="3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23.25" hidden="false" customHeight="true" outlineLevel="0" collapsed="false">
      <c r="A529" s="3"/>
      <c r="B529" s="3"/>
      <c r="C529" s="3" t="str">
        <f aca="false">IF(B529="","",SUMIF(Отзывы!$C:$C,$B529,Отзывы!$F:$F)+ТехническийЛист!$C$1)</f>
        <v/>
      </c>
      <c r="D529" s="3" t="str">
        <f aca="false">IFERROR(__xludf.dummyfunction("IMPORTRANGE('ТехническийЛист'!$B$1,""список!D""&amp;'ТехническийЛист'!$A530)"),"")</f>
        <v/>
      </c>
      <c r="E529" s="3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23.25" hidden="false" customHeight="true" outlineLevel="0" collapsed="false">
      <c r="A530" s="3"/>
      <c r="B530" s="3"/>
      <c r="C530" s="3" t="str">
        <f aca="false">IF(B530="","",SUMIF(Отзывы!$C:$C,$B530,Отзывы!$F:$F)+ТехническийЛист!$C$1)</f>
        <v/>
      </c>
      <c r="D530" s="3" t="str">
        <f aca="false">IFERROR(__xludf.dummyfunction("IMPORTRANGE('ТехническийЛист'!$B$1,""список!D""&amp;'ТехническийЛист'!$A531)"),"")</f>
        <v/>
      </c>
      <c r="E530" s="3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23.25" hidden="false" customHeight="true" outlineLevel="0" collapsed="false">
      <c r="A531" s="3"/>
      <c r="B531" s="3"/>
      <c r="C531" s="3" t="str">
        <f aca="false">IF(B531="","",SUMIF(Отзывы!$C:$C,$B531,Отзывы!$F:$F)+ТехническийЛист!$C$1)</f>
        <v/>
      </c>
      <c r="D531" s="3" t="str">
        <f aca="false">IFERROR(__xludf.dummyfunction("IMPORTRANGE('ТехническийЛист'!$B$1,""список!D""&amp;'ТехническийЛист'!$A532)"),"")</f>
        <v/>
      </c>
      <c r="E531" s="3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23.25" hidden="false" customHeight="true" outlineLevel="0" collapsed="false">
      <c r="A532" s="3"/>
      <c r="B532" s="3"/>
      <c r="C532" s="3" t="str">
        <f aca="false">IF(B532="","",SUMIF(Отзывы!$C:$C,$B532,Отзывы!$F:$F)+ТехническийЛист!$C$1)</f>
        <v/>
      </c>
      <c r="D532" s="3" t="str">
        <f aca="false">IFERROR(__xludf.dummyfunction("IMPORTRANGE('ТехническийЛист'!$B$1,""список!D""&amp;'ТехническийЛист'!$A533)"),"")</f>
        <v/>
      </c>
      <c r="E532" s="3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23.25" hidden="false" customHeight="true" outlineLevel="0" collapsed="false">
      <c r="A533" s="3"/>
      <c r="B533" s="3"/>
      <c r="C533" s="3" t="str">
        <f aca="false">IF(B533="","",SUMIF(Отзывы!$C:$C,$B533,Отзывы!$F:$F)+ТехническийЛист!$C$1)</f>
        <v/>
      </c>
      <c r="D533" s="3" t="str">
        <f aca="false">IFERROR(__xludf.dummyfunction("IMPORTRANGE('ТехническийЛист'!$B$1,""список!D""&amp;'ТехническийЛист'!$A534)"),"")</f>
        <v/>
      </c>
      <c r="E533" s="3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23.25" hidden="false" customHeight="true" outlineLevel="0" collapsed="false">
      <c r="A534" s="3"/>
      <c r="B534" s="3"/>
      <c r="C534" s="3" t="str">
        <f aca="false">IF(B534="","",SUMIF(Отзывы!$C:$C,$B534,Отзывы!$F:$F)+ТехническийЛист!$C$1)</f>
        <v/>
      </c>
      <c r="D534" s="3" t="str">
        <f aca="false">IFERROR(__xludf.dummyfunction("IMPORTRANGE('ТехническийЛист'!$B$1,""список!D""&amp;'ТехническийЛист'!$A535)"),"")</f>
        <v/>
      </c>
      <c r="E534" s="3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23.25" hidden="false" customHeight="true" outlineLevel="0" collapsed="false">
      <c r="A535" s="3"/>
      <c r="B535" s="3"/>
      <c r="C535" s="3" t="str">
        <f aca="false">IF(B535="","",SUMIF(Отзывы!$C:$C,$B535,Отзывы!$F:$F)+ТехническийЛист!$C$1)</f>
        <v/>
      </c>
      <c r="D535" s="3" t="str">
        <f aca="false">IFERROR(__xludf.dummyfunction("IMPORTRANGE('ТехническийЛист'!$B$1,""список!D""&amp;'ТехническийЛист'!$A536)"),"")</f>
        <v/>
      </c>
      <c r="E535" s="3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23.25" hidden="false" customHeight="true" outlineLevel="0" collapsed="false">
      <c r="A536" s="3"/>
      <c r="B536" s="3"/>
      <c r="C536" s="3" t="str">
        <f aca="false">IF(B536="","",SUMIF(Отзывы!$C:$C,$B536,Отзывы!$F:$F)+ТехническийЛист!$C$1)</f>
        <v/>
      </c>
      <c r="D536" s="3" t="str">
        <f aca="false">IFERROR(__xludf.dummyfunction("IMPORTRANGE('ТехническийЛист'!$B$1,""список!D""&amp;'ТехническийЛист'!$A537)"),"")</f>
        <v/>
      </c>
      <c r="E536" s="3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23.25" hidden="false" customHeight="true" outlineLevel="0" collapsed="false">
      <c r="A537" s="3"/>
      <c r="B537" s="3"/>
      <c r="C537" s="3" t="str">
        <f aca="false">IF(B537="","",SUMIF(Отзывы!$C:$C,$B537,Отзывы!$F:$F)+ТехническийЛист!$C$1)</f>
        <v/>
      </c>
      <c r="D537" s="3" t="str">
        <f aca="false">IFERROR(__xludf.dummyfunction("IMPORTRANGE('ТехническийЛист'!$B$1,""список!D""&amp;'ТехническийЛист'!$A538)"),"")</f>
        <v/>
      </c>
      <c r="E537" s="3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23.25" hidden="false" customHeight="true" outlineLevel="0" collapsed="false">
      <c r="A538" s="3"/>
      <c r="B538" s="3"/>
      <c r="C538" s="3" t="str">
        <f aca="false">IF(B538="","",SUMIF(Отзывы!$C:$C,$B538,Отзывы!$F:$F)+ТехническийЛист!$C$1)</f>
        <v/>
      </c>
      <c r="D538" s="3" t="str">
        <f aca="false">IFERROR(__xludf.dummyfunction("IMPORTRANGE('ТехническийЛист'!$B$1,""список!D""&amp;'ТехническийЛист'!$A539)"),"")</f>
        <v/>
      </c>
      <c r="E538" s="3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23.25" hidden="false" customHeight="true" outlineLevel="0" collapsed="false">
      <c r="A539" s="3"/>
      <c r="B539" s="3"/>
      <c r="C539" s="3" t="str">
        <f aca="false">IF(B539="","",SUMIF(Отзывы!$C:$C,$B539,Отзывы!$F:$F)+ТехническийЛист!$C$1)</f>
        <v/>
      </c>
      <c r="D539" s="3" t="str">
        <f aca="false">IFERROR(__xludf.dummyfunction("IMPORTRANGE('ТехническийЛист'!$B$1,""список!D""&amp;'ТехническийЛист'!$A540)"),"")</f>
        <v/>
      </c>
      <c r="E539" s="3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23.25" hidden="false" customHeight="true" outlineLevel="0" collapsed="false">
      <c r="A540" s="3"/>
      <c r="B540" s="3"/>
      <c r="C540" s="3" t="str">
        <f aca="false">IF(B540="","",SUMIF(Отзывы!$C:$C,$B540,Отзывы!$F:$F)+ТехническийЛист!$C$1)</f>
        <v/>
      </c>
      <c r="D540" s="3" t="str">
        <f aca="false">IFERROR(__xludf.dummyfunction("IMPORTRANGE('ТехническийЛист'!$B$1,""список!D""&amp;'ТехническийЛист'!$A541)"),"")</f>
        <v/>
      </c>
      <c r="E540" s="3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23.25" hidden="false" customHeight="true" outlineLevel="0" collapsed="false">
      <c r="A541" s="3"/>
      <c r="B541" s="3"/>
      <c r="C541" s="3" t="str">
        <f aca="false">IF(B541="","",SUMIF(Отзывы!$C:$C,$B541,Отзывы!$F:$F)+ТехническийЛист!$C$1)</f>
        <v/>
      </c>
      <c r="D541" s="3" t="str">
        <f aca="false">IFERROR(__xludf.dummyfunction("IMPORTRANGE('ТехническийЛист'!$B$1,""список!D""&amp;'ТехническийЛист'!$A542)"),"")</f>
        <v/>
      </c>
      <c r="E541" s="3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23.25" hidden="false" customHeight="true" outlineLevel="0" collapsed="false">
      <c r="A542" s="3"/>
      <c r="B542" s="3"/>
      <c r="C542" s="3" t="str">
        <f aca="false">IF(B542="","",SUMIF(Отзывы!$C:$C,$B542,Отзывы!$F:$F)+ТехническийЛист!$C$1)</f>
        <v/>
      </c>
      <c r="D542" s="3" t="str">
        <f aca="false">IFERROR(__xludf.dummyfunction("IMPORTRANGE('ТехническийЛист'!$B$1,""список!D""&amp;'ТехническийЛист'!$A543)"),"")</f>
        <v/>
      </c>
      <c r="E542" s="3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23.25" hidden="false" customHeight="true" outlineLevel="0" collapsed="false">
      <c r="A543" s="3"/>
      <c r="B543" s="3"/>
      <c r="C543" s="3" t="str">
        <f aca="false">IF(B543="","",SUMIF(Отзывы!$C:$C,$B543,Отзывы!$F:$F)+ТехническийЛист!$C$1)</f>
        <v/>
      </c>
      <c r="D543" s="3" t="str">
        <f aca="false">IFERROR(__xludf.dummyfunction("IMPORTRANGE('ТехническийЛист'!$B$1,""список!D""&amp;'ТехническийЛист'!$A544)"),"")</f>
        <v/>
      </c>
      <c r="E543" s="3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23.25" hidden="false" customHeight="true" outlineLevel="0" collapsed="false">
      <c r="A544" s="3"/>
      <c r="B544" s="3"/>
      <c r="C544" s="3" t="str">
        <f aca="false">IF(B544="","",SUMIF(Отзывы!$C:$C,$B544,Отзывы!$F:$F)+ТехническийЛист!$C$1)</f>
        <v/>
      </c>
      <c r="D544" s="3" t="str">
        <f aca="false">IFERROR(__xludf.dummyfunction("IMPORTRANGE('ТехническийЛист'!$B$1,""список!D""&amp;'ТехническийЛист'!$A545)"),"")</f>
        <v/>
      </c>
      <c r="E544" s="3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23.25" hidden="false" customHeight="true" outlineLevel="0" collapsed="false">
      <c r="A545" s="3"/>
      <c r="B545" s="3"/>
      <c r="C545" s="3" t="str">
        <f aca="false">IF(B545="","",SUMIF(Отзывы!$C:$C,$B545,Отзывы!$F:$F)+ТехническийЛист!$C$1)</f>
        <v/>
      </c>
      <c r="D545" s="3" t="str">
        <f aca="false">IFERROR(__xludf.dummyfunction("IMPORTRANGE('ТехническийЛист'!$B$1,""список!D""&amp;'ТехническийЛист'!$A546)"),"")</f>
        <v/>
      </c>
      <c r="E545" s="3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23.25" hidden="false" customHeight="true" outlineLevel="0" collapsed="false">
      <c r="A546" s="3"/>
      <c r="B546" s="3"/>
      <c r="C546" s="3" t="str">
        <f aca="false">IF(B546="","",SUMIF(Отзывы!$C:$C,$B546,Отзывы!$F:$F)+ТехническийЛист!$C$1)</f>
        <v/>
      </c>
      <c r="D546" s="3" t="str">
        <f aca="false">IFERROR(__xludf.dummyfunction("IMPORTRANGE('ТехническийЛист'!$B$1,""список!D""&amp;'ТехническийЛист'!$A547)"),"")</f>
        <v/>
      </c>
      <c r="E546" s="3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23.25" hidden="false" customHeight="true" outlineLevel="0" collapsed="false">
      <c r="A547" s="3"/>
      <c r="B547" s="3"/>
      <c r="C547" s="3" t="str">
        <f aca="false">IF(B547="","",SUMIF(Отзывы!$C:$C,$B547,Отзывы!$F:$F)+ТехническийЛист!$C$1)</f>
        <v/>
      </c>
      <c r="D547" s="3" t="str">
        <f aca="false">IFERROR(__xludf.dummyfunction("IMPORTRANGE('ТехническийЛист'!$B$1,""список!D""&amp;'ТехническийЛист'!$A548)"),"")</f>
        <v/>
      </c>
      <c r="E547" s="3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23.25" hidden="false" customHeight="true" outlineLevel="0" collapsed="false">
      <c r="A548" s="3"/>
      <c r="B548" s="3"/>
      <c r="C548" s="3" t="str">
        <f aca="false">IF(B548="","",SUMIF(Отзывы!$C:$C,$B548,Отзывы!$F:$F)+ТехническийЛист!$C$1)</f>
        <v/>
      </c>
      <c r="D548" s="3" t="str">
        <f aca="false">IFERROR(__xludf.dummyfunction("IMPORTRANGE('ТехническийЛист'!$B$1,""список!D""&amp;'ТехническийЛист'!$A549)"),"")</f>
        <v/>
      </c>
      <c r="E548" s="3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23.25" hidden="false" customHeight="true" outlineLevel="0" collapsed="false">
      <c r="A549" s="3"/>
      <c r="B549" s="3"/>
      <c r="C549" s="3" t="str">
        <f aca="false">IF(B549="","",SUMIF(Отзывы!$C:$C,$B549,Отзывы!$F:$F)+ТехническийЛист!$C$1)</f>
        <v/>
      </c>
      <c r="D549" s="3" t="str">
        <f aca="false">IFERROR(__xludf.dummyfunction("IMPORTRANGE('ТехническийЛист'!$B$1,""список!D""&amp;'ТехническийЛист'!$A550)"),"")</f>
        <v/>
      </c>
      <c r="E549" s="3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23.25" hidden="false" customHeight="true" outlineLevel="0" collapsed="false">
      <c r="A550" s="3"/>
      <c r="B550" s="3"/>
      <c r="C550" s="3" t="str">
        <f aca="false">IF(B550="","",SUMIF(Отзывы!$C:$C,$B550,Отзывы!$F:$F)+ТехническийЛист!$C$1)</f>
        <v/>
      </c>
      <c r="D550" s="3" t="str">
        <f aca="false">IFERROR(__xludf.dummyfunction("IMPORTRANGE('ТехническийЛист'!$B$1,""список!D""&amp;'ТехническийЛист'!$A551)"),"")</f>
        <v/>
      </c>
      <c r="E550" s="3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23.25" hidden="false" customHeight="true" outlineLevel="0" collapsed="false">
      <c r="A551" s="3"/>
      <c r="B551" s="3"/>
      <c r="C551" s="3" t="str">
        <f aca="false">IF(B551="","",SUMIF(Отзывы!$C:$C,$B551,Отзывы!$F:$F)+ТехническийЛист!$C$1)</f>
        <v/>
      </c>
      <c r="D551" s="3" t="str">
        <f aca="false">IFERROR(__xludf.dummyfunction("IMPORTRANGE('ТехническийЛист'!$B$1,""список!D""&amp;'ТехническийЛист'!$A552)"),"")</f>
        <v/>
      </c>
      <c r="E551" s="3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23.25" hidden="false" customHeight="true" outlineLevel="0" collapsed="false">
      <c r="A552" s="3"/>
      <c r="B552" s="3"/>
      <c r="C552" s="3" t="str">
        <f aca="false">IF(B552="","",SUMIF(Отзывы!$C:$C,$B552,Отзывы!$F:$F)+ТехническийЛист!$C$1)</f>
        <v/>
      </c>
      <c r="D552" s="3" t="str">
        <f aca="false">IFERROR(__xludf.dummyfunction("IMPORTRANGE('ТехническийЛист'!$B$1,""список!D""&amp;'ТехническийЛист'!$A553)"),"")</f>
        <v/>
      </c>
      <c r="E552" s="3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23.25" hidden="false" customHeight="true" outlineLevel="0" collapsed="false">
      <c r="A553" s="3"/>
      <c r="B553" s="3"/>
      <c r="C553" s="3" t="str">
        <f aca="false">IF(B553="","",SUMIF(Отзывы!$C:$C,$B553,Отзывы!$F:$F)+ТехническийЛист!$C$1)</f>
        <v/>
      </c>
      <c r="D553" s="3" t="str">
        <f aca="false">IFERROR(__xludf.dummyfunction("IMPORTRANGE('ТехническийЛист'!$B$1,""список!D""&amp;'ТехническийЛист'!$A554)"),"")</f>
        <v/>
      </c>
      <c r="E553" s="3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23.25" hidden="false" customHeight="true" outlineLevel="0" collapsed="false">
      <c r="A554" s="3"/>
      <c r="B554" s="3"/>
      <c r="C554" s="3" t="str">
        <f aca="false">IF(B554="","",SUMIF(Отзывы!$C:$C,$B554,Отзывы!$F:$F)+ТехническийЛист!$C$1)</f>
        <v/>
      </c>
      <c r="D554" s="3" t="str">
        <f aca="false">IFERROR(__xludf.dummyfunction("IMPORTRANGE('ТехническийЛист'!$B$1,""список!D""&amp;'ТехническийЛист'!$A555)"),"")</f>
        <v/>
      </c>
      <c r="E554" s="3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23.25" hidden="false" customHeight="true" outlineLevel="0" collapsed="false">
      <c r="A555" s="3"/>
      <c r="B555" s="3"/>
      <c r="C555" s="3" t="str">
        <f aca="false">IF(B555="","",SUMIF(Отзывы!$C:$C,$B555,Отзывы!$F:$F)+ТехническийЛист!$C$1)</f>
        <v/>
      </c>
      <c r="D555" s="3" t="str">
        <f aca="false">IFERROR(__xludf.dummyfunction("IMPORTRANGE('ТехническийЛист'!$B$1,""список!D""&amp;'ТехническийЛист'!$A556)"),"")</f>
        <v/>
      </c>
      <c r="E555" s="3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23.25" hidden="false" customHeight="true" outlineLevel="0" collapsed="false">
      <c r="A556" s="3"/>
      <c r="B556" s="3"/>
      <c r="C556" s="3" t="str">
        <f aca="false">IF(B556="","",SUMIF(Отзывы!$C:$C,$B556,Отзывы!$F:$F)+ТехническийЛист!$C$1)</f>
        <v/>
      </c>
      <c r="D556" s="3" t="str">
        <f aca="false">IFERROR(__xludf.dummyfunction("IMPORTRANGE('ТехническийЛист'!$B$1,""список!D""&amp;'ТехническийЛист'!$A557)"),"")</f>
        <v/>
      </c>
      <c r="E556" s="3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23.25" hidden="false" customHeight="true" outlineLevel="0" collapsed="false">
      <c r="A557" s="3"/>
      <c r="B557" s="3"/>
      <c r="C557" s="3" t="str">
        <f aca="false">IF(B557="","",SUMIF(Отзывы!$C:$C,$B557,Отзывы!$F:$F)+ТехническийЛист!$C$1)</f>
        <v/>
      </c>
      <c r="D557" s="3" t="str">
        <f aca="false">IFERROR(__xludf.dummyfunction("IMPORTRANGE('ТехническийЛист'!$B$1,""список!D""&amp;'ТехническийЛист'!$A558)"),"")</f>
        <v/>
      </c>
      <c r="E557" s="3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23.25" hidden="false" customHeight="true" outlineLevel="0" collapsed="false">
      <c r="A558" s="3"/>
      <c r="B558" s="3"/>
      <c r="C558" s="3" t="str">
        <f aca="false">IF(B558="","",SUMIF(Отзывы!$C:$C,$B558,Отзывы!$F:$F)+ТехническийЛист!$C$1)</f>
        <v/>
      </c>
      <c r="D558" s="3" t="str">
        <f aca="false">IFERROR(__xludf.dummyfunction("IMPORTRANGE('ТехническийЛист'!$B$1,""список!D""&amp;'ТехническийЛист'!$A559)"),"")</f>
        <v/>
      </c>
      <c r="E558" s="3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23.25" hidden="false" customHeight="true" outlineLevel="0" collapsed="false">
      <c r="A559" s="3"/>
      <c r="B559" s="3"/>
      <c r="C559" s="3" t="str">
        <f aca="false">IF(B559="","",SUMIF(Отзывы!$C:$C,$B559,Отзывы!$F:$F)+ТехническийЛист!$C$1)</f>
        <v/>
      </c>
      <c r="D559" s="3" t="str">
        <f aca="false">IFERROR(__xludf.dummyfunction("IMPORTRANGE('ТехническийЛист'!$B$1,""список!D""&amp;'ТехническийЛист'!$A560)"),"")</f>
        <v/>
      </c>
      <c r="E559" s="3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23.25" hidden="false" customHeight="true" outlineLevel="0" collapsed="false">
      <c r="A560" s="3"/>
      <c r="B560" s="3"/>
      <c r="C560" s="3" t="str">
        <f aca="false">IF(B560="","",SUMIF(Отзывы!$C:$C,$B560,Отзывы!$F:$F)+ТехническийЛист!$C$1)</f>
        <v/>
      </c>
      <c r="D560" s="3" t="str">
        <f aca="false">IFERROR(__xludf.dummyfunction("IMPORTRANGE('ТехническийЛист'!$B$1,""список!D""&amp;'ТехническийЛист'!$A561)"),"")</f>
        <v/>
      </c>
      <c r="E560" s="3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23.25" hidden="false" customHeight="true" outlineLevel="0" collapsed="false">
      <c r="A561" s="3"/>
      <c r="B561" s="3"/>
      <c r="C561" s="3" t="str">
        <f aca="false">IF(B561="","",SUMIF(Отзывы!$C:$C,$B561,Отзывы!$F:$F)+ТехническийЛист!$C$1)</f>
        <v/>
      </c>
      <c r="D561" s="3" t="str">
        <f aca="false">IFERROR(__xludf.dummyfunction("IMPORTRANGE('ТехническийЛист'!$B$1,""список!D""&amp;'ТехническийЛист'!$A562)"),"")</f>
        <v/>
      </c>
      <c r="E561" s="3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23.25" hidden="false" customHeight="true" outlineLevel="0" collapsed="false">
      <c r="A562" s="3"/>
      <c r="B562" s="3"/>
      <c r="C562" s="3" t="str">
        <f aca="false">IF(B562="","",SUMIF(Отзывы!$C:$C,$B562,Отзывы!$F:$F)+ТехническийЛист!$C$1)</f>
        <v/>
      </c>
      <c r="D562" s="3" t="str">
        <f aca="false">IFERROR(__xludf.dummyfunction("IMPORTRANGE('ТехническийЛист'!$B$1,""список!D""&amp;'ТехническийЛист'!$A563)"),"")</f>
        <v/>
      </c>
      <c r="E562" s="3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23.25" hidden="false" customHeight="true" outlineLevel="0" collapsed="false">
      <c r="A563" s="3"/>
      <c r="B563" s="3"/>
      <c r="C563" s="3" t="str">
        <f aca="false">IF(B563="","",SUMIF(Отзывы!$C:$C,$B563,Отзывы!$F:$F)+ТехническийЛист!$C$1)</f>
        <v/>
      </c>
      <c r="D563" s="3" t="str">
        <f aca="false">IFERROR(__xludf.dummyfunction("IMPORTRANGE('ТехническийЛист'!$B$1,""список!D""&amp;'ТехническийЛист'!$A564)"),"")</f>
        <v/>
      </c>
      <c r="E563" s="3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23.25" hidden="false" customHeight="true" outlineLevel="0" collapsed="false">
      <c r="A564" s="3"/>
      <c r="B564" s="3"/>
      <c r="C564" s="3" t="str">
        <f aca="false">IF(B564="","",SUMIF(Отзывы!$C:$C,$B564,Отзывы!$F:$F)+ТехническийЛист!$C$1)</f>
        <v/>
      </c>
      <c r="D564" s="3" t="str">
        <f aca="false">IFERROR(__xludf.dummyfunction("IMPORTRANGE('ТехническийЛист'!$B$1,""список!D""&amp;'ТехническийЛист'!$A565)"),"")</f>
        <v/>
      </c>
      <c r="E564" s="3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23.25" hidden="false" customHeight="true" outlineLevel="0" collapsed="false">
      <c r="A565" s="3"/>
      <c r="B565" s="3"/>
      <c r="C565" s="3" t="str">
        <f aca="false">IF(B565="","",SUMIF(Отзывы!$C:$C,$B565,Отзывы!$F:$F)+ТехническийЛист!$C$1)</f>
        <v/>
      </c>
      <c r="D565" s="3" t="str">
        <f aca="false">IFERROR(__xludf.dummyfunction("IMPORTRANGE('ТехническийЛист'!$B$1,""список!D""&amp;'ТехническийЛист'!$A566)"),"")</f>
        <v/>
      </c>
      <c r="E565" s="3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23.25" hidden="false" customHeight="true" outlineLevel="0" collapsed="false">
      <c r="A566" s="3"/>
      <c r="B566" s="3"/>
      <c r="C566" s="3" t="str">
        <f aca="false">IF(B566="","",SUMIF(Отзывы!$C:$C,$B566,Отзывы!$F:$F)+ТехническийЛист!$C$1)</f>
        <v/>
      </c>
      <c r="D566" s="3" t="str">
        <f aca="false">IFERROR(__xludf.dummyfunction("IMPORTRANGE('ТехническийЛист'!$B$1,""список!D""&amp;'ТехническийЛист'!$A567)"),"")</f>
        <v/>
      </c>
      <c r="E566" s="3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23.25" hidden="false" customHeight="true" outlineLevel="0" collapsed="false">
      <c r="A567" s="3"/>
      <c r="B567" s="3"/>
      <c r="C567" s="3" t="str">
        <f aca="false">IF(B567="","",SUMIF(Отзывы!$C:$C,$B567,Отзывы!$F:$F)+ТехническийЛист!$C$1)</f>
        <v/>
      </c>
      <c r="D567" s="3" t="str">
        <f aca="false">IFERROR(__xludf.dummyfunction("IMPORTRANGE('ТехническийЛист'!$B$1,""список!D""&amp;'ТехническийЛист'!$A568)"),"")</f>
        <v/>
      </c>
      <c r="E567" s="3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23.25" hidden="false" customHeight="true" outlineLevel="0" collapsed="false">
      <c r="A568" s="3"/>
      <c r="B568" s="3"/>
      <c r="C568" s="3" t="str">
        <f aca="false">IF(B568="","",SUMIF(Отзывы!$C:$C,$B568,Отзывы!$F:$F)+ТехническийЛист!$C$1)</f>
        <v/>
      </c>
      <c r="D568" s="3" t="str">
        <f aca="false">IFERROR(__xludf.dummyfunction("IMPORTRANGE('ТехническийЛист'!$B$1,""список!D""&amp;'ТехническийЛист'!$A569)"),"")</f>
        <v/>
      </c>
      <c r="E568" s="3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23.25" hidden="false" customHeight="true" outlineLevel="0" collapsed="false">
      <c r="A569" s="3"/>
      <c r="B569" s="3"/>
      <c r="C569" s="3" t="str">
        <f aca="false">IF(B569="","",SUMIF(Отзывы!$C:$C,$B569,Отзывы!$F:$F)+ТехническийЛист!$C$1)</f>
        <v/>
      </c>
      <c r="D569" s="3" t="str">
        <f aca="false">IFERROR(__xludf.dummyfunction("IMPORTRANGE('ТехническийЛист'!$B$1,""список!D""&amp;'ТехническийЛист'!$A570)"),"")</f>
        <v/>
      </c>
      <c r="E569" s="3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23.25" hidden="false" customHeight="true" outlineLevel="0" collapsed="false">
      <c r="A570" s="3"/>
      <c r="B570" s="3"/>
      <c r="C570" s="3" t="str">
        <f aca="false">IF(B570="","",SUMIF(Отзывы!$C:$C,$B570,Отзывы!$F:$F)+ТехническийЛист!$C$1)</f>
        <v/>
      </c>
      <c r="D570" s="3" t="str">
        <f aca="false">IFERROR(__xludf.dummyfunction("IMPORTRANGE('ТехническийЛист'!$B$1,""список!D""&amp;'ТехническийЛист'!$A571)"),"")</f>
        <v/>
      </c>
      <c r="E570" s="3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23.25" hidden="false" customHeight="true" outlineLevel="0" collapsed="false">
      <c r="A571" s="3"/>
      <c r="B571" s="3"/>
      <c r="C571" s="3" t="str">
        <f aca="false">IF(B571="","",SUMIF(Отзывы!$C:$C,$B571,Отзывы!$F:$F)+ТехническийЛист!$C$1)</f>
        <v/>
      </c>
      <c r="D571" s="3" t="str">
        <f aca="false">IFERROR(__xludf.dummyfunction("IMPORTRANGE('ТехническийЛист'!$B$1,""список!D""&amp;'ТехническийЛист'!$A572)"),"")</f>
        <v/>
      </c>
      <c r="E571" s="3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23.25" hidden="false" customHeight="true" outlineLevel="0" collapsed="false">
      <c r="A572" s="3"/>
      <c r="B572" s="3"/>
      <c r="C572" s="3" t="str">
        <f aca="false">IF(B572="","",SUMIF(Отзывы!$C:$C,$B572,Отзывы!$F:$F)+ТехническийЛист!$C$1)</f>
        <v/>
      </c>
      <c r="D572" s="3" t="str">
        <f aca="false">IFERROR(__xludf.dummyfunction("IMPORTRANGE('ТехническийЛист'!$B$1,""список!D""&amp;'ТехническийЛист'!$A573)"),"")</f>
        <v/>
      </c>
      <c r="E572" s="3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23.25" hidden="false" customHeight="true" outlineLevel="0" collapsed="false">
      <c r="A573" s="3"/>
      <c r="B573" s="3"/>
      <c r="C573" s="3" t="str">
        <f aca="false">IF(B573="","",SUMIF(Отзывы!$C:$C,$B573,Отзывы!$F:$F)+ТехническийЛист!$C$1)</f>
        <v/>
      </c>
      <c r="D573" s="3" t="str">
        <f aca="false">IFERROR(__xludf.dummyfunction("IMPORTRANGE('ТехническийЛист'!$B$1,""список!D""&amp;'ТехническийЛист'!$A574)"),"")</f>
        <v/>
      </c>
      <c r="E573" s="3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23.25" hidden="false" customHeight="true" outlineLevel="0" collapsed="false">
      <c r="A574" s="3"/>
      <c r="B574" s="3"/>
      <c r="C574" s="3" t="str">
        <f aca="false">IF(B574="","",SUMIF(Отзывы!$C:$C,$B574,Отзывы!$F:$F)+ТехническийЛист!$C$1)</f>
        <v/>
      </c>
      <c r="D574" s="3" t="str">
        <f aca="false">IFERROR(__xludf.dummyfunction("IMPORTRANGE('ТехническийЛист'!$B$1,""список!D""&amp;'ТехническийЛист'!$A575)"),"")</f>
        <v/>
      </c>
      <c r="E574" s="3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23.25" hidden="false" customHeight="true" outlineLevel="0" collapsed="false">
      <c r="A575" s="3"/>
      <c r="B575" s="3"/>
      <c r="C575" s="3" t="str">
        <f aca="false">IF(B575="","",SUMIF(Отзывы!$C:$C,$B575,Отзывы!$F:$F)+ТехническийЛист!$C$1)</f>
        <v/>
      </c>
      <c r="D575" s="3" t="str">
        <f aca="false">IFERROR(__xludf.dummyfunction("IMPORTRANGE('ТехническийЛист'!$B$1,""список!D""&amp;'ТехническийЛист'!$A576)"),"")</f>
        <v/>
      </c>
      <c r="E575" s="3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23.25" hidden="false" customHeight="true" outlineLevel="0" collapsed="false">
      <c r="A576" s="3"/>
      <c r="B576" s="3"/>
      <c r="C576" s="3" t="str">
        <f aca="false">IF(B576="","",SUMIF(Отзывы!$C:$C,$B576,Отзывы!$F:$F)+ТехническийЛист!$C$1)</f>
        <v/>
      </c>
      <c r="D576" s="3" t="str">
        <f aca="false">IFERROR(__xludf.dummyfunction("IMPORTRANGE('ТехническийЛист'!$B$1,""список!D""&amp;'ТехническийЛист'!$A577)"),"")</f>
        <v/>
      </c>
      <c r="E576" s="3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23.25" hidden="false" customHeight="true" outlineLevel="0" collapsed="false">
      <c r="A577" s="3"/>
      <c r="B577" s="3"/>
      <c r="C577" s="3" t="str">
        <f aca="false">IF(B577="","",SUMIF(Отзывы!$C:$C,$B577,Отзывы!$F:$F)+ТехническийЛист!$C$1)</f>
        <v/>
      </c>
      <c r="D577" s="3" t="str">
        <f aca="false">IFERROR(__xludf.dummyfunction("IMPORTRANGE('ТехническийЛист'!$B$1,""список!D""&amp;'ТехническийЛист'!$A578)"),"")</f>
        <v/>
      </c>
      <c r="E577" s="3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23.25" hidden="false" customHeight="true" outlineLevel="0" collapsed="false">
      <c r="A578" s="3"/>
      <c r="B578" s="3"/>
      <c r="C578" s="3" t="str">
        <f aca="false">IF(B578="","",SUMIF(Отзывы!$C:$C,$B578,Отзывы!$F:$F)+ТехническийЛист!$C$1)</f>
        <v/>
      </c>
      <c r="D578" s="3" t="str">
        <f aca="false">IFERROR(__xludf.dummyfunction("IMPORTRANGE('ТехническийЛист'!$B$1,""список!D""&amp;'ТехническийЛист'!$A579)"),"")</f>
        <v/>
      </c>
      <c r="E578" s="3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23.25" hidden="false" customHeight="true" outlineLevel="0" collapsed="false">
      <c r="A579" s="3"/>
      <c r="B579" s="3"/>
      <c r="C579" s="3" t="str">
        <f aca="false">IF(B579="","",SUMIF(Отзывы!$C:$C,$B579,Отзывы!$F:$F)+ТехническийЛист!$C$1)</f>
        <v/>
      </c>
      <c r="D579" s="3" t="str">
        <f aca="false">IFERROR(__xludf.dummyfunction("IMPORTRANGE('ТехническийЛист'!$B$1,""список!D""&amp;'ТехническийЛист'!$A580)"),"")</f>
        <v/>
      </c>
      <c r="E579" s="3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23.25" hidden="false" customHeight="true" outlineLevel="0" collapsed="false">
      <c r="A580" s="3"/>
      <c r="B580" s="3"/>
      <c r="C580" s="3" t="str">
        <f aca="false">IF(B580="","",SUMIF(Отзывы!$C:$C,$B580,Отзывы!$F:$F)+ТехническийЛист!$C$1)</f>
        <v/>
      </c>
      <c r="D580" s="3" t="str">
        <f aca="false">IFERROR(__xludf.dummyfunction("IMPORTRANGE('ТехническийЛист'!$B$1,""список!D""&amp;'ТехническийЛист'!$A581)"),"")</f>
        <v/>
      </c>
      <c r="E580" s="3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23.25" hidden="false" customHeight="true" outlineLevel="0" collapsed="false">
      <c r="A581" s="3"/>
      <c r="B581" s="3"/>
      <c r="C581" s="3" t="str">
        <f aca="false">IF(B581="","",SUMIF(Отзывы!$C:$C,$B581,Отзывы!$F:$F)+ТехническийЛист!$C$1)</f>
        <v/>
      </c>
      <c r="D581" s="3" t="str">
        <f aca="false">IFERROR(__xludf.dummyfunction("IMPORTRANGE('ТехническийЛист'!$B$1,""список!D""&amp;'ТехническийЛист'!$A582)"),"")</f>
        <v/>
      </c>
      <c r="E581" s="3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23.25" hidden="false" customHeight="true" outlineLevel="0" collapsed="false">
      <c r="A582" s="3"/>
      <c r="B582" s="3"/>
      <c r="C582" s="3" t="str">
        <f aca="false">IF(B582="","",SUMIF(Отзывы!$C:$C,$B582,Отзывы!$F:$F)+ТехническийЛист!$C$1)</f>
        <v/>
      </c>
      <c r="D582" s="3" t="str">
        <f aca="false">IFERROR(__xludf.dummyfunction("IMPORTRANGE('ТехническийЛист'!$B$1,""список!D""&amp;'ТехническийЛист'!$A583)"),"")</f>
        <v/>
      </c>
      <c r="E582" s="3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23.25" hidden="false" customHeight="true" outlineLevel="0" collapsed="false">
      <c r="A583" s="3"/>
      <c r="B583" s="3"/>
      <c r="C583" s="3" t="str">
        <f aca="false">IF(B583="","",SUMIF(Отзывы!$C:$C,$B583,Отзывы!$F:$F)+ТехническийЛист!$C$1)</f>
        <v/>
      </c>
      <c r="D583" s="3" t="str">
        <f aca="false">IFERROR(__xludf.dummyfunction("IMPORTRANGE('ТехническийЛист'!$B$1,""список!D""&amp;'ТехническийЛист'!$A584)"),"")</f>
        <v/>
      </c>
      <c r="E583" s="3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23.25" hidden="false" customHeight="true" outlineLevel="0" collapsed="false">
      <c r="A584" s="3"/>
      <c r="B584" s="3"/>
      <c r="C584" s="3" t="str">
        <f aca="false">IF(B584="","",SUMIF(Отзывы!$C:$C,$B584,Отзывы!$F:$F)+ТехническийЛист!$C$1)</f>
        <v/>
      </c>
      <c r="D584" s="3" t="str">
        <f aca="false">IFERROR(__xludf.dummyfunction("IMPORTRANGE('ТехническийЛист'!$B$1,""список!D""&amp;'ТехническийЛист'!$A585)"),"")</f>
        <v/>
      </c>
      <c r="E584" s="3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23.25" hidden="false" customHeight="true" outlineLevel="0" collapsed="false">
      <c r="A585" s="3"/>
      <c r="B585" s="3"/>
      <c r="C585" s="3" t="str">
        <f aca="false">IF(B585="","",SUMIF(Отзывы!$C:$C,$B585,Отзывы!$F:$F)+ТехническийЛист!$C$1)</f>
        <v/>
      </c>
      <c r="D585" s="3" t="str">
        <f aca="false">IFERROR(__xludf.dummyfunction("IMPORTRANGE('ТехническийЛист'!$B$1,""список!D""&amp;'ТехническийЛист'!$A586)"),"")</f>
        <v/>
      </c>
      <c r="E585" s="3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23.25" hidden="false" customHeight="true" outlineLevel="0" collapsed="false">
      <c r="A586" s="3"/>
      <c r="B586" s="3"/>
      <c r="C586" s="3" t="str">
        <f aca="false">IF(B586="","",SUMIF(Отзывы!$C:$C,$B586,Отзывы!$F:$F)+ТехническийЛист!$C$1)</f>
        <v/>
      </c>
      <c r="D586" s="3" t="str">
        <f aca="false">IFERROR(__xludf.dummyfunction("IMPORTRANGE('ТехническийЛист'!$B$1,""список!D""&amp;'ТехническийЛист'!$A587)"),"")</f>
        <v/>
      </c>
      <c r="E586" s="3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23.25" hidden="false" customHeight="true" outlineLevel="0" collapsed="false">
      <c r="A587" s="3"/>
      <c r="B587" s="3"/>
      <c r="C587" s="3" t="str">
        <f aca="false">IF(B587="","",SUMIF(Отзывы!$C:$C,$B587,Отзывы!$F:$F)+ТехническийЛист!$C$1)</f>
        <v/>
      </c>
      <c r="D587" s="3" t="str">
        <f aca="false">IFERROR(__xludf.dummyfunction("IMPORTRANGE('ТехническийЛист'!$B$1,""список!D""&amp;'ТехническийЛист'!$A588)"),"")</f>
        <v/>
      </c>
      <c r="E587" s="3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23.25" hidden="false" customHeight="true" outlineLevel="0" collapsed="false">
      <c r="A588" s="3"/>
      <c r="B588" s="3"/>
      <c r="C588" s="3" t="str">
        <f aca="false">IF(B588="","",SUMIF(Отзывы!$C:$C,$B588,Отзывы!$F:$F)+ТехническийЛист!$C$1)</f>
        <v/>
      </c>
      <c r="D588" s="3" t="str">
        <f aca="false">IFERROR(__xludf.dummyfunction("IMPORTRANGE('ТехническийЛист'!$B$1,""список!D""&amp;'ТехническийЛист'!$A589)"),"")</f>
        <v/>
      </c>
      <c r="E588" s="3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23.25" hidden="false" customHeight="true" outlineLevel="0" collapsed="false">
      <c r="A589" s="3"/>
      <c r="B589" s="3"/>
      <c r="C589" s="3" t="str">
        <f aca="false">IF(B589="","",SUMIF(Отзывы!$C:$C,$B589,Отзывы!$F:$F)+ТехническийЛист!$C$1)</f>
        <v/>
      </c>
      <c r="D589" s="3" t="str">
        <f aca="false">IFERROR(__xludf.dummyfunction("IMPORTRANGE('ТехническийЛист'!$B$1,""список!D""&amp;'ТехническийЛист'!$A590)"),"")</f>
        <v/>
      </c>
      <c r="E589" s="3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23.25" hidden="false" customHeight="true" outlineLevel="0" collapsed="false">
      <c r="A590" s="3"/>
      <c r="B590" s="3"/>
      <c r="C590" s="3" t="str">
        <f aca="false">IF(B590="","",SUMIF(Отзывы!$C:$C,$B590,Отзывы!$F:$F)+ТехническийЛист!$C$1)</f>
        <v/>
      </c>
      <c r="D590" s="3" t="str">
        <f aca="false">IFERROR(__xludf.dummyfunction("IMPORTRANGE('ТехническийЛист'!$B$1,""список!D""&amp;'ТехническийЛист'!$A591)"),"")</f>
        <v/>
      </c>
      <c r="E590" s="3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23.25" hidden="false" customHeight="true" outlineLevel="0" collapsed="false">
      <c r="A591" s="3"/>
      <c r="B591" s="3"/>
      <c r="C591" s="3" t="str">
        <f aca="false">IF(B591="","",SUMIF(Отзывы!$C:$C,$B591,Отзывы!$F:$F)+ТехническийЛист!$C$1)</f>
        <v/>
      </c>
      <c r="D591" s="3" t="str">
        <f aca="false">IFERROR(__xludf.dummyfunction("IMPORTRANGE('ТехническийЛист'!$B$1,""список!D""&amp;'ТехническийЛист'!$A592)"),"")</f>
        <v/>
      </c>
      <c r="E591" s="3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23.25" hidden="false" customHeight="true" outlineLevel="0" collapsed="false">
      <c r="A592" s="3"/>
      <c r="B592" s="3"/>
      <c r="C592" s="3" t="str">
        <f aca="false">IF(B592="","",SUMIF(Отзывы!$C:$C,$B592,Отзывы!$F:$F)+ТехническийЛист!$C$1)</f>
        <v/>
      </c>
      <c r="D592" s="3" t="str">
        <f aca="false">IFERROR(__xludf.dummyfunction("IMPORTRANGE('ТехническийЛист'!$B$1,""список!D""&amp;'ТехническийЛист'!$A593)"),"")</f>
        <v/>
      </c>
      <c r="E592" s="3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23.25" hidden="false" customHeight="true" outlineLevel="0" collapsed="false">
      <c r="A593" s="3"/>
      <c r="B593" s="3"/>
      <c r="C593" s="3" t="str">
        <f aca="false">IF(B593="","",SUMIF(Отзывы!$C:$C,$B593,Отзывы!$F:$F)+ТехническийЛист!$C$1)</f>
        <v/>
      </c>
      <c r="D593" s="3" t="str">
        <f aca="false">IFERROR(__xludf.dummyfunction("IMPORTRANGE('ТехническийЛист'!$B$1,""список!D""&amp;'ТехническийЛист'!$A594)"),"")</f>
        <v/>
      </c>
      <c r="E593" s="3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23.25" hidden="false" customHeight="true" outlineLevel="0" collapsed="false">
      <c r="A594" s="3"/>
      <c r="B594" s="3"/>
      <c r="C594" s="3" t="str">
        <f aca="false">IF(B594="","",SUMIF(Отзывы!$C:$C,$B594,Отзывы!$F:$F)+ТехническийЛист!$C$1)</f>
        <v/>
      </c>
      <c r="D594" s="3" t="str">
        <f aca="false">IFERROR(__xludf.dummyfunction("IMPORTRANGE('ТехническийЛист'!$B$1,""список!D""&amp;'ТехническийЛист'!$A595)"),"")</f>
        <v/>
      </c>
      <c r="E594" s="3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23.25" hidden="false" customHeight="true" outlineLevel="0" collapsed="false">
      <c r="A595" s="3"/>
      <c r="B595" s="3"/>
      <c r="C595" s="3" t="str">
        <f aca="false">IF(B595="","",SUMIF(Отзывы!$C:$C,$B595,Отзывы!$F:$F)+ТехническийЛист!$C$1)</f>
        <v/>
      </c>
      <c r="D595" s="3" t="str">
        <f aca="false">IFERROR(__xludf.dummyfunction("IMPORTRANGE('ТехническийЛист'!$B$1,""список!D""&amp;'ТехническийЛист'!$A596)"),"")</f>
        <v/>
      </c>
      <c r="E595" s="3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23.25" hidden="false" customHeight="true" outlineLevel="0" collapsed="false">
      <c r="A596" s="3"/>
      <c r="B596" s="3"/>
      <c r="C596" s="3" t="str">
        <f aca="false">IF(B596="","",SUMIF(Отзывы!$C:$C,$B596,Отзывы!$F:$F)+ТехническийЛист!$C$1)</f>
        <v/>
      </c>
      <c r="D596" s="3" t="str">
        <f aca="false">IFERROR(__xludf.dummyfunction("IMPORTRANGE('ТехническийЛист'!$B$1,""список!D""&amp;'ТехническийЛист'!$A597)"),"")</f>
        <v/>
      </c>
      <c r="E596" s="3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23.25" hidden="false" customHeight="true" outlineLevel="0" collapsed="false">
      <c r="A597" s="3"/>
      <c r="B597" s="3"/>
      <c r="C597" s="3" t="str">
        <f aca="false">IF(B597="","",SUMIF(Отзывы!$C:$C,$B597,Отзывы!$F:$F)+ТехническийЛист!$C$1)</f>
        <v/>
      </c>
      <c r="D597" s="3" t="str">
        <f aca="false">IFERROR(__xludf.dummyfunction("IMPORTRANGE('ТехническийЛист'!$B$1,""список!D""&amp;'ТехническийЛист'!$A598)"),"")</f>
        <v/>
      </c>
      <c r="E597" s="3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23.25" hidden="false" customHeight="true" outlineLevel="0" collapsed="false">
      <c r="A598" s="3"/>
      <c r="B598" s="3"/>
      <c r="C598" s="3" t="str">
        <f aca="false">IF(B598="","",SUMIF(Отзывы!$C:$C,$B598,Отзывы!$F:$F)+ТехническийЛист!$C$1)</f>
        <v/>
      </c>
      <c r="D598" s="3" t="str">
        <f aca="false">IFERROR(__xludf.dummyfunction("IMPORTRANGE('ТехническийЛист'!$B$1,""список!D""&amp;'ТехническийЛист'!$A599)"),"")</f>
        <v/>
      </c>
      <c r="E598" s="3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23.25" hidden="false" customHeight="true" outlineLevel="0" collapsed="false">
      <c r="A599" s="3"/>
      <c r="B599" s="3"/>
      <c r="C599" s="3" t="str">
        <f aca="false">IF(B599="","",SUMIF(Отзывы!$C:$C,$B599,Отзывы!$F:$F)+ТехническийЛист!$C$1)</f>
        <v/>
      </c>
      <c r="D599" s="3" t="str">
        <f aca="false">IFERROR(__xludf.dummyfunction("IMPORTRANGE('ТехническийЛист'!$B$1,""список!D""&amp;'ТехническийЛист'!$A600)"),"")</f>
        <v/>
      </c>
      <c r="E599" s="3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23.25" hidden="false" customHeight="true" outlineLevel="0" collapsed="false">
      <c r="A600" s="3"/>
      <c r="B600" s="3"/>
      <c r="C600" s="3" t="str">
        <f aca="false">IF(B600="","",SUMIF(Отзывы!$C:$C,$B600,Отзывы!$F:$F)+ТехническийЛист!$C$1)</f>
        <v/>
      </c>
      <c r="D600" s="3" t="str">
        <f aca="false">IFERROR(__xludf.dummyfunction("IMPORTRANGE('ТехническийЛист'!$B$1,""список!D""&amp;'ТехническийЛист'!$A601)"),"")</f>
        <v/>
      </c>
      <c r="E600" s="3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23.25" hidden="false" customHeight="true" outlineLevel="0" collapsed="false">
      <c r="A601" s="3"/>
      <c r="B601" s="3"/>
      <c r="C601" s="3" t="str">
        <f aca="false">IF(B601="","",SUMIF(Отзывы!$C:$C,$B601,Отзывы!$F:$F)+ТехническийЛист!$C$1)</f>
        <v/>
      </c>
      <c r="D601" s="3" t="str">
        <f aca="false">IFERROR(__xludf.dummyfunction("IMPORTRANGE('ТехническийЛист'!$B$1,""список!D""&amp;'ТехническийЛист'!$A602)"),"")</f>
        <v/>
      </c>
      <c r="E601" s="3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23.25" hidden="false" customHeight="true" outlineLevel="0" collapsed="false">
      <c r="A602" s="3"/>
      <c r="B602" s="3"/>
      <c r="C602" s="3" t="str">
        <f aca="false">IF(B602="","",SUMIF(Отзывы!$C:$C,$B602,Отзывы!$F:$F)+ТехническийЛист!$C$1)</f>
        <v/>
      </c>
      <c r="D602" s="3" t="str">
        <f aca="false">IFERROR(__xludf.dummyfunction("IMPORTRANGE('ТехническийЛист'!$B$1,""список!D""&amp;'ТехническийЛист'!$A603)"),"")</f>
        <v/>
      </c>
      <c r="E602" s="3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23.25" hidden="false" customHeight="true" outlineLevel="0" collapsed="false">
      <c r="A603" s="3"/>
      <c r="B603" s="3"/>
      <c r="C603" s="3" t="str">
        <f aca="false">IF(B603="","",SUMIF(Отзывы!$C:$C,$B603,Отзывы!$F:$F)+ТехническийЛист!$C$1)</f>
        <v/>
      </c>
      <c r="D603" s="3" t="str">
        <f aca="false">IFERROR(__xludf.dummyfunction("IMPORTRANGE('ТехническийЛист'!$B$1,""список!D""&amp;'ТехническийЛист'!$A604)"),"")</f>
        <v/>
      </c>
      <c r="E603" s="3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23.25" hidden="false" customHeight="true" outlineLevel="0" collapsed="false">
      <c r="A604" s="3"/>
      <c r="B604" s="3"/>
      <c r="C604" s="3" t="str">
        <f aca="false">IF(B604="","",SUMIF(Отзывы!$C:$C,$B604,Отзывы!$F:$F)+ТехническийЛист!$C$1)</f>
        <v/>
      </c>
      <c r="D604" s="3" t="str">
        <f aca="false">IFERROR(__xludf.dummyfunction("IMPORTRANGE('ТехническийЛист'!$B$1,""список!D""&amp;'ТехническийЛист'!$A605)"),"")</f>
        <v/>
      </c>
      <c r="E604" s="3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23.25" hidden="false" customHeight="true" outlineLevel="0" collapsed="false">
      <c r="A605" s="3"/>
      <c r="B605" s="3"/>
      <c r="C605" s="3" t="str">
        <f aca="false">IF(B605="","",SUMIF(Отзывы!$C:$C,$B605,Отзывы!$F:$F)+ТехническийЛист!$C$1)</f>
        <v/>
      </c>
      <c r="D605" s="3" t="str">
        <f aca="false">IFERROR(__xludf.dummyfunction("IMPORTRANGE('ТехническийЛист'!$B$1,""список!D""&amp;'ТехническийЛист'!$A606)"),"")</f>
        <v/>
      </c>
      <c r="E605" s="3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23.25" hidden="false" customHeight="true" outlineLevel="0" collapsed="false">
      <c r="A606" s="3"/>
      <c r="B606" s="3"/>
      <c r="C606" s="3" t="str">
        <f aca="false">IF(B606="","",SUMIF(Отзывы!$C:$C,$B606,Отзывы!$F:$F)+ТехническийЛист!$C$1)</f>
        <v/>
      </c>
      <c r="D606" s="3" t="str">
        <f aca="false">IFERROR(__xludf.dummyfunction("IMPORTRANGE('ТехническийЛист'!$B$1,""список!D""&amp;'ТехническийЛист'!$A607)"),"")</f>
        <v/>
      </c>
      <c r="E606" s="3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23.25" hidden="false" customHeight="true" outlineLevel="0" collapsed="false">
      <c r="A607" s="3"/>
      <c r="B607" s="3"/>
      <c r="C607" s="3" t="str">
        <f aca="false">IF(B607="","",SUMIF(Отзывы!$C:$C,$B607,Отзывы!$F:$F)+ТехническийЛист!$C$1)</f>
        <v/>
      </c>
      <c r="D607" s="3" t="str">
        <f aca="false">IFERROR(__xludf.dummyfunction("IMPORTRANGE('ТехническийЛист'!$B$1,""список!D""&amp;'ТехническийЛист'!$A608)"),"")</f>
        <v/>
      </c>
      <c r="E607" s="3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23.25" hidden="false" customHeight="true" outlineLevel="0" collapsed="false">
      <c r="A608" s="3"/>
      <c r="B608" s="3"/>
      <c r="C608" s="3" t="str">
        <f aca="false">IF(B608="","",SUMIF(Отзывы!$C:$C,$B608,Отзывы!$F:$F)+ТехническийЛист!$C$1)</f>
        <v/>
      </c>
      <c r="D608" s="3" t="str">
        <f aca="false">IFERROR(__xludf.dummyfunction("IMPORTRANGE('ТехническийЛист'!$B$1,""список!D""&amp;'ТехническийЛист'!$A609)"),"")</f>
        <v/>
      </c>
      <c r="E608" s="3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23.25" hidden="false" customHeight="true" outlineLevel="0" collapsed="false">
      <c r="A609" s="3"/>
      <c r="B609" s="3"/>
      <c r="C609" s="3" t="str">
        <f aca="false">IF(B609="","",SUMIF(Отзывы!$C:$C,$B609,Отзывы!$F:$F)+ТехническийЛист!$C$1)</f>
        <v/>
      </c>
      <c r="D609" s="3" t="str">
        <f aca="false">IFERROR(__xludf.dummyfunction("IMPORTRANGE('ТехническийЛист'!$B$1,""список!D""&amp;'ТехническийЛист'!$A610)"),"")</f>
        <v/>
      </c>
      <c r="E609" s="3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23.25" hidden="false" customHeight="true" outlineLevel="0" collapsed="false">
      <c r="A610" s="3"/>
      <c r="B610" s="3"/>
      <c r="C610" s="3" t="str">
        <f aca="false">IF(B610="","",SUMIF(Отзывы!$C:$C,$B610,Отзывы!$F:$F)+ТехническийЛист!$C$1)</f>
        <v/>
      </c>
      <c r="D610" s="3" t="str">
        <f aca="false">IFERROR(__xludf.dummyfunction("IMPORTRANGE('ТехническийЛист'!$B$1,""список!D""&amp;'ТехническийЛист'!$A611)"),"")</f>
        <v/>
      </c>
      <c r="E610" s="3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23.25" hidden="false" customHeight="true" outlineLevel="0" collapsed="false">
      <c r="A611" s="3"/>
      <c r="B611" s="3"/>
      <c r="C611" s="3" t="str">
        <f aca="false">IF(B611="","",SUMIF(Отзывы!$C:$C,$B611,Отзывы!$F:$F)+ТехническийЛист!$C$1)</f>
        <v/>
      </c>
      <c r="D611" s="3" t="str">
        <f aca="false">IFERROR(__xludf.dummyfunction("IMPORTRANGE('ТехническийЛист'!$B$1,""список!D""&amp;'ТехническийЛист'!$A612)"),"")</f>
        <v/>
      </c>
      <c r="E611" s="3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23.25" hidden="false" customHeight="true" outlineLevel="0" collapsed="false">
      <c r="A612" s="3"/>
      <c r="B612" s="3"/>
      <c r="C612" s="3" t="str">
        <f aca="false">IF(B612="","",SUMIF(Отзывы!$C:$C,$B612,Отзывы!$F:$F)+ТехническийЛист!$C$1)</f>
        <v/>
      </c>
      <c r="D612" s="3" t="str">
        <f aca="false">IFERROR(__xludf.dummyfunction("IMPORTRANGE('ТехническийЛист'!$B$1,""список!D""&amp;'ТехническийЛист'!$A613)"),"")</f>
        <v/>
      </c>
      <c r="E612" s="3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23.25" hidden="false" customHeight="true" outlineLevel="0" collapsed="false">
      <c r="A613" s="3"/>
      <c r="B613" s="3"/>
      <c r="C613" s="3" t="str">
        <f aca="false">IF(B613="","",SUMIF(Отзывы!$C:$C,$B613,Отзывы!$F:$F)+ТехническийЛист!$C$1)</f>
        <v/>
      </c>
      <c r="D613" s="3" t="str">
        <f aca="false">IFERROR(__xludf.dummyfunction("IMPORTRANGE('ТехническийЛист'!$B$1,""список!D""&amp;'ТехническийЛист'!$A614)"),"")</f>
        <v/>
      </c>
      <c r="E613" s="3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23.25" hidden="false" customHeight="true" outlineLevel="0" collapsed="false">
      <c r="A614" s="3"/>
      <c r="B614" s="3"/>
      <c r="C614" s="3" t="str">
        <f aca="false">IF(B614="","",SUMIF(Отзывы!$C:$C,$B614,Отзывы!$F:$F)+ТехническийЛист!$C$1)</f>
        <v/>
      </c>
      <c r="D614" s="3" t="str">
        <f aca="false">IFERROR(__xludf.dummyfunction("IMPORTRANGE('ТехническийЛист'!$B$1,""список!D""&amp;'ТехническийЛист'!$A615)"),"")</f>
        <v/>
      </c>
      <c r="E614" s="3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23.25" hidden="false" customHeight="true" outlineLevel="0" collapsed="false">
      <c r="A615" s="3"/>
      <c r="B615" s="3"/>
      <c r="C615" s="3" t="str">
        <f aca="false">IF(B615="","",SUMIF(Отзывы!$C:$C,$B615,Отзывы!$F:$F)+ТехническийЛист!$C$1)</f>
        <v/>
      </c>
      <c r="D615" s="3" t="str">
        <f aca="false">IFERROR(__xludf.dummyfunction("IMPORTRANGE('ТехническийЛист'!$B$1,""список!D""&amp;'ТехническийЛист'!$A616)"),"")</f>
        <v/>
      </c>
      <c r="E615" s="3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23.25" hidden="false" customHeight="true" outlineLevel="0" collapsed="false">
      <c r="A616" s="3"/>
      <c r="B616" s="3"/>
      <c r="C616" s="3" t="str">
        <f aca="false">IF(B616="","",SUMIF(Отзывы!$C:$C,$B616,Отзывы!$F:$F)+ТехническийЛист!$C$1)</f>
        <v/>
      </c>
      <c r="D616" s="3" t="str">
        <f aca="false">IFERROR(__xludf.dummyfunction("IMPORTRANGE('ТехническийЛист'!$B$1,""список!D""&amp;'ТехническийЛист'!$A617)"),"")</f>
        <v/>
      </c>
      <c r="E616" s="3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23.25" hidden="false" customHeight="true" outlineLevel="0" collapsed="false">
      <c r="A617" s="3"/>
      <c r="B617" s="3"/>
      <c r="C617" s="3" t="str">
        <f aca="false">IF(B617="","",SUMIF(Отзывы!$C:$C,$B617,Отзывы!$F:$F)+ТехническийЛист!$C$1)</f>
        <v/>
      </c>
      <c r="D617" s="3" t="str">
        <f aca="false">IFERROR(__xludf.dummyfunction("IMPORTRANGE('ТехническийЛист'!$B$1,""список!D""&amp;'ТехническийЛист'!$A618)"),"")</f>
        <v/>
      </c>
      <c r="E617" s="3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23.25" hidden="false" customHeight="true" outlineLevel="0" collapsed="false">
      <c r="A618" s="3"/>
      <c r="B618" s="3"/>
      <c r="C618" s="3" t="str">
        <f aca="false">IF(B618="","",SUMIF(Отзывы!$C:$C,$B618,Отзывы!$F:$F)+ТехническийЛист!$C$1)</f>
        <v/>
      </c>
      <c r="D618" s="3" t="str">
        <f aca="false">IFERROR(__xludf.dummyfunction("IMPORTRANGE('ТехническийЛист'!$B$1,""список!D""&amp;'ТехническийЛист'!$A619)"),"")</f>
        <v/>
      </c>
      <c r="E618" s="3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23.25" hidden="false" customHeight="true" outlineLevel="0" collapsed="false">
      <c r="A619" s="3"/>
      <c r="B619" s="3"/>
      <c r="C619" s="3" t="str">
        <f aca="false">IF(B619="","",SUMIF(Отзывы!$C:$C,$B619,Отзывы!$F:$F)+ТехническийЛист!$C$1)</f>
        <v/>
      </c>
      <c r="D619" s="3" t="str">
        <f aca="false">IFERROR(__xludf.dummyfunction("IMPORTRANGE('ТехническийЛист'!$B$1,""список!D""&amp;'ТехническийЛист'!$A620)"),"")</f>
        <v/>
      </c>
      <c r="E619" s="3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23.25" hidden="false" customHeight="true" outlineLevel="0" collapsed="false">
      <c r="A620" s="3"/>
      <c r="B620" s="3"/>
      <c r="C620" s="3" t="str">
        <f aca="false">IF(B620="","",SUMIF(Отзывы!$C:$C,$B620,Отзывы!$F:$F)+ТехническийЛист!$C$1)</f>
        <v/>
      </c>
      <c r="D620" s="3" t="str">
        <f aca="false">IFERROR(__xludf.dummyfunction("IMPORTRANGE('ТехническийЛист'!$B$1,""список!D""&amp;'ТехническийЛист'!$A621)"),"")</f>
        <v/>
      </c>
      <c r="E620" s="3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23.25" hidden="false" customHeight="true" outlineLevel="0" collapsed="false">
      <c r="A621" s="3"/>
      <c r="B621" s="3"/>
      <c r="C621" s="3" t="str">
        <f aca="false">IF(B621="","",SUMIF(Отзывы!$C:$C,$B621,Отзывы!$F:$F)+ТехническийЛист!$C$1)</f>
        <v/>
      </c>
      <c r="D621" s="3" t="str">
        <f aca="false">IFERROR(__xludf.dummyfunction("IMPORTRANGE('ТехническийЛист'!$B$1,""список!D""&amp;'ТехническийЛист'!$A622)"),"")</f>
        <v/>
      </c>
      <c r="E621" s="3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23.25" hidden="false" customHeight="true" outlineLevel="0" collapsed="false">
      <c r="A622" s="3"/>
      <c r="B622" s="3"/>
      <c r="C622" s="3" t="str">
        <f aca="false">IF(B622="","",SUMIF(Отзывы!$C:$C,$B622,Отзывы!$F:$F)+ТехническийЛист!$C$1)</f>
        <v/>
      </c>
      <c r="D622" s="3" t="str">
        <f aca="false">IFERROR(__xludf.dummyfunction("IMPORTRANGE('ТехническийЛист'!$B$1,""список!D""&amp;'ТехническийЛист'!$A623)"),"")</f>
        <v/>
      </c>
      <c r="E622" s="3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23.25" hidden="false" customHeight="true" outlineLevel="0" collapsed="false">
      <c r="A623" s="3"/>
      <c r="B623" s="3"/>
      <c r="C623" s="3" t="str">
        <f aca="false">IF(B623="","",SUMIF(Отзывы!$C:$C,$B623,Отзывы!$F:$F)+ТехническийЛист!$C$1)</f>
        <v/>
      </c>
      <c r="D623" s="3" t="str">
        <f aca="false">IFERROR(__xludf.dummyfunction("IMPORTRANGE('ТехническийЛист'!$B$1,""список!D""&amp;'ТехническийЛист'!$A624)"),"")</f>
        <v/>
      </c>
      <c r="E623" s="3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23.25" hidden="false" customHeight="true" outlineLevel="0" collapsed="false">
      <c r="A624" s="3"/>
      <c r="B624" s="3"/>
      <c r="C624" s="3" t="str">
        <f aca="false">IF(B624="","",SUMIF(Отзывы!$C:$C,$B624,Отзывы!$F:$F)+ТехническийЛист!$C$1)</f>
        <v/>
      </c>
      <c r="D624" s="3" t="str">
        <f aca="false">IFERROR(__xludf.dummyfunction("IMPORTRANGE('ТехническийЛист'!$B$1,""список!D""&amp;'ТехническийЛист'!$A625)"),"")</f>
        <v/>
      </c>
      <c r="E624" s="3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23.25" hidden="false" customHeight="true" outlineLevel="0" collapsed="false">
      <c r="A625" s="3"/>
      <c r="B625" s="3"/>
      <c r="C625" s="3" t="str">
        <f aca="false">IF(B625="","",SUMIF(Отзывы!$C:$C,$B625,Отзывы!$F:$F)+ТехническийЛист!$C$1)</f>
        <v/>
      </c>
      <c r="D625" s="3" t="str">
        <f aca="false">IFERROR(__xludf.dummyfunction("IMPORTRANGE('ТехническийЛист'!$B$1,""список!D""&amp;'ТехническийЛист'!$A626)"),"")</f>
        <v/>
      </c>
      <c r="E625" s="3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23.25" hidden="false" customHeight="true" outlineLevel="0" collapsed="false">
      <c r="A626" s="3"/>
      <c r="B626" s="3"/>
      <c r="C626" s="3" t="str">
        <f aca="false">IF(B626="","",SUMIF(Отзывы!$C:$C,$B626,Отзывы!$F:$F)+ТехническийЛист!$C$1)</f>
        <v/>
      </c>
      <c r="D626" s="3" t="str">
        <f aca="false">IFERROR(__xludf.dummyfunction("IMPORTRANGE('ТехническийЛист'!$B$1,""список!D""&amp;'ТехническийЛист'!$A627)"),"")</f>
        <v/>
      </c>
      <c r="E626" s="3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23.25" hidden="false" customHeight="true" outlineLevel="0" collapsed="false">
      <c r="A627" s="3"/>
      <c r="B627" s="3"/>
      <c r="C627" s="3" t="str">
        <f aca="false">IF(B627="","",SUMIF(Отзывы!$C:$C,$B627,Отзывы!$F:$F)+ТехническийЛист!$C$1)</f>
        <v/>
      </c>
      <c r="D627" s="3" t="str">
        <f aca="false">IFERROR(__xludf.dummyfunction("IMPORTRANGE('ТехническийЛист'!$B$1,""список!D""&amp;'ТехническийЛист'!$A628)"),"")</f>
        <v/>
      </c>
      <c r="E627" s="3"/>
      <c r="F627" s="2"/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23.25" hidden="false" customHeight="true" outlineLevel="0" collapsed="false">
      <c r="A628" s="3"/>
      <c r="B628" s="3"/>
      <c r="C628" s="3" t="str">
        <f aca="false">IF(B628="","",SUMIF(Отзывы!$C:$C,$B628,Отзывы!$F:$F)+ТехническийЛист!$C$1)</f>
        <v/>
      </c>
      <c r="D628" s="3" t="str">
        <f aca="false">IFERROR(__xludf.dummyfunction("IMPORTRANGE('ТехническийЛист'!$B$1,""список!D""&amp;'ТехническийЛист'!$A629)"),"")</f>
        <v/>
      </c>
      <c r="E628" s="3"/>
      <c r="F628" s="2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23.25" hidden="false" customHeight="true" outlineLevel="0" collapsed="false">
      <c r="A629" s="3"/>
      <c r="B629" s="3"/>
      <c r="C629" s="3" t="str">
        <f aca="false">IF(B629="","",SUMIF(Отзывы!$C:$C,$B629,Отзывы!$F:$F)+ТехническийЛист!$C$1)</f>
        <v/>
      </c>
      <c r="D629" s="3" t="str">
        <f aca="false">IFERROR(__xludf.dummyfunction("IMPORTRANGE('ТехническийЛист'!$B$1,""список!D""&amp;'ТехническийЛист'!$A630)"),"")</f>
        <v/>
      </c>
      <c r="E629" s="3"/>
      <c r="F629" s="2"/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23.25" hidden="false" customHeight="true" outlineLevel="0" collapsed="false">
      <c r="A630" s="3"/>
      <c r="B630" s="3"/>
      <c r="C630" s="3" t="str">
        <f aca="false">IF(B630="","",SUMIF(Отзывы!$C:$C,$B630,Отзывы!$F:$F)+ТехническийЛист!$C$1)</f>
        <v/>
      </c>
      <c r="D630" s="3" t="str">
        <f aca="false">IFERROR(__xludf.dummyfunction("IMPORTRANGE('ТехническийЛист'!$B$1,""список!D""&amp;'ТехническийЛист'!$A631)"),"")</f>
        <v/>
      </c>
      <c r="E630" s="3"/>
      <c r="F630" s="2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23.25" hidden="false" customHeight="true" outlineLevel="0" collapsed="false">
      <c r="A631" s="3"/>
      <c r="B631" s="3"/>
      <c r="C631" s="3" t="str">
        <f aca="false">IF(B631="","",SUMIF(Отзывы!$C:$C,$B631,Отзывы!$F:$F)+ТехническийЛист!$C$1)</f>
        <v/>
      </c>
      <c r="D631" s="3" t="str">
        <f aca="false">IFERROR(__xludf.dummyfunction("IMPORTRANGE('ТехническийЛист'!$B$1,""список!D""&amp;'ТехническийЛист'!$A632)"),"")</f>
        <v/>
      </c>
      <c r="E631" s="3"/>
      <c r="F631" s="2"/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23.25" hidden="false" customHeight="true" outlineLevel="0" collapsed="false">
      <c r="A632" s="3"/>
      <c r="B632" s="3"/>
      <c r="C632" s="3" t="str">
        <f aca="false">IF(B632="","",SUMIF(Отзывы!$C:$C,$B632,Отзывы!$F:$F)+ТехническийЛист!$C$1)</f>
        <v/>
      </c>
      <c r="D632" s="3" t="str">
        <f aca="false">IFERROR(__xludf.dummyfunction("IMPORTRANGE('ТехническийЛист'!$B$1,""список!D""&amp;'ТехническийЛист'!$A633)"),"")</f>
        <v/>
      </c>
      <c r="E632" s="3"/>
      <c r="F632" s="2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23.25" hidden="false" customHeight="true" outlineLevel="0" collapsed="false">
      <c r="A633" s="3"/>
      <c r="B633" s="3"/>
      <c r="C633" s="3" t="str">
        <f aca="false">IF(B633="","",SUMIF(Отзывы!$C:$C,$B633,Отзывы!$F:$F)+ТехническийЛист!$C$1)</f>
        <v/>
      </c>
      <c r="D633" s="3" t="str">
        <f aca="false">IFERROR(__xludf.dummyfunction("IMPORTRANGE('ТехническийЛист'!$B$1,""список!D""&amp;'ТехническийЛист'!$A634)"),"")</f>
        <v/>
      </c>
      <c r="E633" s="3"/>
      <c r="F633" s="2"/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23.25" hidden="false" customHeight="true" outlineLevel="0" collapsed="false">
      <c r="A634" s="3"/>
      <c r="B634" s="3"/>
      <c r="C634" s="3" t="str">
        <f aca="false">IF(B634="","",SUMIF(Отзывы!$C:$C,$B634,Отзывы!$F:$F)+ТехническийЛист!$C$1)</f>
        <v/>
      </c>
      <c r="D634" s="3" t="str">
        <f aca="false">IFERROR(__xludf.dummyfunction("IMPORTRANGE('ТехническийЛист'!$B$1,""список!D""&amp;'ТехническийЛист'!$A635)"),"")</f>
        <v/>
      </c>
      <c r="E634" s="3"/>
      <c r="F634" s="2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23.25" hidden="false" customHeight="true" outlineLevel="0" collapsed="false">
      <c r="A635" s="3"/>
      <c r="B635" s="3"/>
      <c r="C635" s="3" t="str">
        <f aca="false">IF(B635="","",SUMIF(Отзывы!$C:$C,$B635,Отзывы!$F:$F)+ТехническийЛист!$C$1)</f>
        <v/>
      </c>
      <c r="D635" s="3" t="str">
        <f aca="false">IFERROR(__xludf.dummyfunction("IMPORTRANGE('ТехническийЛист'!$B$1,""список!D""&amp;'ТехническийЛист'!$A636)"),"")</f>
        <v/>
      </c>
      <c r="E635" s="3"/>
      <c r="F635" s="2"/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23.25" hidden="false" customHeight="true" outlineLevel="0" collapsed="false">
      <c r="A636" s="3"/>
      <c r="B636" s="3"/>
      <c r="C636" s="3" t="str">
        <f aca="false">IF(B636="","",SUMIF(Отзывы!$C:$C,$B636,Отзывы!$F:$F)+ТехническийЛист!$C$1)</f>
        <v/>
      </c>
      <c r="D636" s="3" t="str">
        <f aca="false">IFERROR(__xludf.dummyfunction("IMPORTRANGE('ТехническийЛист'!$B$1,""список!D""&amp;'ТехническийЛист'!$A637)"),"")</f>
        <v/>
      </c>
      <c r="E636" s="3"/>
      <c r="F636" s="2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23.25" hidden="false" customHeight="true" outlineLevel="0" collapsed="false">
      <c r="A637" s="3"/>
      <c r="B637" s="3"/>
      <c r="C637" s="3" t="str">
        <f aca="false">IF(B637="","",SUMIF(Отзывы!$C:$C,$B637,Отзывы!$F:$F)+ТехническийЛист!$C$1)</f>
        <v/>
      </c>
      <c r="D637" s="3" t="str">
        <f aca="false">IFERROR(__xludf.dummyfunction("IMPORTRANGE('ТехническийЛист'!$B$1,""список!D""&amp;'ТехническийЛист'!$A638)"),"")</f>
        <v/>
      </c>
      <c r="E637" s="3"/>
      <c r="F637" s="2"/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23.25" hidden="false" customHeight="true" outlineLevel="0" collapsed="false">
      <c r="A638" s="3"/>
      <c r="B638" s="3"/>
      <c r="C638" s="3" t="str">
        <f aca="false">IF(B638="","",SUMIF(Отзывы!$C:$C,$B638,Отзывы!$F:$F)+ТехническийЛист!$C$1)</f>
        <v/>
      </c>
      <c r="D638" s="3" t="str">
        <f aca="false">IFERROR(__xludf.dummyfunction("IMPORTRANGE('ТехническийЛист'!$B$1,""список!D""&amp;'ТехническийЛист'!$A639)"),"")</f>
        <v/>
      </c>
      <c r="E638" s="3"/>
      <c r="F638" s="2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23.25" hidden="false" customHeight="true" outlineLevel="0" collapsed="false">
      <c r="A639" s="3"/>
      <c r="B639" s="3"/>
      <c r="C639" s="3" t="str">
        <f aca="false">IF(B639="","",SUMIF(Отзывы!$C:$C,$B639,Отзывы!$F:$F)+ТехническийЛист!$C$1)</f>
        <v/>
      </c>
      <c r="D639" s="3" t="str">
        <f aca="false">IFERROR(__xludf.dummyfunction("IMPORTRANGE('ТехническийЛист'!$B$1,""список!D""&amp;'ТехническийЛист'!$A640)"),"")</f>
        <v/>
      </c>
      <c r="E639" s="3"/>
      <c r="F639" s="2"/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23.25" hidden="false" customHeight="true" outlineLevel="0" collapsed="false">
      <c r="A640" s="3"/>
      <c r="B640" s="3"/>
      <c r="C640" s="3" t="str">
        <f aca="false">IF(B640="","",SUMIF(Отзывы!$C:$C,$B640,Отзывы!$F:$F)+ТехническийЛист!$C$1)</f>
        <v/>
      </c>
      <c r="D640" s="3" t="str">
        <f aca="false">IFERROR(__xludf.dummyfunction("IMPORTRANGE('ТехническийЛист'!$B$1,""список!D""&amp;'ТехническийЛист'!$A641)"),"")</f>
        <v/>
      </c>
      <c r="E640" s="3"/>
      <c r="F640" s="2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23.25" hidden="false" customHeight="true" outlineLevel="0" collapsed="false">
      <c r="A641" s="3"/>
      <c r="B641" s="3"/>
      <c r="C641" s="3" t="str">
        <f aca="false">IF(B641="","",SUMIF(Отзывы!$C:$C,$B641,Отзывы!$F:$F)+ТехническийЛист!$C$1)</f>
        <v/>
      </c>
      <c r="D641" s="3" t="str">
        <f aca="false">IFERROR(__xludf.dummyfunction("IMPORTRANGE('ТехническийЛист'!$B$1,""список!D""&amp;'ТехническийЛист'!$A642)"),"")</f>
        <v/>
      </c>
      <c r="E641" s="3"/>
      <c r="F641" s="2"/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23.25" hidden="false" customHeight="true" outlineLevel="0" collapsed="false">
      <c r="A642" s="3"/>
      <c r="B642" s="3"/>
      <c r="C642" s="3" t="str">
        <f aca="false">IF(B642="","",SUMIF(Отзывы!$C:$C,$B642,Отзывы!$F:$F)+ТехническийЛист!$C$1)</f>
        <v/>
      </c>
      <c r="D642" s="3" t="str">
        <f aca="false">IFERROR(__xludf.dummyfunction("IMPORTRANGE('ТехническийЛист'!$B$1,""список!D""&amp;'ТехническийЛист'!$A643)"),"")</f>
        <v/>
      </c>
      <c r="E642" s="3"/>
      <c r="F642" s="2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23.25" hidden="false" customHeight="true" outlineLevel="0" collapsed="false">
      <c r="A643" s="3"/>
      <c r="B643" s="3"/>
      <c r="C643" s="3" t="str">
        <f aca="false">IF(B643="","",SUMIF(Отзывы!$C:$C,$B643,Отзывы!$F:$F)+ТехническийЛист!$C$1)</f>
        <v/>
      </c>
      <c r="D643" s="3" t="str">
        <f aca="false">IFERROR(__xludf.dummyfunction("IMPORTRANGE('ТехническийЛист'!$B$1,""список!D""&amp;'ТехническийЛист'!$A644)"),"")</f>
        <v/>
      </c>
      <c r="E643" s="3"/>
      <c r="F643" s="2"/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23.25" hidden="false" customHeight="true" outlineLevel="0" collapsed="false">
      <c r="A644" s="3"/>
      <c r="B644" s="3"/>
      <c r="C644" s="3" t="str">
        <f aca="false">IF(B644="","",SUMIF(Отзывы!$C:$C,$B644,Отзывы!$F:$F)+ТехническийЛист!$C$1)</f>
        <v/>
      </c>
      <c r="D644" s="3" t="str">
        <f aca="false">IFERROR(__xludf.dummyfunction("IMPORTRANGE('ТехническийЛист'!$B$1,""список!D""&amp;'ТехническийЛист'!$A645)"),"")</f>
        <v/>
      </c>
      <c r="E644" s="3"/>
      <c r="F644" s="2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23.25" hidden="false" customHeight="true" outlineLevel="0" collapsed="false">
      <c r="A645" s="3"/>
      <c r="B645" s="3"/>
      <c r="C645" s="3" t="str">
        <f aca="false">IF(B645="","",SUMIF(Отзывы!$C:$C,$B645,Отзывы!$F:$F)+ТехническийЛист!$C$1)</f>
        <v/>
      </c>
      <c r="D645" s="3" t="str">
        <f aca="false">IFERROR(__xludf.dummyfunction("IMPORTRANGE('ТехническийЛист'!$B$1,""список!D""&amp;'ТехническийЛист'!$A646)"),"")</f>
        <v/>
      </c>
      <c r="E645" s="3"/>
      <c r="F645" s="2"/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23.25" hidden="false" customHeight="true" outlineLevel="0" collapsed="false">
      <c r="A646" s="3"/>
      <c r="B646" s="3"/>
      <c r="C646" s="3" t="str">
        <f aca="false">IF(B646="","",SUMIF(Отзывы!$C:$C,$B646,Отзывы!$F:$F)+ТехническийЛист!$C$1)</f>
        <v/>
      </c>
      <c r="D646" s="3" t="str">
        <f aca="false">IFERROR(__xludf.dummyfunction("IMPORTRANGE('ТехническийЛист'!$B$1,""список!D""&amp;'ТехническийЛист'!$A647)"),"")</f>
        <v/>
      </c>
      <c r="E646" s="3"/>
      <c r="F646" s="2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23.25" hidden="false" customHeight="true" outlineLevel="0" collapsed="false">
      <c r="A647" s="3"/>
      <c r="B647" s="3"/>
      <c r="C647" s="3" t="str">
        <f aca="false">IF(B647="","",SUMIF(Отзывы!$C:$C,$B647,Отзывы!$F:$F)+ТехническийЛист!$C$1)</f>
        <v/>
      </c>
      <c r="D647" s="3" t="str">
        <f aca="false">IFERROR(__xludf.dummyfunction("IMPORTRANGE('ТехническийЛист'!$B$1,""список!D""&amp;'ТехническийЛист'!$A648)"),"")</f>
        <v/>
      </c>
      <c r="E647" s="3"/>
      <c r="F647" s="2"/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23.25" hidden="false" customHeight="true" outlineLevel="0" collapsed="false">
      <c r="A648" s="3"/>
      <c r="B648" s="3"/>
      <c r="C648" s="3" t="str">
        <f aca="false">IF(B648="","",SUMIF(Отзывы!$C:$C,$B648,Отзывы!$F:$F)+ТехническийЛист!$C$1)</f>
        <v/>
      </c>
      <c r="D648" s="3" t="str">
        <f aca="false">IFERROR(__xludf.dummyfunction("IMPORTRANGE('ТехническийЛист'!$B$1,""список!D""&amp;'ТехническийЛист'!$A649)"),"")</f>
        <v/>
      </c>
      <c r="E648" s="3"/>
      <c r="F648" s="2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23.25" hidden="false" customHeight="true" outlineLevel="0" collapsed="false">
      <c r="A649" s="3"/>
      <c r="B649" s="3"/>
      <c r="C649" s="3" t="str">
        <f aca="false">IF(B649="","",SUMIF(Отзывы!$C:$C,$B649,Отзывы!$F:$F)+ТехническийЛист!$C$1)</f>
        <v/>
      </c>
      <c r="D649" s="3" t="str">
        <f aca="false">IFERROR(__xludf.dummyfunction("IMPORTRANGE('ТехническийЛист'!$B$1,""список!D""&amp;'ТехническийЛист'!$A650)"),"")</f>
        <v/>
      </c>
      <c r="E649" s="3"/>
      <c r="F649" s="2"/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23.25" hidden="false" customHeight="true" outlineLevel="0" collapsed="false">
      <c r="A650" s="3"/>
      <c r="B650" s="3"/>
      <c r="C650" s="3" t="str">
        <f aca="false">IF(B650="","",SUMIF(Отзывы!$C:$C,$B650,Отзывы!$F:$F)+ТехническийЛист!$C$1)</f>
        <v/>
      </c>
      <c r="D650" s="3" t="str">
        <f aca="false">IFERROR(__xludf.dummyfunction("IMPORTRANGE('ТехническийЛист'!$B$1,""список!D""&amp;'ТехническийЛист'!$A651)"),"")</f>
        <v/>
      </c>
      <c r="E650" s="3"/>
      <c r="F650" s="2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23.25" hidden="false" customHeight="true" outlineLevel="0" collapsed="false">
      <c r="A651" s="3"/>
      <c r="B651" s="3"/>
      <c r="C651" s="3" t="str">
        <f aca="false">IF(B651="","",SUMIF(Отзывы!$C:$C,$B651,Отзывы!$F:$F)+ТехническийЛист!$C$1)</f>
        <v/>
      </c>
      <c r="D651" s="3" t="str">
        <f aca="false">IFERROR(__xludf.dummyfunction("IMPORTRANGE('ТехническийЛист'!$B$1,""список!D""&amp;'ТехническийЛист'!$A652)"),"")</f>
        <v/>
      </c>
      <c r="E651" s="3"/>
      <c r="F651" s="2"/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23.25" hidden="false" customHeight="true" outlineLevel="0" collapsed="false">
      <c r="A652" s="3"/>
      <c r="B652" s="3"/>
      <c r="C652" s="3" t="str">
        <f aca="false">IF(B652="","",SUMIF(Отзывы!$C:$C,$B652,Отзывы!$F:$F)+ТехническийЛист!$C$1)</f>
        <v/>
      </c>
      <c r="D652" s="3" t="str">
        <f aca="false">IFERROR(__xludf.dummyfunction("IMPORTRANGE('ТехническийЛист'!$B$1,""список!D""&amp;'ТехническийЛист'!$A653)"),"")</f>
        <v/>
      </c>
      <c r="E652" s="3"/>
      <c r="F652" s="2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23.25" hidden="false" customHeight="true" outlineLevel="0" collapsed="false">
      <c r="A653" s="3"/>
      <c r="B653" s="3"/>
      <c r="C653" s="3" t="str">
        <f aca="false">IF(B653="","",SUMIF(Отзывы!$C:$C,$B653,Отзывы!$F:$F)+ТехническийЛист!$C$1)</f>
        <v/>
      </c>
      <c r="D653" s="3" t="str">
        <f aca="false">IFERROR(__xludf.dummyfunction("IMPORTRANGE('ТехническийЛист'!$B$1,""список!D""&amp;'ТехническийЛист'!$A654)"),"")</f>
        <v/>
      </c>
      <c r="E653" s="3"/>
      <c r="F653" s="2"/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23.25" hidden="false" customHeight="true" outlineLevel="0" collapsed="false">
      <c r="A654" s="3"/>
      <c r="B654" s="3"/>
      <c r="C654" s="3" t="str">
        <f aca="false">IF(B654="","",SUMIF(Отзывы!$C:$C,$B654,Отзывы!$F:$F)+ТехническийЛист!$C$1)</f>
        <v/>
      </c>
      <c r="D654" s="3" t="str">
        <f aca="false">IFERROR(__xludf.dummyfunction("IMPORTRANGE('ТехническийЛист'!$B$1,""список!D""&amp;'ТехническийЛист'!$A655)"),"")</f>
        <v/>
      </c>
      <c r="E654" s="3"/>
      <c r="F654" s="2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23.25" hidden="false" customHeight="true" outlineLevel="0" collapsed="false">
      <c r="A655" s="3"/>
      <c r="B655" s="3"/>
      <c r="C655" s="3" t="str">
        <f aca="false">IF(B655="","",SUMIF(Отзывы!$C:$C,$B655,Отзывы!$F:$F)+ТехническийЛист!$C$1)</f>
        <v/>
      </c>
      <c r="D655" s="3" t="str">
        <f aca="false">IFERROR(__xludf.dummyfunction("IMPORTRANGE('ТехническийЛист'!$B$1,""список!D""&amp;'ТехническийЛист'!$A656)"),"")</f>
        <v/>
      </c>
      <c r="E655" s="3"/>
      <c r="F655" s="2"/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23.25" hidden="false" customHeight="true" outlineLevel="0" collapsed="false">
      <c r="A656" s="3"/>
      <c r="B656" s="3"/>
      <c r="C656" s="3" t="str">
        <f aca="false">IF(B656="","",SUMIF(Отзывы!$C:$C,$B656,Отзывы!$F:$F)+ТехническийЛист!$C$1)</f>
        <v/>
      </c>
      <c r="D656" s="3" t="str">
        <f aca="false">IFERROR(__xludf.dummyfunction("IMPORTRANGE('ТехническийЛист'!$B$1,""список!D""&amp;'ТехническийЛист'!$A657)"),"")</f>
        <v/>
      </c>
      <c r="E656" s="3"/>
      <c r="F656" s="2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23.25" hidden="false" customHeight="true" outlineLevel="0" collapsed="false">
      <c r="A657" s="3"/>
      <c r="B657" s="3"/>
      <c r="C657" s="3" t="str">
        <f aca="false">IF(B657="","",SUMIF(Отзывы!$C:$C,$B657,Отзывы!$F:$F)+ТехническийЛист!$C$1)</f>
        <v/>
      </c>
      <c r="D657" s="3" t="str">
        <f aca="false">IFERROR(__xludf.dummyfunction("IMPORTRANGE('ТехническийЛист'!$B$1,""список!D""&amp;'ТехническийЛист'!$A658)"),"")</f>
        <v/>
      </c>
      <c r="E657" s="3"/>
      <c r="F657" s="2"/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23.25" hidden="false" customHeight="true" outlineLevel="0" collapsed="false">
      <c r="A658" s="3"/>
      <c r="B658" s="3"/>
      <c r="C658" s="3" t="str">
        <f aca="false">IF(B658="","",SUMIF(Отзывы!$C:$C,$B658,Отзывы!$F:$F)+ТехническийЛист!$C$1)</f>
        <v/>
      </c>
      <c r="D658" s="3" t="str">
        <f aca="false">IFERROR(__xludf.dummyfunction("IMPORTRANGE('ТехническийЛист'!$B$1,""список!D""&amp;'ТехническийЛист'!$A659)"),"")</f>
        <v/>
      </c>
      <c r="E658" s="3"/>
      <c r="F658" s="2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23.25" hidden="false" customHeight="true" outlineLevel="0" collapsed="false">
      <c r="A659" s="3"/>
      <c r="B659" s="3"/>
      <c r="C659" s="3" t="str">
        <f aca="false">IF(B659="","",SUMIF(Отзывы!$C:$C,$B659,Отзывы!$F:$F)+ТехническийЛист!$C$1)</f>
        <v/>
      </c>
      <c r="D659" s="3" t="str">
        <f aca="false">IFERROR(__xludf.dummyfunction("IMPORTRANGE('ТехническийЛист'!$B$1,""список!D""&amp;'ТехническийЛист'!$A660)"),"")</f>
        <v/>
      </c>
      <c r="E659" s="3"/>
      <c r="F659" s="2"/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23.25" hidden="false" customHeight="true" outlineLevel="0" collapsed="false">
      <c r="A660" s="3"/>
      <c r="B660" s="3"/>
      <c r="C660" s="3" t="str">
        <f aca="false">IF(B660="","",SUMIF(Отзывы!$C:$C,$B660,Отзывы!$F:$F)+ТехническийЛист!$C$1)</f>
        <v/>
      </c>
      <c r="D660" s="3" t="str">
        <f aca="false">IFERROR(__xludf.dummyfunction("IMPORTRANGE('ТехническийЛист'!$B$1,""список!D""&amp;'ТехническийЛист'!$A661)"),"")</f>
        <v/>
      </c>
      <c r="E660" s="3"/>
      <c r="F660" s="2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23.25" hidden="false" customHeight="true" outlineLevel="0" collapsed="false">
      <c r="A661" s="3"/>
      <c r="B661" s="3"/>
      <c r="C661" s="3" t="str">
        <f aca="false">IF(B661="","",SUMIF(Отзывы!$C:$C,$B661,Отзывы!$F:$F)+ТехническийЛист!$C$1)</f>
        <v/>
      </c>
      <c r="D661" s="3" t="str">
        <f aca="false">IFERROR(__xludf.dummyfunction("IMPORTRANGE('ТехническийЛист'!$B$1,""список!D""&amp;'ТехническийЛист'!$A662)"),"")</f>
        <v/>
      </c>
      <c r="E661" s="3"/>
      <c r="F661" s="2"/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23.25" hidden="false" customHeight="true" outlineLevel="0" collapsed="false">
      <c r="A662" s="3"/>
      <c r="B662" s="3"/>
      <c r="C662" s="3" t="str">
        <f aca="false">IF(B662="","",SUMIF(Отзывы!$C:$C,$B662,Отзывы!$F:$F)+ТехническийЛист!$C$1)</f>
        <v/>
      </c>
      <c r="D662" s="3" t="str">
        <f aca="false">IFERROR(__xludf.dummyfunction("IMPORTRANGE('ТехническийЛист'!$B$1,""список!D""&amp;'ТехническийЛист'!$A663)"),"")</f>
        <v/>
      </c>
      <c r="E662" s="3"/>
      <c r="F662" s="2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23.25" hidden="false" customHeight="true" outlineLevel="0" collapsed="false">
      <c r="A663" s="3"/>
      <c r="B663" s="3"/>
      <c r="C663" s="3" t="str">
        <f aca="false">IF(B663="","",SUMIF(Отзывы!$C:$C,$B663,Отзывы!$F:$F)+ТехническийЛист!$C$1)</f>
        <v/>
      </c>
      <c r="D663" s="3" t="str">
        <f aca="false">IFERROR(__xludf.dummyfunction("IMPORTRANGE('ТехническийЛист'!$B$1,""список!D""&amp;'ТехническийЛист'!$A664)"),"")</f>
        <v/>
      </c>
      <c r="E663" s="3"/>
      <c r="F663" s="2"/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23.25" hidden="false" customHeight="true" outlineLevel="0" collapsed="false">
      <c r="A664" s="3"/>
      <c r="B664" s="3"/>
      <c r="C664" s="3" t="str">
        <f aca="false">IF(B664="","",SUMIF(Отзывы!$C:$C,$B664,Отзывы!$F:$F)+ТехническийЛист!$C$1)</f>
        <v/>
      </c>
      <c r="D664" s="3" t="str">
        <f aca="false">IFERROR(__xludf.dummyfunction("IMPORTRANGE('ТехническийЛист'!$B$1,""список!D""&amp;'ТехническийЛист'!$A665)"),"")</f>
        <v/>
      </c>
      <c r="E664" s="3"/>
      <c r="F664" s="2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23.25" hidden="false" customHeight="true" outlineLevel="0" collapsed="false">
      <c r="A665" s="3"/>
      <c r="B665" s="3"/>
      <c r="C665" s="3" t="str">
        <f aca="false">IF(B665="","",SUMIF(Отзывы!$C:$C,$B665,Отзывы!$F:$F)+ТехническийЛист!$C$1)</f>
        <v/>
      </c>
      <c r="D665" s="3" t="str">
        <f aca="false">IFERROR(__xludf.dummyfunction("IMPORTRANGE('ТехническийЛист'!$B$1,""список!D""&amp;'ТехническийЛист'!$A666)"),"")</f>
        <v/>
      </c>
      <c r="E665" s="3"/>
      <c r="F665" s="2"/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23.25" hidden="false" customHeight="true" outlineLevel="0" collapsed="false">
      <c r="A666" s="3"/>
      <c r="B666" s="3"/>
      <c r="C666" s="3" t="str">
        <f aca="false">IF(B666="","",SUMIF(Отзывы!$C:$C,$B666,Отзывы!$F:$F)+ТехническийЛист!$C$1)</f>
        <v/>
      </c>
      <c r="D666" s="3" t="str">
        <f aca="false">IFERROR(__xludf.dummyfunction("IMPORTRANGE('ТехническийЛист'!$B$1,""список!D""&amp;'ТехническийЛист'!$A667)"),"")</f>
        <v/>
      </c>
      <c r="E666" s="3"/>
      <c r="F666" s="2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23.25" hidden="false" customHeight="true" outlineLevel="0" collapsed="false">
      <c r="A667" s="3"/>
      <c r="B667" s="3"/>
      <c r="C667" s="3" t="str">
        <f aca="false">IF(B667="","",SUMIF(Отзывы!$C:$C,$B667,Отзывы!$F:$F)+ТехническийЛист!$C$1)</f>
        <v/>
      </c>
      <c r="D667" s="3" t="str">
        <f aca="false">IFERROR(__xludf.dummyfunction("IMPORTRANGE('ТехническийЛист'!$B$1,""список!D""&amp;'ТехническийЛист'!$A668)"),"")</f>
        <v/>
      </c>
      <c r="E667" s="3"/>
      <c r="F667" s="2"/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23.25" hidden="false" customHeight="true" outlineLevel="0" collapsed="false">
      <c r="A668" s="3"/>
      <c r="B668" s="3"/>
      <c r="C668" s="3" t="str">
        <f aca="false">IF(B668="","",SUMIF(Отзывы!$C:$C,$B668,Отзывы!$F:$F)+ТехническийЛист!$C$1)</f>
        <v/>
      </c>
      <c r="D668" s="3" t="str">
        <f aca="false">IFERROR(__xludf.dummyfunction("IMPORTRANGE('ТехническийЛист'!$B$1,""список!D""&amp;'ТехническийЛист'!$A669)"),"")</f>
        <v/>
      </c>
      <c r="E668" s="3"/>
      <c r="F668" s="2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23.25" hidden="false" customHeight="true" outlineLevel="0" collapsed="false">
      <c r="A669" s="3"/>
      <c r="B669" s="3"/>
      <c r="C669" s="3" t="str">
        <f aca="false">IF(B669="","",SUMIF(Отзывы!$C:$C,$B669,Отзывы!$F:$F)+ТехническийЛист!$C$1)</f>
        <v/>
      </c>
      <c r="D669" s="3" t="str">
        <f aca="false">IFERROR(__xludf.dummyfunction("IMPORTRANGE('ТехническийЛист'!$B$1,""список!D""&amp;'ТехническийЛист'!$A670)"),"")</f>
        <v/>
      </c>
      <c r="E669" s="3"/>
      <c r="F669" s="2"/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23.25" hidden="false" customHeight="true" outlineLevel="0" collapsed="false">
      <c r="A670" s="3"/>
      <c r="B670" s="3"/>
      <c r="C670" s="3" t="str">
        <f aca="false">IF(B670="","",SUMIF(Отзывы!$C:$C,$B670,Отзывы!$F:$F)+ТехническийЛист!$C$1)</f>
        <v/>
      </c>
      <c r="D670" s="3" t="str">
        <f aca="false">IFERROR(__xludf.dummyfunction("IMPORTRANGE('ТехническийЛист'!$B$1,""список!D""&amp;'ТехническийЛист'!$A671)"),"")</f>
        <v/>
      </c>
      <c r="E670" s="3"/>
      <c r="F670" s="2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23.25" hidden="false" customHeight="true" outlineLevel="0" collapsed="false">
      <c r="A671" s="3"/>
      <c r="B671" s="3"/>
      <c r="C671" s="3" t="str">
        <f aca="false">IF(B671="","",SUMIF(Отзывы!$C:$C,$B671,Отзывы!$F:$F)+ТехническийЛист!$C$1)</f>
        <v/>
      </c>
      <c r="D671" s="3" t="str">
        <f aca="false">IFERROR(__xludf.dummyfunction("IMPORTRANGE('ТехническийЛист'!$B$1,""список!D""&amp;'ТехническийЛист'!$A672)"),"")</f>
        <v/>
      </c>
      <c r="E671" s="3"/>
      <c r="F671" s="2"/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23.25" hidden="false" customHeight="true" outlineLevel="0" collapsed="false">
      <c r="A672" s="3"/>
      <c r="B672" s="3"/>
      <c r="C672" s="3" t="str">
        <f aca="false">IF(B672="","",SUMIF(Отзывы!$C:$C,$B672,Отзывы!$F:$F)+ТехническийЛист!$C$1)</f>
        <v/>
      </c>
      <c r="D672" s="3" t="str">
        <f aca="false">IFERROR(__xludf.dummyfunction("IMPORTRANGE('ТехническийЛист'!$B$1,""список!D""&amp;'ТехническийЛист'!$A673)"),"")</f>
        <v/>
      </c>
      <c r="E672" s="3"/>
      <c r="F672" s="2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23.25" hidden="false" customHeight="true" outlineLevel="0" collapsed="false">
      <c r="A673" s="3"/>
      <c r="B673" s="3"/>
      <c r="C673" s="3" t="str">
        <f aca="false">IF(B673="","",SUMIF(Отзывы!$C:$C,$B673,Отзывы!$F:$F)+ТехническийЛист!$C$1)</f>
        <v/>
      </c>
      <c r="D673" s="3" t="str">
        <f aca="false">IFERROR(__xludf.dummyfunction("IMPORTRANGE('ТехническийЛист'!$B$1,""список!D""&amp;'ТехническийЛист'!$A674)"),"")</f>
        <v/>
      </c>
      <c r="E673" s="3"/>
      <c r="F673" s="2"/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23.25" hidden="false" customHeight="true" outlineLevel="0" collapsed="false">
      <c r="A674" s="3"/>
      <c r="B674" s="3"/>
      <c r="C674" s="3" t="str">
        <f aca="false">IF(B674="","",SUMIF(Отзывы!$C:$C,$B674,Отзывы!$F:$F)+ТехническийЛист!$C$1)</f>
        <v/>
      </c>
      <c r="D674" s="3" t="str">
        <f aca="false">IFERROR(__xludf.dummyfunction("IMPORTRANGE('ТехническийЛист'!$B$1,""список!D""&amp;'ТехническийЛист'!$A675)"),"")</f>
        <v/>
      </c>
      <c r="E674" s="3"/>
      <c r="F674" s="2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23.25" hidden="false" customHeight="true" outlineLevel="0" collapsed="false">
      <c r="A675" s="3"/>
      <c r="B675" s="3"/>
      <c r="C675" s="3" t="str">
        <f aca="false">IF(B675="","",SUMIF(Отзывы!$C:$C,$B675,Отзывы!$F:$F)+ТехническийЛист!$C$1)</f>
        <v/>
      </c>
      <c r="D675" s="3" t="str">
        <f aca="false">IFERROR(__xludf.dummyfunction("IMPORTRANGE('ТехническийЛист'!$B$1,""список!D""&amp;'ТехническийЛист'!$A676)"),"")</f>
        <v/>
      </c>
      <c r="E675" s="3"/>
      <c r="F675" s="2"/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23.25" hidden="false" customHeight="true" outlineLevel="0" collapsed="false">
      <c r="A676" s="3"/>
      <c r="B676" s="3"/>
      <c r="C676" s="3" t="str">
        <f aca="false">IF(B676="","",SUMIF(Отзывы!$C:$C,$B676,Отзывы!$F:$F)+ТехническийЛист!$C$1)</f>
        <v/>
      </c>
      <c r="D676" s="3" t="str">
        <f aca="false">IFERROR(__xludf.dummyfunction("IMPORTRANGE('ТехническийЛист'!$B$1,""список!D""&amp;'ТехническийЛист'!$A677)"),"")</f>
        <v/>
      </c>
      <c r="E676" s="3"/>
      <c r="F676" s="2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23.25" hidden="false" customHeight="true" outlineLevel="0" collapsed="false">
      <c r="A677" s="3"/>
      <c r="B677" s="3"/>
      <c r="C677" s="3" t="str">
        <f aca="false">IF(B677="","",SUMIF(Отзывы!$C:$C,$B677,Отзывы!$F:$F)+ТехническийЛист!$C$1)</f>
        <v/>
      </c>
      <c r="D677" s="3" t="str">
        <f aca="false">IFERROR(__xludf.dummyfunction("IMPORTRANGE('ТехническийЛист'!$B$1,""список!D""&amp;'ТехническийЛист'!$A678)"),"")</f>
        <v/>
      </c>
      <c r="E677" s="3"/>
      <c r="F677" s="2"/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23.25" hidden="false" customHeight="true" outlineLevel="0" collapsed="false">
      <c r="A678" s="3"/>
      <c r="B678" s="3"/>
      <c r="C678" s="3" t="str">
        <f aca="false">IF(B678="","",SUMIF(Отзывы!$C:$C,$B678,Отзывы!$F:$F)+ТехническийЛист!$C$1)</f>
        <v/>
      </c>
      <c r="D678" s="3" t="str">
        <f aca="false">IFERROR(__xludf.dummyfunction("IMPORTRANGE('ТехническийЛист'!$B$1,""список!D""&amp;'ТехническийЛист'!$A679)"),"")</f>
        <v/>
      </c>
      <c r="E678" s="3"/>
      <c r="F678" s="2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23.25" hidden="false" customHeight="true" outlineLevel="0" collapsed="false">
      <c r="A679" s="3"/>
      <c r="B679" s="3"/>
      <c r="C679" s="3" t="str">
        <f aca="false">IF(B679="","",SUMIF(Отзывы!$C:$C,$B679,Отзывы!$F:$F)+ТехническийЛист!$C$1)</f>
        <v/>
      </c>
      <c r="D679" s="3" t="str">
        <f aca="false">IFERROR(__xludf.dummyfunction("IMPORTRANGE('ТехническийЛист'!$B$1,""список!D""&amp;'ТехническийЛист'!$A680)"),"")</f>
        <v/>
      </c>
      <c r="E679" s="3"/>
      <c r="F679" s="2"/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23.25" hidden="false" customHeight="true" outlineLevel="0" collapsed="false">
      <c r="A680" s="3"/>
      <c r="B680" s="3"/>
      <c r="C680" s="3" t="str">
        <f aca="false">IF(B680="","",SUMIF(Отзывы!$C:$C,$B680,Отзывы!$F:$F)+ТехническийЛист!$C$1)</f>
        <v/>
      </c>
      <c r="D680" s="3" t="str">
        <f aca="false">IFERROR(__xludf.dummyfunction("IMPORTRANGE('ТехническийЛист'!$B$1,""список!D""&amp;'ТехническийЛист'!$A681)"),"")</f>
        <v/>
      </c>
      <c r="E680" s="3"/>
      <c r="F680" s="2"/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23.25" hidden="false" customHeight="true" outlineLevel="0" collapsed="false">
      <c r="A681" s="3"/>
      <c r="B681" s="3"/>
      <c r="C681" s="3" t="str">
        <f aca="false">IF(B681="","",SUMIF(Отзывы!$C:$C,$B681,Отзывы!$F:$F)+ТехническийЛист!$C$1)</f>
        <v/>
      </c>
      <c r="D681" s="3" t="str">
        <f aca="false">IFERROR(__xludf.dummyfunction("IMPORTRANGE('ТехническийЛист'!$B$1,""список!D""&amp;'ТехническийЛист'!$A682)"),"")</f>
        <v/>
      </c>
      <c r="E681" s="3"/>
      <c r="F681" s="2"/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23.25" hidden="false" customHeight="true" outlineLevel="0" collapsed="false">
      <c r="A682" s="3"/>
      <c r="B682" s="3"/>
      <c r="C682" s="3" t="str">
        <f aca="false">IF(B682="","",SUMIF(Отзывы!$C:$C,$B682,Отзывы!$F:$F)+ТехническийЛист!$C$1)</f>
        <v/>
      </c>
      <c r="D682" s="3" t="str">
        <f aca="false">IFERROR(__xludf.dummyfunction("IMPORTRANGE('ТехническийЛист'!$B$1,""список!D""&amp;'ТехническийЛист'!$A683)"),"")</f>
        <v/>
      </c>
      <c r="E682" s="3"/>
      <c r="F682" s="2"/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23.25" hidden="false" customHeight="true" outlineLevel="0" collapsed="false">
      <c r="A683" s="3"/>
      <c r="B683" s="3"/>
      <c r="C683" s="3" t="str">
        <f aca="false">IF(B683="","",SUMIF(Отзывы!$C:$C,$B683,Отзывы!$F:$F)+ТехническийЛист!$C$1)</f>
        <v/>
      </c>
      <c r="D683" s="3" t="str">
        <f aca="false">IFERROR(__xludf.dummyfunction("IMPORTRANGE('ТехническийЛист'!$B$1,""список!D""&amp;'ТехническийЛист'!$A684)"),"")</f>
        <v/>
      </c>
      <c r="E683" s="3"/>
      <c r="F683" s="2"/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23.25" hidden="false" customHeight="true" outlineLevel="0" collapsed="false">
      <c r="A684" s="3"/>
      <c r="B684" s="3"/>
      <c r="C684" s="3" t="str">
        <f aca="false">IF(B684="","",SUMIF(Отзывы!$C:$C,$B684,Отзывы!$F:$F)+ТехническийЛист!$C$1)</f>
        <v/>
      </c>
      <c r="D684" s="3" t="str">
        <f aca="false">IFERROR(__xludf.dummyfunction("IMPORTRANGE('ТехническийЛист'!$B$1,""список!D""&amp;'ТехническийЛист'!$A685)"),"")</f>
        <v/>
      </c>
      <c r="E684" s="3"/>
      <c r="F684" s="2"/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23.25" hidden="false" customHeight="true" outlineLevel="0" collapsed="false">
      <c r="A685" s="3"/>
      <c r="B685" s="3"/>
      <c r="C685" s="3" t="str">
        <f aca="false">IF(B685="","",SUMIF(Отзывы!$C:$C,$B685,Отзывы!$F:$F)+ТехническийЛист!$C$1)</f>
        <v/>
      </c>
      <c r="D685" s="3" t="str">
        <f aca="false">IFERROR(__xludf.dummyfunction("IMPORTRANGE('ТехническийЛист'!$B$1,""список!D""&amp;'ТехническийЛист'!$A686)"),"")</f>
        <v/>
      </c>
      <c r="E685" s="3"/>
      <c r="F685" s="2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23.25" hidden="false" customHeight="true" outlineLevel="0" collapsed="false">
      <c r="A686" s="3"/>
      <c r="B686" s="3"/>
      <c r="C686" s="3" t="str">
        <f aca="false">IF(B686="","",SUMIF(Отзывы!$C:$C,$B686,Отзывы!$F:$F)+ТехническийЛист!$C$1)</f>
        <v/>
      </c>
      <c r="D686" s="3" t="str">
        <f aca="false">IFERROR(__xludf.dummyfunction("IMPORTRANGE('ТехническийЛист'!$B$1,""список!D""&amp;'ТехническийЛист'!$A687)"),"")</f>
        <v/>
      </c>
      <c r="E686" s="3"/>
      <c r="F686" s="2"/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23.25" hidden="false" customHeight="true" outlineLevel="0" collapsed="false">
      <c r="A687" s="3"/>
      <c r="B687" s="3"/>
      <c r="C687" s="3" t="str">
        <f aca="false">IF(B687="","",SUMIF(Отзывы!$C:$C,$B687,Отзывы!$F:$F)+ТехническийЛист!$C$1)</f>
        <v/>
      </c>
      <c r="D687" s="3" t="str">
        <f aca="false">IFERROR(__xludf.dummyfunction("IMPORTRANGE('ТехническийЛист'!$B$1,""список!D""&amp;'ТехническийЛист'!$A688)"),"")</f>
        <v/>
      </c>
      <c r="E687" s="3"/>
      <c r="F687" s="2"/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23.25" hidden="false" customHeight="true" outlineLevel="0" collapsed="false">
      <c r="A688" s="3"/>
      <c r="B688" s="3"/>
      <c r="C688" s="3" t="str">
        <f aca="false">IF(B688="","",SUMIF(Отзывы!$C:$C,$B688,Отзывы!$F:$F)+ТехническийЛист!$C$1)</f>
        <v/>
      </c>
      <c r="D688" s="3" t="str">
        <f aca="false">IFERROR(__xludf.dummyfunction("IMPORTRANGE('ТехническийЛист'!$B$1,""список!D""&amp;'ТехническийЛист'!$A689)"),"")</f>
        <v/>
      </c>
      <c r="E688" s="3"/>
      <c r="F688" s="2"/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23.25" hidden="false" customHeight="true" outlineLevel="0" collapsed="false">
      <c r="A689" s="3"/>
      <c r="B689" s="3"/>
      <c r="C689" s="3" t="str">
        <f aca="false">IF(B689="","",SUMIF(Отзывы!$C:$C,$B689,Отзывы!$F:$F)+ТехническийЛист!$C$1)</f>
        <v/>
      </c>
      <c r="D689" s="3" t="str">
        <f aca="false">IFERROR(__xludf.dummyfunction("IMPORTRANGE('ТехническийЛист'!$B$1,""список!D""&amp;'ТехническийЛист'!$A690)"),"")</f>
        <v/>
      </c>
      <c r="E689" s="3"/>
      <c r="F689" s="2"/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23.25" hidden="false" customHeight="true" outlineLevel="0" collapsed="false">
      <c r="A690" s="3"/>
      <c r="B690" s="3"/>
      <c r="C690" s="3" t="str">
        <f aca="false">IF(B690="","",SUMIF(Отзывы!$C:$C,$B690,Отзывы!$F:$F)+ТехническийЛист!$C$1)</f>
        <v/>
      </c>
      <c r="D690" s="3" t="str">
        <f aca="false">IFERROR(__xludf.dummyfunction("IMPORTRANGE('ТехническийЛист'!$B$1,""список!D""&amp;'ТехническийЛист'!$A691)"),"")</f>
        <v/>
      </c>
      <c r="E690" s="3"/>
      <c r="F690" s="2"/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23.25" hidden="false" customHeight="true" outlineLevel="0" collapsed="false">
      <c r="A691" s="3"/>
      <c r="B691" s="3"/>
      <c r="C691" s="3" t="str">
        <f aca="false">IF(B691="","",SUMIF(Отзывы!$C:$C,$B691,Отзывы!$F:$F)+ТехническийЛист!$C$1)</f>
        <v/>
      </c>
      <c r="D691" s="3" t="str">
        <f aca="false">IFERROR(__xludf.dummyfunction("IMPORTRANGE('ТехническийЛист'!$B$1,""список!D""&amp;'ТехническийЛист'!$A692)"),"")</f>
        <v/>
      </c>
      <c r="E691" s="3"/>
      <c r="F691" s="2"/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23.25" hidden="false" customHeight="true" outlineLevel="0" collapsed="false">
      <c r="A692" s="3"/>
      <c r="B692" s="3"/>
      <c r="C692" s="3" t="str">
        <f aca="false">IF(B692="","",SUMIF(Отзывы!$C:$C,$B692,Отзывы!$F:$F)+ТехническийЛист!$C$1)</f>
        <v/>
      </c>
      <c r="D692" s="3" t="str">
        <f aca="false">IFERROR(__xludf.dummyfunction("IMPORTRANGE('ТехническийЛист'!$B$1,""список!D""&amp;'ТехническийЛист'!$A693)"),"")</f>
        <v/>
      </c>
      <c r="E692" s="3"/>
      <c r="F692" s="2"/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23.25" hidden="false" customHeight="true" outlineLevel="0" collapsed="false">
      <c r="A693" s="3"/>
      <c r="B693" s="3"/>
      <c r="C693" s="3" t="str">
        <f aca="false">IF(B693="","",SUMIF(Отзывы!$C:$C,$B693,Отзывы!$F:$F)+ТехническийЛист!$C$1)</f>
        <v/>
      </c>
      <c r="D693" s="3" t="str">
        <f aca="false">IFERROR(__xludf.dummyfunction("IMPORTRANGE('ТехническийЛист'!$B$1,""список!D""&amp;'ТехническийЛист'!$A694)"),"")</f>
        <v/>
      </c>
      <c r="E693" s="3"/>
      <c r="F693" s="2"/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23.25" hidden="false" customHeight="true" outlineLevel="0" collapsed="false">
      <c r="A694" s="3"/>
      <c r="B694" s="3"/>
      <c r="C694" s="3" t="str">
        <f aca="false">IF(B694="","",SUMIF(Отзывы!$C:$C,$B694,Отзывы!$F:$F)+ТехническийЛист!$C$1)</f>
        <v/>
      </c>
      <c r="D694" s="3" t="str">
        <f aca="false">IFERROR(__xludf.dummyfunction("IMPORTRANGE('ТехническийЛист'!$B$1,""список!D""&amp;'ТехническийЛист'!$A695)"),"")</f>
        <v/>
      </c>
      <c r="E694" s="3"/>
      <c r="F694" s="2"/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23.25" hidden="false" customHeight="true" outlineLevel="0" collapsed="false">
      <c r="A695" s="3"/>
      <c r="B695" s="3"/>
      <c r="C695" s="3" t="str">
        <f aca="false">IF(B695="","",SUMIF(Отзывы!$C:$C,$B695,Отзывы!$F:$F)+ТехническийЛист!$C$1)</f>
        <v/>
      </c>
      <c r="D695" s="3" t="str">
        <f aca="false">IFERROR(__xludf.dummyfunction("IMPORTRANGE('ТехническийЛист'!$B$1,""список!D""&amp;'ТехническийЛист'!$A696)"),"")</f>
        <v/>
      </c>
      <c r="E695" s="3"/>
      <c r="F695" s="2"/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23.25" hidden="false" customHeight="true" outlineLevel="0" collapsed="false">
      <c r="A696" s="3"/>
      <c r="B696" s="3"/>
      <c r="C696" s="3" t="str">
        <f aca="false">IF(B696="","",SUMIF(Отзывы!$C:$C,$B696,Отзывы!$F:$F)+ТехническийЛист!$C$1)</f>
        <v/>
      </c>
      <c r="D696" s="3" t="str">
        <f aca="false">IFERROR(__xludf.dummyfunction("IMPORTRANGE('ТехническийЛист'!$B$1,""список!D""&amp;'ТехническийЛист'!$A697)"),"")</f>
        <v/>
      </c>
      <c r="E696" s="3"/>
      <c r="F696" s="2"/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23.25" hidden="false" customHeight="true" outlineLevel="0" collapsed="false">
      <c r="A697" s="3"/>
      <c r="B697" s="3"/>
      <c r="C697" s="3" t="str">
        <f aca="false">IF(B697="","",SUMIF(Отзывы!$C:$C,$B697,Отзывы!$F:$F)+ТехническийЛист!$C$1)</f>
        <v/>
      </c>
      <c r="D697" s="3" t="str">
        <f aca="false">IFERROR(__xludf.dummyfunction("IMPORTRANGE('ТехническийЛист'!$B$1,""список!D""&amp;'ТехническийЛист'!$A698)"),"")</f>
        <v/>
      </c>
      <c r="E697" s="3"/>
      <c r="F697" s="2"/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23.25" hidden="false" customHeight="true" outlineLevel="0" collapsed="false">
      <c r="A698" s="3"/>
      <c r="B698" s="3"/>
      <c r="C698" s="3" t="str">
        <f aca="false">IF(B698="","",SUMIF(Отзывы!$C:$C,$B698,Отзывы!$F:$F)+ТехническийЛист!$C$1)</f>
        <v/>
      </c>
      <c r="D698" s="3" t="str">
        <f aca="false">IFERROR(__xludf.dummyfunction("IMPORTRANGE('ТехническийЛист'!$B$1,""список!D""&amp;'ТехническийЛист'!$A699)"),"")</f>
        <v/>
      </c>
      <c r="E698" s="3"/>
      <c r="F698" s="2"/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23.25" hidden="false" customHeight="true" outlineLevel="0" collapsed="false">
      <c r="A699" s="3"/>
      <c r="B699" s="3"/>
      <c r="C699" s="3" t="str">
        <f aca="false">IF(B699="","",SUMIF(Отзывы!$C:$C,$B699,Отзывы!$F:$F)+ТехническийЛист!$C$1)</f>
        <v/>
      </c>
      <c r="D699" s="3" t="str">
        <f aca="false">IFERROR(__xludf.dummyfunction("IMPORTRANGE('ТехническийЛист'!$B$1,""список!D""&amp;'ТехническийЛист'!$A700)"),"")</f>
        <v/>
      </c>
      <c r="E699" s="3"/>
      <c r="F699" s="2"/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23.25" hidden="false" customHeight="true" outlineLevel="0" collapsed="false">
      <c r="A700" s="3"/>
      <c r="B700" s="3"/>
      <c r="C700" s="3" t="str">
        <f aca="false">IF(B700="","",SUMIF(Отзывы!$C:$C,$B700,Отзывы!$F:$F)+ТехническийЛист!$C$1)</f>
        <v/>
      </c>
      <c r="D700" s="3" t="str">
        <f aca="false">IFERROR(__xludf.dummyfunction("IMPORTRANGE('ТехническийЛист'!$B$1,""список!D""&amp;'ТехническийЛист'!$A701)"),"")</f>
        <v/>
      </c>
      <c r="E700" s="3"/>
      <c r="F700" s="2"/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23.25" hidden="false" customHeight="true" outlineLevel="0" collapsed="false">
      <c r="A701" s="3"/>
      <c r="B701" s="3"/>
      <c r="C701" s="3" t="str">
        <f aca="false">IF(B701="","",SUMIF(Отзывы!$C:$C,$B701,Отзывы!$F:$F)+ТехническийЛист!$C$1)</f>
        <v/>
      </c>
      <c r="D701" s="3" t="str">
        <f aca="false">IFERROR(__xludf.dummyfunction("IMPORTRANGE('ТехническийЛист'!$B$1,""список!D""&amp;'ТехническийЛист'!$A702)"),"")</f>
        <v/>
      </c>
      <c r="E701" s="3"/>
      <c r="F701" s="2"/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23.25" hidden="false" customHeight="true" outlineLevel="0" collapsed="false">
      <c r="A702" s="3"/>
      <c r="B702" s="3"/>
      <c r="C702" s="3" t="str">
        <f aca="false">IF(B702="","",SUMIF(Отзывы!$C:$C,$B702,Отзывы!$F:$F)+ТехническийЛист!$C$1)</f>
        <v/>
      </c>
      <c r="D702" s="3" t="str">
        <f aca="false">IFERROR(__xludf.dummyfunction("IMPORTRANGE('ТехническийЛист'!$B$1,""список!D""&amp;'ТехническийЛист'!$A703)"),"")</f>
        <v/>
      </c>
      <c r="E702" s="3"/>
      <c r="F702" s="2"/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23.25" hidden="false" customHeight="true" outlineLevel="0" collapsed="false">
      <c r="A703" s="3"/>
      <c r="B703" s="3"/>
      <c r="C703" s="3" t="str">
        <f aca="false">IF(B703="","",SUMIF(Отзывы!$C:$C,$B703,Отзывы!$F:$F)+ТехническийЛист!$C$1)</f>
        <v/>
      </c>
      <c r="D703" s="3" t="str">
        <f aca="false">IFERROR(__xludf.dummyfunction("IMPORTRANGE('ТехническийЛист'!$B$1,""список!D""&amp;'ТехническийЛист'!$A704)"),"")</f>
        <v/>
      </c>
      <c r="E703" s="3"/>
      <c r="F703" s="2"/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23.25" hidden="false" customHeight="true" outlineLevel="0" collapsed="false">
      <c r="A704" s="3"/>
      <c r="B704" s="3"/>
      <c r="C704" s="3" t="str">
        <f aca="false">IF(B704="","",SUMIF(Отзывы!$C:$C,$B704,Отзывы!$F:$F)+ТехническийЛист!$C$1)</f>
        <v/>
      </c>
      <c r="D704" s="3" t="str">
        <f aca="false">IFERROR(__xludf.dummyfunction("IMPORTRANGE('ТехническийЛист'!$B$1,""список!D""&amp;'ТехническийЛист'!$A705)"),"")</f>
        <v/>
      </c>
      <c r="E704" s="3"/>
      <c r="F704" s="2"/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23.25" hidden="false" customHeight="true" outlineLevel="0" collapsed="false">
      <c r="A705" s="3"/>
      <c r="B705" s="3"/>
      <c r="C705" s="3" t="str">
        <f aca="false">IF(B705="","",SUMIF(Отзывы!$C:$C,$B705,Отзывы!$F:$F)+ТехническийЛист!$C$1)</f>
        <v/>
      </c>
      <c r="D705" s="3" t="str">
        <f aca="false">IFERROR(__xludf.dummyfunction("IMPORTRANGE('ТехническийЛист'!$B$1,""список!D""&amp;'ТехническийЛист'!$A706)"),"")</f>
        <v/>
      </c>
      <c r="E705" s="3"/>
      <c r="F705" s="2"/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23.25" hidden="false" customHeight="true" outlineLevel="0" collapsed="false">
      <c r="A706" s="3"/>
      <c r="B706" s="3"/>
      <c r="C706" s="3" t="str">
        <f aca="false">IF(B706="","",SUMIF(Отзывы!$C:$C,$B706,Отзывы!$F:$F)+ТехническийЛист!$C$1)</f>
        <v/>
      </c>
      <c r="D706" s="3" t="str">
        <f aca="false">IFERROR(__xludf.dummyfunction("IMPORTRANGE('ТехническийЛист'!$B$1,""список!D""&amp;'ТехническийЛист'!$A707)"),"")</f>
        <v/>
      </c>
      <c r="E706" s="3"/>
      <c r="F706" s="2"/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23.25" hidden="false" customHeight="true" outlineLevel="0" collapsed="false">
      <c r="A707" s="3"/>
      <c r="B707" s="3"/>
      <c r="C707" s="3" t="str">
        <f aca="false">IF(B707="","",SUMIF(Отзывы!$C:$C,$B707,Отзывы!$F:$F)+ТехническийЛист!$C$1)</f>
        <v/>
      </c>
      <c r="D707" s="3" t="str">
        <f aca="false">IFERROR(__xludf.dummyfunction("IMPORTRANGE('ТехническийЛист'!$B$1,""список!D""&amp;'ТехническийЛист'!$A708)"),"")</f>
        <v/>
      </c>
      <c r="E707" s="3"/>
      <c r="F707" s="2"/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23.25" hidden="false" customHeight="true" outlineLevel="0" collapsed="false">
      <c r="A708" s="3"/>
      <c r="B708" s="3"/>
      <c r="C708" s="3" t="str">
        <f aca="false">IF(B708="","",SUMIF(Отзывы!$C:$C,$B708,Отзывы!$F:$F)+ТехническийЛист!$C$1)</f>
        <v/>
      </c>
      <c r="D708" s="3" t="str">
        <f aca="false">IFERROR(__xludf.dummyfunction("IMPORTRANGE('ТехническийЛист'!$B$1,""список!D""&amp;'ТехническийЛист'!$A709)"),"")</f>
        <v/>
      </c>
      <c r="E708" s="3"/>
      <c r="F708" s="2"/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23.25" hidden="false" customHeight="true" outlineLevel="0" collapsed="false">
      <c r="A709" s="3"/>
      <c r="B709" s="3"/>
      <c r="C709" s="3" t="str">
        <f aca="false">IF(B709="","",SUMIF(Отзывы!$C:$C,$B709,Отзывы!$F:$F)+ТехническийЛист!$C$1)</f>
        <v/>
      </c>
      <c r="D709" s="3" t="str">
        <f aca="false">IFERROR(__xludf.dummyfunction("IMPORTRANGE('ТехническийЛист'!$B$1,""список!D""&amp;'ТехническийЛист'!$A710)"),"")</f>
        <v/>
      </c>
      <c r="E709" s="3"/>
      <c r="F709" s="2"/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23.25" hidden="false" customHeight="true" outlineLevel="0" collapsed="false">
      <c r="A710" s="3"/>
      <c r="B710" s="3"/>
      <c r="C710" s="3" t="str">
        <f aca="false">IF(B710="","",SUMIF(Отзывы!$C:$C,$B710,Отзывы!$F:$F)+ТехническийЛист!$C$1)</f>
        <v/>
      </c>
      <c r="D710" s="3" t="str">
        <f aca="false">IFERROR(__xludf.dummyfunction("IMPORTRANGE('ТехническийЛист'!$B$1,""список!D""&amp;'ТехническийЛист'!$A711)"),"")</f>
        <v/>
      </c>
      <c r="E710" s="3"/>
      <c r="F710" s="2"/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23.25" hidden="false" customHeight="true" outlineLevel="0" collapsed="false">
      <c r="A711" s="3"/>
      <c r="B711" s="3"/>
      <c r="C711" s="3" t="str">
        <f aca="false">IF(B711="","",SUMIF(Отзывы!$C:$C,$B711,Отзывы!$F:$F)+ТехническийЛист!$C$1)</f>
        <v/>
      </c>
      <c r="D711" s="3" t="str">
        <f aca="false">IFERROR(__xludf.dummyfunction("IMPORTRANGE('ТехническийЛист'!$B$1,""список!D""&amp;'ТехническийЛист'!$A712)"),"")</f>
        <v/>
      </c>
      <c r="E711" s="3"/>
      <c r="F711" s="2"/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23.25" hidden="false" customHeight="true" outlineLevel="0" collapsed="false">
      <c r="A712" s="3"/>
      <c r="B712" s="3"/>
      <c r="C712" s="3" t="str">
        <f aca="false">IF(B712="","",SUMIF(Отзывы!$C:$C,$B712,Отзывы!$F:$F)+ТехническийЛист!$C$1)</f>
        <v/>
      </c>
      <c r="D712" s="3" t="str">
        <f aca="false">IFERROR(__xludf.dummyfunction("IMPORTRANGE('ТехническийЛист'!$B$1,""список!D""&amp;'ТехническийЛист'!$A713)"),"")</f>
        <v/>
      </c>
      <c r="E712" s="3"/>
      <c r="F712" s="2"/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23.25" hidden="false" customHeight="true" outlineLevel="0" collapsed="false">
      <c r="A713" s="3"/>
      <c r="B713" s="3"/>
      <c r="C713" s="3" t="str">
        <f aca="false">IF(B713="","",SUMIF(Отзывы!$C:$C,$B713,Отзывы!$F:$F)+ТехническийЛист!$C$1)</f>
        <v/>
      </c>
      <c r="D713" s="3" t="str">
        <f aca="false">IFERROR(__xludf.dummyfunction("IMPORTRANGE('ТехническийЛист'!$B$1,""список!D""&amp;'ТехническийЛист'!$A714)"),"")</f>
        <v/>
      </c>
      <c r="E713" s="3"/>
      <c r="F713" s="2"/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23.25" hidden="false" customHeight="true" outlineLevel="0" collapsed="false">
      <c r="A714" s="3"/>
      <c r="B714" s="3"/>
      <c r="C714" s="3" t="str">
        <f aca="false">IF(B714="","",SUMIF(Отзывы!$C:$C,$B714,Отзывы!$F:$F)+ТехническийЛист!$C$1)</f>
        <v/>
      </c>
      <c r="D714" s="3" t="str">
        <f aca="false">IFERROR(__xludf.dummyfunction("IMPORTRANGE('ТехническийЛист'!$B$1,""список!D""&amp;'ТехническийЛист'!$A715)"),"")</f>
        <v/>
      </c>
      <c r="E714" s="3"/>
      <c r="F714" s="2"/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23.25" hidden="false" customHeight="true" outlineLevel="0" collapsed="false">
      <c r="A715" s="3"/>
      <c r="B715" s="3"/>
      <c r="C715" s="3" t="str">
        <f aca="false">IF(B715="","",SUMIF(Отзывы!$C:$C,$B715,Отзывы!$F:$F)+ТехническийЛист!$C$1)</f>
        <v/>
      </c>
      <c r="D715" s="3" t="str">
        <f aca="false">IFERROR(__xludf.dummyfunction("IMPORTRANGE('ТехническийЛист'!$B$1,""список!D""&amp;'ТехническийЛист'!$A716)"),"")</f>
        <v/>
      </c>
      <c r="E715" s="3"/>
      <c r="F715" s="2"/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23.25" hidden="false" customHeight="true" outlineLevel="0" collapsed="false">
      <c r="A716" s="3"/>
      <c r="B716" s="3"/>
      <c r="C716" s="3" t="str">
        <f aca="false">IF(B716="","",SUMIF(Отзывы!$C:$C,$B716,Отзывы!$F:$F)+ТехническийЛист!$C$1)</f>
        <v/>
      </c>
      <c r="D716" s="3" t="str">
        <f aca="false">IFERROR(__xludf.dummyfunction("IMPORTRANGE('ТехническийЛист'!$B$1,""список!D""&amp;'ТехническийЛист'!$A717)"),"")</f>
        <v/>
      </c>
      <c r="E716" s="3"/>
      <c r="F716" s="2"/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23.25" hidden="false" customHeight="true" outlineLevel="0" collapsed="false">
      <c r="A717" s="3"/>
      <c r="B717" s="3"/>
      <c r="C717" s="3" t="str">
        <f aca="false">IF(B717="","",SUMIF(Отзывы!$C:$C,$B717,Отзывы!$F:$F)+ТехническийЛист!$C$1)</f>
        <v/>
      </c>
      <c r="D717" s="3" t="str">
        <f aca="false">IFERROR(__xludf.dummyfunction("IMPORTRANGE('ТехническийЛист'!$B$1,""список!D""&amp;'ТехническийЛист'!$A718)"),"")</f>
        <v/>
      </c>
      <c r="E717" s="3"/>
      <c r="F717" s="2"/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23.25" hidden="false" customHeight="true" outlineLevel="0" collapsed="false">
      <c r="A718" s="3"/>
      <c r="B718" s="3"/>
      <c r="C718" s="3" t="str">
        <f aca="false">IF(B718="","",SUMIF(Отзывы!$C:$C,$B718,Отзывы!$F:$F)+ТехническийЛист!$C$1)</f>
        <v/>
      </c>
      <c r="D718" s="3" t="str">
        <f aca="false">IFERROR(__xludf.dummyfunction("IMPORTRANGE('ТехническийЛист'!$B$1,""список!D""&amp;'ТехническийЛист'!$A719)"),"")</f>
        <v/>
      </c>
      <c r="E718" s="3"/>
      <c r="F718" s="2"/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23.25" hidden="false" customHeight="true" outlineLevel="0" collapsed="false">
      <c r="A719" s="3"/>
      <c r="B719" s="3"/>
      <c r="C719" s="3" t="str">
        <f aca="false">IF(B719="","",SUMIF(Отзывы!$C:$C,$B719,Отзывы!$F:$F)+ТехническийЛист!$C$1)</f>
        <v/>
      </c>
      <c r="D719" s="3" t="str">
        <f aca="false">IFERROR(__xludf.dummyfunction("IMPORTRANGE('ТехническийЛист'!$B$1,""список!D""&amp;'ТехническийЛист'!$A720)"),"")</f>
        <v/>
      </c>
      <c r="E719" s="3"/>
      <c r="F719" s="2"/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23.25" hidden="false" customHeight="true" outlineLevel="0" collapsed="false">
      <c r="A720" s="3"/>
      <c r="B720" s="3"/>
      <c r="C720" s="3" t="str">
        <f aca="false">IF(B720="","",SUMIF(Отзывы!$C:$C,$B720,Отзывы!$F:$F)+ТехническийЛист!$C$1)</f>
        <v/>
      </c>
      <c r="D720" s="3" t="str">
        <f aca="false">IFERROR(__xludf.dummyfunction("IMPORTRANGE('ТехническийЛист'!$B$1,""список!D""&amp;'ТехническийЛист'!$A721)"),"")</f>
        <v/>
      </c>
      <c r="E720" s="3"/>
      <c r="F720" s="2"/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23.25" hidden="false" customHeight="true" outlineLevel="0" collapsed="false">
      <c r="A721" s="3"/>
      <c r="B721" s="3"/>
      <c r="C721" s="3" t="str">
        <f aca="false">IF(B721="","",SUMIF(Отзывы!$C:$C,$B721,Отзывы!$F:$F)+ТехническийЛист!$C$1)</f>
        <v/>
      </c>
      <c r="D721" s="3" t="str">
        <f aca="false">IFERROR(__xludf.dummyfunction("IMPORTRANGE('ТехническийЛист'!$B$1,""список!D""&amp;'ТехническийЛист'!$A722)"),"")</f>
        <v/>
      </c>
      <c r="E721" s="3"/>
      <c r="F721" s="2"/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23.25" hidden="false" customHeight="true" outlineLevel="0" collapsed="false">
      <c r="A722" s="3"/>
      <c r="B722" s="3"/>
      <c r="C722" s="3" t="str">
        <f aca="false">IF(B722="","",SUMIF(Отзывы!$C:$C,$B722,Отзывы!$F:$F)+ТехническийЛист!$C$1)</f>
        <v/>
      </c>
      <c r="D722" s="3" t="str">
        <f aca="false">IFERROR(__xludf.dummyfunction("IMPORTRANGE('ТехническийЛист'!$B$1,""список!D""&amp;'ТехническийЛист'!$A723)"),"")</f>
        <v/>
      </c>
      <c r="E722" s="3"/>
      <c r="F722" s="2"/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23.25" hidden="false" customHeight="true" outlineLevel="0" collapsed="false">
      <c r="A723" s="3"/>
      <c r="B723" s="3"/>
      <c r="C723" s="3" t="str">
        <f aca="false">IF(B723="","",SUMIF(Отзывы!$C:$C,$B723,Отзывы!$F:$F)+ТехническийЛист!$C$1)</f>
        <v/>
      </c>
      <c r="D723" s="3" t="str">
        <f aca="false">IFERROR(__xludf.dummyfunction("IMPORTRANGE('ТехническийЛист'!$B$1,""список!D""&amp;'ТехническийЛист'!$A724)"),"")</f>
        <v/>
      </c>
      <c r="E723" s="3"/>
      <c r="F723" s="2"/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23.25" hidden="false" customHeight="true" outlineLevel="0" collapsed="false">
      <c r="A724" s="3"/>
      <c r="B724" s="3"/>
      <c r="C724" s="3" t="str">
        <f aca="false">IF(B724="","",SUMIF(Отзывы!$C:$C,$B724,Отзывы!$F:$F)+ТехническийЛист!$C$1)</f>
        <v/>
      </c>
      <c r="D724" s="3" t="str">
        <f aca="false">IFERROR(__xludf.dummyfunction("IMPORTRANGE('ТехническийЛист'!$B$1,""список!D""&amp;'ТехническийЛист'!$A725)"),"")</f>
        <v/>
      </c>
      <c r="E724" s="3"/>
      <c r="F724" s="2"/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23.25" hidden="false" customHeight="true" outlineLevel="0" collapsed="false">
      <c r="A725" s="3"/>
      <c r="B725" s="3"/>
      <c r="C725" s="3" t="str">
        <f aca="false">IF(B725="","",SUMIF(Отзывы!$C:$C,$B725,Отзывы!$F:$F)+ТехническийЛист!$C$1)</f>
        <v/>
      </c>
      <c r="D725" s="3" t="str">
        <f aca="false">IFERROR(__xludf.dummyfunction("IMPORTRANGE('ТехническийЛист'!$B$1,""список!D""&amp;'ТехническийЛист'!$A726)"),"")</f>
        <v/>
      </c>
      <c r="E725" s="3"/>
      <c r="F725" s="2"/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23.25" hidden="false" customHeight="true" outlineLevel="0" collapsed="false">
      <c r="A726" s="3"/>
      <c r="B726" s="3"/>
      <c r="C726" s="3" t="str">
        <f aca="false">IF(B726="","",SUMIF(Отзывы!$C:$C,$B726,Отзывы!$F:$F)+ТехническийЛист!$C$1)</f>
        <v/>
      </c>
      <c r="D726" s="3" t="str">
        <f aca="false">IFERROR(__xludf.dummyfunction("IMPORTRANGE('ТехническийЛист'!$B$1,""список!D""&amp;'ТехническийЛист'!$A727)"),"")</f>
        <v/>
      </c>
      <c r="E726" s="3"/>
      <c r="F726" s="2"/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23.25" hidden="false" customHeight="true" outlineLevel="0" collapsed="false">
      <c r="A727" s="3"/>
      <c r="B727" s="3"/>
      <c r="C727" s="3" t="str">
        <f aca="false">IF(B727="","",SUMIF(Отзывы!$C:$C,$B727,Отзывы!$F:$F)+ТехническийЛист!$C$1)</f>
        <v/>
      </c>
      <c r="D727" s="3" t="str">
        <f aca="false">IFERROR(__xludf.dummyfunction("IMPORTRANGE('ТехническийЛист'!$B$1,""список!D""&amp;'ТехническийЛист'!$A728)"),"")</f>
        <v/>
      </c>
      <c r="E727" s="3"/>
      <c r="F727" s="2"/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23.25" hidden="false" customHeight="true" outlineLevel="0" collapsed="false">
      <c r="A728" s="3"/>
      <c r="B728" s="3"/>
      <c r="C728" s="3" t="str">
        <f aca="false">IF(B728="","",SUMIF(Отзывы!$C:$C,$B728,Отзывы!$F:$F)+ТехническийЛист!$C$1)</f>
        <v/>
      </c>
      <c r="D728" s="3" t="str">
        <f aca="false">IFERROR(__xludf.dummyfunction("IMPORTRANGE('ТехническийЛист'!$B$1,""список!D""&amp;'ТехническийЛист'!$A729)"),"")</f>
        <v/>
      </c>
      <c r="E728" s="3"/>
      <c r="F728" s="2"/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23.25" hidden="false" customHeight="true" outlineLevel="0" collapsed="false">
      <c r="A729" s="3"/>
      <c r="B729" s="3"/>
      <c r="C729" s="3" t="str">
        <f aca="false">IF(B729="","",SUMIF(Отзывы!$C:$C,$B729,Отзывы!$F:$F)+ТехническийЛист!$C$1)</f>
        <v/>
      </c>
      <c r="D729" s="3" t="str">
        <f aca="false">IFERROR(__xludf.dummyfunction("IMPORTRANGE('ТехническийЛист'!$B$1,""список!D""&amp;'ТехническийЛист'!$A730)"),"")</f>
        <v/>
      </c>
      <c r="E729" s="3"/>
      <c r="F729" s="2"/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23.25" hidden="false" customHeight="true" outlineLevel="0" collapsed="false">
      <c r="A730" s="3"/>
      <c r="B730" s="3"/>
      <c r="C730" s="3" t="str">
        <f aca="false">IF(B730="","",SUMIF(Отзывы!$C:$C,$B730,Отзывы!$F:$F)+ТехническийЛист!$C$1)</f>
        <v/>
      </c>
      <c r="D730" s="3" t="str">
        <f aca="false">IFERROR(__xludf.dummyfunction("IMPORTRANGE('ТехническийЛист'!$B$1,""список!D""&amp;'ТехническийЛист'!$A731)"),"")</f>
        <v/>
      </c>
      <c r="E730" s="3"/>
      <c r="F730" s="2"/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23.25" hidden="false" customHeight="true" outlineLevel="0" collapsed="false">
      <c r="A731" s="3"/>
      <c r="B731" s="3"/>
      <c r="C731" s="3" t="str">
        <f aca="false">IF(B731="","",SUMIF(Отзывы!$C:$C,$B731,Отзывы!$F:$F)+ТехническийЛист!$C$1)</f>
        <v/>
      </c>
      <c r="D731" s="3" t="str">
        <f aca="false">IFERROR(__xludf.dummyfunction("IMPORTRANGE('ТехническийЛист'!$B$1,""список!D""&amp;'ТехническийЛист'!$A732)"),"")</f>
        <v/>
      </c>
      <c r="E731" s="3"/>
      <c r="F731" s="2"/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23.25" hidden="false" customHeight="true" outlineLevel="0" collapsed="false">
      <c r="A732" s="3"/>
      <c r="B732" s="3"/>
      <c r="C732" s="3" t="str">
        <f aca="false">IF(B732="","",SUMIF(Отзывы!$C:$C,$B732,Отзывы!$F:$F)+ТехническийЛист!$C$1)</f>
        <v/>
      </c>
      <c r="D732" s="3" t="str">
        <f aca="false">IFERROR(__xludf.dummyfunction("IMPORTRANGE('ТехническийЛист'!$B$1,""список!D""&amp;'ТехническийЛист'!$A733)"),"")</f>
        <v/>
      </c>
      <c r="E732" s="3"/>
      <c r="F732" s="2"/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23.25" hidden="false" customHeight="true" outlineLevel="0" collapsed="false">
      <c r="A733" s="3"/>
      <c r="B733" s="3"/>
      <c r="C733" s="3" t="str">
        <f aca="false">IF(B733="","",SUMIF(Отзывы!$C:$C,$B733,Отзывы!$F:$F)+ТехническийЛист!$C$1)</f>
        <v/>
      </c>
      <c r="D733" s="3" t="str">
        <f aca="false">IFERROR(__xludf.dummyfunction("IMPORTRANGE('ТехническийЛист'!$B$1,""список!D""&amp;'ТехническийЛист'!$A734)"),"")</f>
        <v/>
      </c>
      <c r="E733" s="3"/>
      <c r="F733" s="2"/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23.25" hidden="false" customHeight="true" outlineLevel="0" collapsed="false">
      <c r="A734" s="3"/>
      <c r="B734" s="3"/>
      <c r="C734" s="3" t="str">
        <f aca="false">IF(B734="","",SUMIF(Отзывы!$C:$C,$B734,Отзывы!$F:$F)+ТехническийЛист!$C$1)</f>
        <v/>
      </c>
      <c r="D734" s="3" t="str">
        <f aca="false">IFERROR(__xludf.dummyfunction("IMPORTRANGE('ТехническийЛист'!$B$1,""список!D""&amp;'ТехническийЛист'!$A735)"),"")</f>
        <v/>
      </c>
      <c r="E734" s="3"/>
      <c r="F734" s="2"/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23.25" hidden="false" customHeight="true" outlineLevel="0" collapsed="false">
      <c r="A735" s="3"/>
      <c r="B735" s="3"/>
      <c r="C735" s="3" t="str">
        <f aca="false">IF(B735="","",SUMIF(Отзывы!$C:$C,$B735,Отзывы!$F:$F)+ТехническийЛист!$C$1)</f>
        <v/>
      </c>
      <c r="D735" s="3" t="str">
        <f aca="false">IFERROR(__xludf.dummyfunction("IMPORTRANGE('ТехническийЛист'!$B$1,""список!D""&amp;'ТехническийЛист'!$A736)"),"")</f>
        <v/>
      </c>
      <c r="E735" s="3"/>
      <c r="F735" s="2"/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23.25" hidden="false" customHeight="true" outlineLevel="0" collapsed="false">
      <c r="A736" s="3"/>
      <c r="B736" s="3"/>
      <c r="C736" s="3" t="str">
        <f aca="false">IF(B736="","",SUMIF(Отзывы!$C:$C,$B736,Отзывы!$F:$F)+ТехническийЛист!$C$1)</f>
        <v/>
      </c>
      <c r="D736" s="3" t="str">
        <f aca="false">IFERROR(__xludf.dummyfunction("IMPORTRANGE('ТехническийЛист'!$B$1,""список!D""&amp;'ТехническийЛист'!$A737)"),"")</f>
        <v/>
      </c>
      <c r="E736" s="3"/>
      <c r="F736" s="2"/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23.25" hidden="false" customHeight="true" outlineLevel="0" collapsed="false">
      <c r="A737" s="3"/>
      <c r="B737" s="3"/>
      <c r="C737" s="3" t="str">
        <f aca="false">IF(B737="","",SUMIF(Отзывы!$C:$C,$B737,Отзывы!$F:$F)+ТехническийЛист!$C$1)</f>
        <v/>
      </c>
      <c r="D737" s="3" t="str">
        <f aca="false">IFERROR(__xludf.dummyfunction("IMPORTRANGE('ТехническийЛист'!$B$1,""список!D""&amp;'ТехническийЛист'!$A738)"),"")</f>
        <v/>
      </c>
      <c r="E737" s="3"/>
      <c r="F737" s="2"/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23.25" hidden="false" customHeight="true" outlineLevel="0" collapsed="false">
      <c r="A738" s="3"/>
      <c r="B738" s="3"/>
      <c r="C738" s="3" t="str">
        <f aca="false">IF(B738="","",SUMIF(Отзывы!$C:$C,$B738,Отзывы!$F:$F)+ТехническийЛист!$C$1)</f>
        <v/>
      </c>
      <c r="D738" s="3" t="str">
        <f aca="false">IFERROR(__xludf.dummyfunction("IMPORTRANGE('ТехническийЛист'!$B$1,""список!D""&amp;'ТехническийЛист'!$A739)"),"")</f>
        <v/>
      </c>
      <c r="E738" s="3"/>
      <c r="F738" s="2"/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23.25" hidden="false" customHeight="true" outlineLevel="0" collapsed="false">
      <c r="A739" s="3"/>
      <c r="B739" s="3"/>
      <c r="C739" s="3" t="str">
        <f aca="false">IF(B739="","",SUMIF(Отзывы!$C:$C,$B739,Отзывы!$F:$F)+ТехническийЛист!$C$1)</f>
        <v/>
      </c>
      <c r="D739" s="3" t="str">
        <f aca="false">IFERROR(__xludf.dummyfunction("IMPORTRANGE('ТехническийЛист'!$B$1,""список!D""&amp;'ТехническийЛист'!$A740)"),"")</f>
        <v/>
      </c>
      <c r="E739" s="3"/>
      <c r="F739" s="2"/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23.25" hidden="false" customHeight="true" outlineLevel="0" collapsed="false">
      <c r="A740" s="3"/>
      <c r="B740" s="3"/>
      <c r="C740" s="3" t="str">
        <f aca="false">IF(B740="","",SUMIF(Отзывы!$C:$C,$B740,Отзывы!$F:$F)+ТехническийЛист!$C$1)</f>
        <v/>
      </c>
      <c r="D740" s="3" t="str">
        <f aca="false">IFERROR(__xludf.dummyfunction("IMPORTRANGE('ТехническийЛист'!$B$1,""список!D""&amp;'ТехническийЛист'!$A741)"),"")</f>
        <v/>
      </c>
      <c r="E740" s="3"/>
      <c r="F740" s="2"/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23.25" hidden="false" customHeight="true" outlineLevel="0" collapsed="false">
      <c r="A741" s="3"/>
      <c r="B741" s="3"/>
      <c r="C741" s="3" t="str">
        <f aca="false">IF(B741="","",SUMIF(Отзывы!$C:$C,$B741,Отзывы!$F:$F)+ТехническийЛист!$C$1)</f>
        <v/>
      </c>
      <c r="D741" s="3" t="str">
        <f aca="false">IFERROR(__xludf.dummyfunction("IMPORTRANGE('ТехническийЛист'!$B$1,""список!D""&amp;'ТехническийЛист'!$A742)"),"")</f>
        <v/>
      </c>
      <c r="E741" s="3"/>
      <c r="F741" s="2"/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23.25" hidden="false" customHeight="true" outlineLevel="0" collapsed="false">
      <c r="A742" s="3"/>
      <c r="B742" s="3"/>
      <c r="C742" s="3" t="str">
        <f aca="false">IF(B742="","",SUMIF(Отзывы!$C:$C,$B742,Отзывы!$F:$F)+ТехническийЛист!$C$1)</f>
        <v/>
      </c>
      <c r="D742" s="3" t="str">
        <f aca="false">IFERROR(__xludf.dummyfunction("IMPORTRANGE('ТехническийЛист'!$B$1,""список!D""&amp;'ТехническийЛист'!$A743)"),"")</f>
        <v/>
      </c>
      <c r="E742" s="3"/>
      <c r="F742" s="2"/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23.25" hidden="false" customHeight="true" outlineLevel="0" collapsed="false">
      <c r="A743" s="3"/>
      <c r="B743" s="3"/>
      <c r="C743" s="3" t="str">
        <f aca="false">IF(B743="","",SUMIF(Отзывы!$C:$C,$B743,Отзывы!$F:$F)+ТехническийЛист!$C$1)</f>
        <v/>
      </c>
      <c r="D743" s="3" t="str">
        <f aca="false">IFERROR(__xludf.dummyfunction("IMPORTRANGE('ТехническийЛист'!$B$1,""список!D""&amp;'ТехническийЛист'!$A744)"),"")</f>
        <v/>
      </c>
      <c r="E743" s="3"/>
      <c r="F743" s="2"/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23.25" hidden="false" customHeight="true" outlineLevel="0" collapsed="false">
      <c r="A744" s="3"/>
      <c r="B744" s="3"/>
      <c r="C744" s="3" t="str">
        <f aca="false">IF(B744="","",SUMIF(Отзывы!$C:$C,$B744,Отзывы!$F:$F)+ТехническийЛист!$C$1)</f>
        <v/>
      </c>
      <c r="D744" s="3" t="str">
        <f aca="false">IFERROR(__xludf.dummyfunction("IMPORTRANGE('ТехническийЛист'!$B$1,""список!D""&amp;'ТехническийЛист'!$A745)"),"")</f>
        <v/>
      </c>
      <c r="E744" s="3"/>
      <c r="F744" s="2"/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23.25" hidden="false" customHeight="true" outlineLevel="0" collapsed="false">
      <c r="A745" s="3"/>
      <c r="B745" s="3"/>
      <c r="C745" s="3" t="str">
        <f aca="false">IF(B745="","",SUMIF(Отзывы!$C:$C,$B745,Отзывы!$F:$F)+ТехническийЛист!$C$1)</f>
        <v/>
      </c>
      <c r="D745" s="3" t="str">
        <f aca="false">IFERROR(__xludf.dummyfunction("IMPORTRANGE('ТехническийЛист'!$B$1,""список!D""&amp;'ТехническийЛист'!$A746)"),"")</f>
        <v/>
      </c>
      <c r="E745" s="3"/>
      <c r="F745" s="2"/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23.25" hidden="false" customHeight="true" outlineLevel="0" collapsed="false">
      <c r="A746" s="3"/>
      <c r="B746" s="3"/>
      <c r="C746" s="3" t="str">
        <f aca="false">IF(B746="","",SUMIF(Отзывы!$C:$C,$B746,Отзывы!$F:$F)+ТехническийЛист!$C$1)</f>
        <v/>
      </c>
      <c r="D746" s="3" t="str">
        <f aca="false">IFERROR(__xludf.dummyfunction("IMPORTRANGE('ТехническийЛист'!$B$1,""список!D""&amp;'ТехническийЛист'!$A747)"),"")</f>
        <v/>
      </c>
      <c r="E746" s="3"/>
      <c r="F746" s="2"/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23.25" hidden="false" customHeight="true" outlineLevel="0" collapsed="false">
      <c r="A747" s="3"/>
      <c r="B747" s="3"/>
      <c r="C747" s="3" t="str">
        <f aca="false">IF(B747="","",SUMIF(Отзывы!$C:$C,$B747,Отзывы!$F:$F)+ТехническийЛист!$C$1)</f>
        <v/>
      </c>
      <c r="D747" s="3" t="str">
        <f aca="false">IFERROR(__xludf.dummyfunction("IMPORTRANGE('ТехническийЛист'!$B$1,""список!D""&amp;'ТехническийЛист'!$A748)"),"")</f>
        <v/>
      </c>
      <c r="E747" s="3"/>
      <c r="F747" s="2"/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23.25" hidden="false" customHeight="true" outlineLevel="0" collapsed="false">
      <c r="A748" s="3"/>
      <c r="B748" s="3"/>
      <c r="C748" s="3" t="str">
        <f aca="false">IF(B748="","",SUMIF(Отзывы!$C:$C,$B748,Отзывы!$F:$F)+ТехническийЛист!$C$1)</f>
        <v/>
      </c>
      <c r="D748" s="3" t="str">
        <f aca="false">IFERROR(__xludf.dummyfunction("IMPORTRANGE('ТехническийЛист'!$B$1,""список!D""&amp;'ТехническийЛист'!$A749)"),"")</f>
        <v/>
      </c>
      <c r="E748" s="3"/>
      <c r="F748" s="2"/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23.25" hidden="false" customHeight="true" outlineLevel="0" collapsed="false">
      <c r="A749" s="3"/>
      <c r="B749" s="3"/>
      <c r="C749" s="3" t="str">
        <f aca="false">IF(B749="","",SUMIF(Отзывы!$C:$C,$B749,Отзывы!$F:$F)+ТехническийЛист!$C$1)</f>
        <v/>
      </c>
      <c r="D749" s="3" t="str">
        <f aca="false">IFERROR(__xludf.dummyfunction("IMPORTRANGE('ТехническийЛист'!$B$1,""список!D""&amp;'ТехническийЛист'!$A750)"),"")</f>
        <v/>
      </c>
      <c r="E749" s="3"/>
      <c r="F749" s="2"/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23.25" hidden="false" customHeight="true" outlineLevel="0" collapsed="false">
      <c r="A750" s="3"/>
      <c r="B750" s="3"/>
      <c r="C750" s="3" t="str">
        <f aca="false">IF(B750="","",SUMIF(Отзывы!$C:$C,$B750,Отзывы!$F:$F)+ТехническийЛист!$C$1)</f>
        <v/>
      </c>
      <c r="D750" s="3" t="str">
        <f aca="false">IFERROR(__xludf.dummyfunction("IMPORTRANGE('ТехническийЛист'!$B$1,""список!D""&amp;'ТехническийЛист'!$A751)"),"")</f>
        <v/>
      </c>
      <c r="E750" s="3"/>
      <c r="F750" s="2"/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23.25" hidden="false" customHeight="true" outlineLevel="0" collapsed="false">
      <c r="A751" s="3"/>
      <c r="B751" s="3"/>
      <c r="C751" s="3" t="str">
        <f aca="false">IF(B751="","",SUMIF(Отзывы!$C:$C,$B751,Отзывы!$F:$F)+ТехническийЛист!$C$1)</f>
        <v/>
      </c>
      <c r="D751" s="3" t="str">
        <f aca="false">IFERROR(__xludf.dummyfunction("IMPORTRANGE('ТехническийЛист'!$B$1,""список!D""&amp;'ТехническийЛист'!$A752)"),"")</f>
        <v/>
      </c>
      <c r="E751" s="3"/>
      <c r="F751" s="2"/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23.25" hidden="false" customHeight="true" outlineLevel="0" collapsed="false">
      <c r="A752" s="3"/>
      <c r="B752" s="3"/>
      <c r="C752" s="3" t="str">
        <f aca="false">IF(B752="","",SUMIF(Отзывы!$C:$C,$B752,Отзывы!$F:$F)+ТехническийЛист!$C$1)</f>
        <v/>
      </c>
      <c r="D752" s="3" t="str">
        <f aca="false">IFERROR(__xludf.dummyfunction("IMPORTRANGE('ТехническийЛист'!$B$1,""список!D""&amp;'ТехническийЛист'!$A753)"),"")</f>
        <v/>
      </c>
      <c r="E752" s="3"/>
      <c r="F752" s="2"/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23.25" hidden="false" customHeight="true" outlineLevel="0" collapsed="false">
      <c r="A753" s="3"/>
      <c r="B753" s="3"/>
      <c r="C753" s="3" t="str">
        <f aca="false">IF(B753="","",SUMIF(Отзывы!$C:$C,$B753,Отзывы!$F:$F)+ТехническийЛист!$C$1)</f>
        <v/>
      </c>
      <c r="D753" s="3" t="str">
        <f aca="false">IFERROR(__xludf.dummyfunction("IMPORTRANGE('ТехническийЛист'!$B$1,""список!D""&amp;'ТехническийЛист'!$A754)"),"")</f>
        <v/>
      </c>
      <c r="E753" s="3"/>
      <c r="F753" s="2"/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23.25" hidden="false" customHeight="true" outlineLevel="0" collapsed="false">
      <c r="A754" s="3"/>
      <c r="B754" s="3"/>
      <c r="C754" s="3" t="str">
        <f aca="false">IF(B754="","",SUMIF(Отзывы!$C:$C,$B754,Отзывы!$F:$F)+ТехническийЛист!$C$1)</f>
        <v/>
      </c>
      <c r="D754" s="3" t="str">
        <f aca="false">IFERROR(__xludf.dummyfunction("IMPORTRANGE('ТехническийЛист'!$B$1,""список!D""&amp;'ТехническийЛист'!$A755)"),"")</f>
        <v/>
      </c>
      <c r="E754" s="3"/>
      <c r="F754" s="2"/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23.25" hidden="false" customHeight="true" outlineLevel="0" collapsed="false">
      <c r="A755" s="3"/>
      <c r="B755" s="3"/>
      <c r="C755" s="3" t="str">
        <f aca="false">IF(B755="","",SUMIF(Отзывы!$C:$C,$B755,Отзывы!$F:$F)+ТехническийЛист!$C$1)</f>
        <v/>
      </c>
      <c r="D755" s="3" t="str">
        <f aca="false">IFERROR(__xludf.dummyfunction("IMPORTRANGE('ТехническийЛист'!$B$1,""список!D""&amp;'ТехническийЛист'!$A756)"),"")</f>
        <v/>
      </c>
      <c r="E755" s="3"/>
      <c r="F755" s="2"/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23.25" hidden="false" customHeight="true" outlineLevel="0" collapsed="false">
      <c r="A756" s="3"/>
      <c r="B756" s="3"/>
      <c r="C756" s="3" t="str">
        <f aca="false">IF(B756="","",SUMIF(Отзывы!$C:$C,$B756,Отзывы!$F:$F)+ТехническийЛист!$C$1)</f>
        <v/>
      </c>
      <c r="D756" s="3" t="str">
        <f aca="false">IFERROR(__xludf.dummyfunction("IMPORTRANGE('ТехническийЛист'!$B$1,""список!D""&amp;'ТехническийЛист'!$A757)"),"")</f>
        <v/>
      </c>
      <c r="E756" s="3"/>
      <c r="F756" s="2"/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23.25" hidden="false" customHeight="true" outlineLevel="0" collapsed="false">
      <c r="A757" s="3"/>
      <c r="B757" s="3"/>
      <c r="C757" s="3" t="str">
        <f aca="false">IF(B757="","",SUMIF(Отзывы!$C:$C,$B757,Отзывы!$F:$F)+ТехническийЛист!$C$1)</f>
        <v/>
      </c>
      <c r="D757" s="3" t="str">
        <f aca="false">IFERROR(__xludf.dummyfunction("IMPORTRANGE('ТехническийЛист'!$B$1,""список!D""&amp;'ТехническийЛист'!$A758)"),"")</f>
        <v/>
      </c>
      <c r="E757" s="3"/>
      <c r="F757" s="2"/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23.25" hidden="false" customHeight="true" outlineLevel="0" collapsed="false">
      <c r="A758" s="3"/>
      <c r="B758" s="3"/>
      <c r="C758" s="3" t="str">
        <f aca="false">IF(B758="","",SUMIF(Отзывы!$C:$C,$B758,Отзывы!$F:$F)+ТехническийЛист!$C$1)</f>
        <v/>
      </c>
      <c r="D758" s="3" t="str">
        <f aca="false">IFERROR(__xludf.dummyfunction("IMPORTRANGE('ТехническийЛист'!$B$1,""список!D""&amp;'ТехническийЛист'!$A759)"),"")</f>
        <v/>
      </c>
      <c r="E758" s="3"/>
      <c r="F758" s="2"/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23.25" hidden="false" customHeight="true" outlineLevel="0" collapsed="false">
      <c r="A759" s="3"/>
      <c r="B759" s="3"/>
      <c r="C759" s="3" t="str">
        <f aca="false">IF(B759="","",SUMIF(Отзывы!$C:$C,$B759,Отзывы!$F:$F)+ТехническийЛист!$C$1)</f>
        <v/>
      </c>
      <c r="D759" s="3" t="str">
        <f aca="false">IFERROR(__xludf.dummyfunction("IMPORTRANGE('ТехническийЛист'!$B$1,""список!D""&amp;'ТехническийЛист'!$A760)"),"")</f>
        <v/>
      </c>
      <c r="E759" s="3"/>
      <c r="F759" s="2"/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23.25" hidden="false" customHeight="true" outlineLevel="0" collapsed="false">
      <c r="A760" s="3"/>
      <c r="B760" s="3"/>
      <c r="C760" s="3" t="str">
        <f aca="false">IF(B760="","",SUMIF(Отзывы!$C:$C,$B760,Отзывы!$F:$F)+ТехническийЛист!$C$1)</f>
        <v/>
      </c>
      <c r="D760" s="3" t="str">
        <f aca="false">IFERROR(__xludf.dummyfunction("IMPORTRANGE('ТехническийЛист'!$B$1,""список!D""&amp;'ТехническийЛист'!$A761)"),"")</f>
        <v/>
      </c>
      <c r="E760" s="3"/>
      <c r="F760" s="2"/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23.25" hidden="false" customHeight="true" outlineLevel="0" collapsed="false">
      <c r="A761" s="3"/>
      <c r="B761" s="3"/>
      <c r="C761" s="3" t="str">
        <f aca="false">IF(B761="","",SUMIF(Отзывы!$C:$C,$B761,Отзывы!$F:$F)+ТехническийЛист!$C$1)</f>
        <v/>
      </c>
      <c r="D761" s="3" t="str">
        <f aca="false">IFERROR(__xludf.dummyfunction("IMPORTRANGE('ТехническийЛист'!$B$1,""список!D""&amp;'ТехническийЛист'!$A762)"),"")</f>
        <v/>
      </c>
      <c r="E761" s="3"/>
      <c r="F761" s="2"/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23.25" hidden="false" customHeight="true" outlineLevel="0" collapsed="false">
      <c r="A762" s="3"/>
      <c r="B762" s="3"/>
      <c r="C762" s="3" t="str">
        <f aca="false">IF(B762="","",SUMIF(Отзывы!$C:$C,$B762,Отзывы!$F:$F)+ТехническийЛист!$C$1)</f>
        <v/>
      </c>
      <c r="D762" s="3" t="str">
        <f aca="false">IFERROR(__xludf.dummyfunction("IMPORTRANGE('ТехническийЛист'!$B$1,""список!D""&amp;'ТехническийЛист'!$A763)"),"")</f>
        <v/>
      </c>
      <c r="E762" s="3"/>
      <c r="F762" s="2"/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23.25" hidden="false" customHeight="true" outlineLevel="0" collapsed="false">
      <c r="A763" s="3"/>
      <c r="B763" s="3"/>
      <c r="C763" s="3" t="str">
        <f aca="false">IF(B763="","",SUMIF(Отзывы!$C:$C,$B763,Отзывы!$F:$F)+ТехническийЛист!$C$1)</f>
        <v/>
      </c>
      <c r="D763" s="3" t="str">
        <f aca="false">IFERROR(__xludf.dummyfunction("IMPORTRANGE('ТехническийЛист'!$B$1,""список!D""&amp;'ТехническийЛист'!$A764)"),"")</f>
        <v/>
      </c>
      <c r="E763" s="3"/>
      <c r="F763" s="2"/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23.25" hidden="false" customHeight="true" outlineLevel="0" collapsed="false">
      <c r="A764" s="3"/>
      <c r="B764" s="3"/>
      <c r="C764" s="3" t="str">
        <f aca="false">IF(B764="","",SUMIF(Отзывы!$C:$C,$B764,Отзывы!$F:$F)+ТехническийЛист!$C$1)</f>
        <v/>
      </c>
      <c r="D764" s="3" t="str">
        <f aca="false">IFERROR(__xludf.dummyfunction("IMPORTRANGE('ТехническийЛист'!$B$1,""список!D""&amp;'ТехническийЛист'!$A765)"),"")</f>
        <v/>
      </c>
      <c r="E764" s="3"/>
      <c r="F764" s="2"/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23.25" hidden="false" customHeight="true" outlineLevel="0" collapsed="false">
      <c r="A765" s="3"/>
      <c r="B765" s="3"/>
      <c r="C765" s="3" t="str">
        <f aca="false">IF(B765="","",SUMIF(Отзывы!$C:$C,$B765,Отзывы!$F:$F)+ТехническийЛист!$C$1)</f>
        <v/>
      </c>
      <c r="D765" s="3" t="str">
        <f aca="false">IFERROR(__xludf.dummyfunction("IMPORTRANGE('ТехническийЛист'!$B$1,""список!D""&amp;'ТехническийЛист'!$A766)"),"")</f>
        <v/>
      </c>
      <c r="E765" s="3"/>
      <c r="F765" s="2"/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23.25" hidden="false" customHeight="true" outlineLevel="0" collapsed="false">
      <c r="A766" s="3"/>
      <c r="B766" s="3"/>
      <c r="C766" s="3" t="str">
        <f aca="false">IF(B766="","",SUMIF(Отзывы!$C:$C,$B766,Отзывы!$F:$F)+ТехническийЛист!$C$1)</f>
        <v/>
      </c>
      <c r="D766" s="3" t="str">
        <f aca="false">IFERROR(__xludf.dummyfunction("IMPORTRANGE('ТехническийЛист'!$B$1,""список!D""&amp;'ТехническийЛист'!$A767)"),"")</f>
        <v/>
      </c>
      <c r="E766" s="3"/>
      <c r="F766" s="2"/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23.25" hidden="false" customHeight="true" outlineLevel="0" collapsed="false">
      <c r="A767" s="3"/>
      <c r="B767" s="3"/>
      <c r="C767" s="3" t="str">
        <f aca="false">IF(B767="","",SUMIF(Отзывы!$C:$C,$B767,Отзывы!$F:$F)+ТехническийЛист!$C$1)</f>
        <v/>
      </c>
      <c r="D767" s="3" t="str">
        <f aca="false">IFERROR(__xludf.dummyfunction("IMPORTRANGE('ТехническийЛист'!$B$1,""список!D""&amp;'ТехническийЛист'!$A768)"),"")</f>
        <v/>
      </c>
      <c r="E767" s="3"/>
      <c r="F767" s="2"/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23.25" hidden="false" customHeight="true" outlineLevel="0" collapsed="false">
      <c r="A768" s="3"/>
      <c r="B768" s="3"/>
      <c r="C768" s="3" t="str">
        <f aca="false">IF(B768="","",SUMIF(Отзывы!$C:$C,$B768,Отзывы!$F:$F)+ТехническийЛист!$C$1)</f>
        <v/>
      </c>
      <c r="D768" s="3" t="str">
        <f aca="false">IFERROR(__xludf.dummyfunction("IMPORTRANGE('ТехническийЛист'!$B$1,""список!D""&amp;'ТехническийЛист'!$A769)"),"")</f>
        <v/>
      </c>
      <c r="E768" s="3"/>
      <c r="F768" s="2"/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23.25" hidden="false" customHeight="true" outlineLevel="0" collapsed="false">
      <c r="A769" s="3"/>
      <c r="B769" s="3"/>
      <c r="C769" s="3" t="str">
        <f aca="false">IF(B769="","",SUMIF(Отзывы!$C:$C,$B769,Отзывы!$F:$F)+ТехническийЛист!$C$1)</f>
        <v/>
      </c>
      <c r="D769" s="3" t="str">
        <f aca="false">IFERROR(__xludf.dummyfunction("IMPORTRANGE('ТехническийЛист'!$B$1,""список!D""&amp;'ТехническийЛист'!$A770)"),"")</f>
        <v/>
      </c>
      <c r="E769" s="3"/>
      <c r="F769" s="2"/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23.25" hidden="false" customHeight="true" outlineLevel="0" collapsed="false">
      <c r="A770" s="3"/>
      <c r="B770" s="3"/>
      <c r="C770" s="3" t="str">
        <f aca="false">IF(B770="","",SUMIF(Отзывы!$C:$C,$B770,Отзывы!$F:$F)+ТехническийЛист!$C$1)</f>
        <v/>
      </c>
      <c r="D770" s="3" t="str">
        <f aca="false">IFERROR(__xludf.dummyfunction("IMPORTRANGE('ТехническийЛист'!$B$1,""список!D""&amp;'ТехническийЛист'!$A771)"),"")</f>
        <v/>
      </c>
      <c r="E770" s="3"/>
      <c r="F770" s="2"/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23.25" hidden="false" customHeight="true" outlineLevel="0" collapsed="false">
      <c r="A771" s="3"/>
      <c r="B771" s="3"/>
      <c r="C771" s="3" t="str">
        <f aca="false">IF(B771="","",SUMIF(Отзывы!$C:$C,$B771,Отзывы!$F:$F)+ТехническийЛист!$C$1)</f>
        <v/>
      </c>
      <c r="D771" s="3" t="str">
        <f aca="false">IFERROR(__xludf.dummyfunction("IMPORTRANGE('ТехническийЛист'!$B$1,""список!D""&amp;'ТехническийЛист'!$A772)"),"")</f>
        <v/>
      </c>
      <c r="E771" s="3"/>
      <c r="F771" s="2"/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23.25" hidden="false" customHeight="true" outlineLevel="0" collapsed="false">
      <c r="A772" s="3"/>
      <c r="B772" s="3"/>
      <c r="C772" s="3" t="str">
        <f aca="false">IF(B772="","",SUMIF(Отзывы!$C:$C,$B772,Отзывы!$F:$F)+ТехническийЛист!$C$1)</f>
        <v/>
      </c>
      <c r="D772" s="3" t="str">
        <f aca="false">IFERROR(__xludf.dummyfunction("IMPORTRANGE('ТехническийЛист'!$B$1,""список!D""&amp;'ТехническийЛист'!$A773)"),"")</f>
        <v/>
      </c>
      <c r="E772" s="3"/>
      <c r="F772" s="2"/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23.25" hidden="false" customHeight="true" outlineLevel="0" collapsed="false">
      <c r="A773" s="3"/>
      <c r="B773" s="3"/>
      <c r="C773" s="3" t="str">
        <f aca="false">IF(B773="","",SUMIF(Отзывы!$C:$C,$B773,Отзывы!$F:$F)+ТехническийЛист!$C$1)</f>
        <v/>
      </c>
      <c r="D773" s="3" t="str">
        <f aca="false">IFERROR(__xludf.dummyfunction("IMPORTRANGE('ТехническийЛист'!$B$1,""список!D""&amp;'ТехническийЛист'!$A774)"),"")</f>
        <v/>
      </c>
      <c r="E773" s="3"/>
      <c r="F773" s="2"/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23.25" hidden="false" customHeight="true" outlineLevel="0" collapsed="false">
      <c r="A774" s="3"/>
      <c r="B774" s="3"/>
      <c r="C774" s="3" t="str">
        <f aca="false">IF(B774="","",SUMIF(Отзывы!$C:$C,$B774,Отзывы!$F:$F)+ТехническийЛист!$C$1)</f>
        <v/>
      </c>
      <c r="D774" s="3" t="str">
        <f aca="false">IFERROR(__xludf.dummyfunction("IMPORTRANGE('ТехническийЛист'!$B$1,""список!D""&amp;'ТехническийЛист'!$A775)"),"")</f>
        <v/>
      </c>
      <c r="E774" s="3"/>
      <c r="F774" s="2"/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23.25" hidden="false" customHeight="true" outlineLevel="0" collapsed="false">
      <c r="A775" s="3"/>
      <c r="B775" s="3"/>
      <c r="C775" s="3" t="str">
        <f aca="false">IF(B775="","",SUMIF(Отзывы!$C:$C,$B775,Отзывы!$F:$F)+ТехническийЛист!$C$1)</f>
        <v/>
      </c>
      <c r="D775" s="3" t="str">
        <f aca="false">IFERROR(__xludf.dummyfunction("IMPORTRANGE('ТехническийЛист'!$B$1,""список!D""&amp;'ТехническийЛист'!$A776)"),"")</f>
        <v/>
      </c>
      <c r="E775" s="3"/>
      <c r="F775" s="2"/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23.25" hidden="false" customHeight="true" outlineLevel="0" collapsed="false">
      <c r="A776" s="3"/>
      <c r="B776" s="3"/>
      <c r="C776" s="3" t="str">
        <f aca="false">IF(B776="","",SUMIF(Отзывы!$C:$C,$B776,Отзывы!$F:$F)+ТехническийЛист!$C$1)</f>
        <v/>
      </c>
      <c r="D776" s="3" t="str">
        <f aca="false">IFERROR(__xludf.dummyfunction("IMPORTRANGE('ТехническийЛист'!$B$1,""список!D""&amp;'ТехническийЛист'!$A777)"),"")</f>
        <v/>
      </c>
      <c r="E776" s="3"/>
      <c r="F776" s="2"/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23.25" hidden="false" customHeight="true" outlineLevel="0" collapsed="false">
      <c r="A777" s="3"/>
      <c r="B777" s="3"/>
      <c r="C777" s="3" t="str">
        <f aca="false">IF(B777="","",SUMIF(Отзывы!$C:$C,$B777,Отзывы!$F:$F)+ТехническийЛист!$C$1)</f>
        <v/>
      </c>
      <c r="D777" s="3" t="str">
        <f aca="false">IFERROR(__xludf.dummyfunction("IMPORTRANGE('ТехническийЛист'!$B$1,""список!D""&amp;'ТехническийЛист'!$A778)"),"")</f>
        <v/>
      </c>
      <c r="E777" s="3"/>
      <c r="F777" s="2"/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23.25" hidden="false" customHeight="true" outlineLevel="0" collapsed="false">
      <c r="A778" s="3"/>
      <c r="B778" s="3"/>
      <c r="C778" s="3" t="str">
        <f aca="false">IF(B778="","",SUMIF(Отзывы!$C:$C,$B778,Отзывы!$F:$F)+ТехническийЛист!$C$1)</f>
        <v/>
      </c>
      <c r="D778" s="3" t="str">
        <f aca="false">IFERROR(__xludf.dummyfunction("IMPORTRANGE('ТехническийЛист'!$B$1,""список!D""&amp;'ТехническийЛист'!$A779)"),"")</f>
        <v/>
      </c>
      <c r="E778" s="3"/>
      <c r="F778" s="2"/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23.25" hidden="false" customHeight="true" outlineLevel="0" collapsed="false">
      <c r="A779" s="3"/>
      <c r="B779" s="3"/>
      <c r="C779" s="3" t="str">
        <f aca="false">IF(B779="","",SUMIF(Отзывы!$C:$C,$B779,Отзывы!$F:$F)+ТехническийЛист!$C$1)</f>
        <v/>
      </c>
      <c r="D779" s="3" t="str">
        <f aca="false">IFERROR(__xludf.dummyfunction("IMPORTRANGE('ТехническийЛист'!$B$1,""список!D""&amp;'ТехническийЛист'!$A780)"),"")</f>
        <v/>
      </c>
      <c r="E779" s="3"/>
      <c r="F779" s="2"/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23.25" hidden="false" customHeight="true" outlineLevel="0" collapsed="false">
      <c r="A780" s="3"/>
      <c r="B780" s="3"/>
      <c r="C780" s="3" t="str">
        <f aca="false">IF(B780="","",SUMIF(Отзывы!$C:$C,$B780,Отзывы!$F:$F)+ТехническийЛист!$C$1)</f>
        <v/>
      </c>
      <c r="D780" s="3" t="str">
        <f aca="false">IFERROR(__xludf.dummyfunction("IMPORTRANGE('ТехническийЛист'!$B$1,""список!D""&amp;'ТехническийЛист'!$A781)"),"")</f>
        <v/>
      </c>
      <c r="E780" s="3"/>
      <c r="F780" s="2"/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23.25" hidden="false" customHeight="true" outlineLevel="0" collapsed="false">
      <c r="A781" s="3"/>
      <c r="B781" s="3"/>
      <c r="C781" s="3" t="str">
        <f aca="false">IF(B781="","",SUMIF(Отзывы!$C:$C,$B781,Отзывы!$F:$F)+ТехническийЛист!$C$1)</f>
        <v/>
      </c>
      <c r="D781" s="3" t="str">
        <f aca="false">IFERROR(__xludf.dummyfunction("IMPORTRANGE('ТехническийЛист'!$B$1,""список!D""&amp;'ТехническийЛист'!$A782)"),"")</f>
        <v/>
      </c>
      <c r="E781" s="3"/>
      <c r="F781" s="2"/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23.25" hidden="false" customHeight="true" outlineLevel="0" collapsed="false">
      <c r="A782" s="3"/>
      <c r="B782" s="3"/>
      <c r="C782" s="3" t="str">
        <f aca="false">IF(B782="","",SUMIF(Отзывы!$C:$C,$B782,Отзывы!$F:$F)+ТехническийЛист!$C$1)</f>
        <v/>
      </c>
      <c r="D782" s="3" t="str">
        <f aca="false">IFERROR(__xludf.dummyfunction("IMPORTRANGE('ТехническийЛист'!$B$1,""список!D""&amp;'ТехническийЛист'!$A783)"),"")</f>
        <v/>
      </c>
      <c r="E782" s="3"/>
      <c r="F782" s="2"/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23.25" hidden="false" customHeight="true" outlineLevel="0" collapsed="false">
      <c r="A783" s="3"/>
      <c r="B783" s="3"/>
      <c r="C783" s="3" t="str">
        <f aca="false">IF(B783="","",SUMIF(Отзывы!$C:$C,$B783,Отзывы!$F:$F)+ТехническийЛист!$C$1)</f>
        <v/>
      </c>
      <c r="D783" s="3" t="str">
        <f aca="false">IFERROR(__xludf.dummyfunction("IMPORTRANGE('ТехническийЛист'!$B$1,""список!D""&amp;'ТехническийЛист'!$A784)"),"")</f>
        <v/>
      </c>
      <c r="E783" s="3"/>
      <c r="F783" s="2"/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23.25" hidden="false" customHeight="true" outlineLevel="0" collapsed="false">
      <c r="A784" s="3"/>
      <c r="B784" s="3"/>
      <c r="C784" s="3" t="str">
        <f aca="false">IF(B784="","",SUMIF(Отзывы!$C:$C,$B784,Отзывы!$F:$F)+ТехническийЛист!$C$1)</f>
        <v/>
      </c>
      <c r="D784" s="3" t="str">
        <f aca="false">IFERROR(__xludf.dummyfunction("IMPORTRANGE('ТехническийЛист'!$B$1,""список!D""&amp;'ТехническийЛист'!$A785)"),"")</f>
        <v/>
      </c>
      <c r="E784" s="3"/>
      <c r="F784" s="2"/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23.25" hidden="false" customHeight="true" outlineLevel="0" collapsed="false">
      <c r="A785" s="3"/>
      <c r="B785" s="3"/>
      <c r="C785" s="3" t="str">
        <f aca="false">IF(B785="","",SUMIF(Отзывы!$C:$C,$B785,Отзывы!$F:$F)+ТехническийЛист!$C$1)</f>
        <v/>
      </c>
      <c r="D785" s="3" t="str">
        <f aca="false">IFERROR(__xludf.dummyfunction("IMPORTRANGE('ТехническийЛист'!$B$1,""список!D""&amp;'ТехническийЛист'!$A786)"),"")</f>
        <v/>
      </c>
      <c r="E785" s="3"/>
      <c r="F785" s="2"/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23.25" hidden="false" customHeight="true" outlineLevel="0" collapsed="false">
      <c r="A786" s="3"/>
      <c r="B786" s="3"/>
      <c r="C786" s="3" t="str">
        <f aca="false">IF(B786="","",SUMIF(Отзывы!$C:$C,$B786,Отзывы!$F:$F)+ТехническийЛист!$C$1)</f>
        <v/>
      </c>
      <c r="D786" s="3" t="str">
        <f aca="false">IFERROR(__xludf.dummyfunction("IMPORTRANGE('ТехническийЛист'!$B$1,""список!D""&amp;'ТехническийЛист'!$A787)"),"")</f>
        <v/>
      </c>
      <c r="E786" s="3"/>
      <c r="F786" s="2"/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23.25" hidden="false" customHeight="true" outlineLevel="0" collapsed="false">
      <c r="A787" s="3"/>
      <c r="B787" s="3"/>
      <c r="C787" s="3" t="str">
        <f aca="false">IF(B787="","",SUMIF(Отзывы!$C:$C,$B787,Отзывы!$F:$F)+ТехническийЛист!$C$1)</f>
        <v/>
      </c>
      <c r="D787" s="3" t="str">
        <f aca="false">IFERROR(__xludf.dummyfunction("IMPORTRANGE('ТехническийЛист'!$B$1,""список!D""&amp;'ТехническийЛист'!$A788)"),"")</f>
        <v/>
      </c>
      <c r="E787" s="3"/>
      <c r="F787" s="2"/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23.25" hidden="false" customHeight="true" outlineLevel="0" collapsed="false">
      <c r="A788" s="3"/>
      <c r="B788" s="3"/>
      <c r="C788" s="3" t="str">
        <f aca="false">IF(B788="","",SUMIF(Отзывы!$C:$C,$B788,Отзывы!$F:$F)+ТехническийЛист!$C$1)</f>
        <v/>
      </c>
      <c r="D788" s="3" t="str">
        <f aca="false">IFERROR(__xludf.dummyfunction("IMPORTRANGE('ТехническийЛист'!$B$1,""список!D""&amp;'ТехническийЛист'!$A789)"),"")</f>
        <v/>
      </c>
      <c r="E788" s="3"/>
      <c r="F788" s="2"/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23.25" hidden="false" customHeight="true" outlineLevel="0" collapsed="false">
      <c r="A789" s="3"/>
      <c r="B789" s="3"/>
      <c r="C789" s="3" t="str">
        <f aca="false">IF(B789="","",SUMIF(Отзывы!$C:$C,$B789,Отзывы!$F:$F)+ТехническийЛист!$C$1)</f>
        <v/>
      </c>
      <c r="D789" s="3" t="str">
        <f aca="false">IFERROR(__xludf.dummyfunction("IMPORTRANGE('ТехническийЛист'!$B$1,""список!D""&amp;'ТехническийЛист'!$A790)"),"")</f>
        <v/>
      </c>
      <c r="E789" s="3"/>
      <c r="F789" s="2"/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23.25" hidden="false" customHeight="true" outlineLevel="0" collapsed="false">
      <c r="A790" s="3"/>
      <c r="B790" s="3"/>
      <c r="C790" s="3" t="str">
        <f aca="false">IF(B790="","",SUMIF(Отзывы!$C:$C,$B790,Отзывы!$F:$F)+ТехническийЛист!$C$1)</f>
        <v/>
      </c>
      <c r="D790" s="3" t="str">
        <f aca="false">IFERROR(__xludf.dummyfunction("IMPORTRANGE('ТехническийЛист'!$B$1,""список!D""&amp;'ТехническийЛист'!$A791)"),"")</f>
        <v/>
      </c>
      <c r="E790" s="3"/>
      <c r="F790" s="2"/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23.25" hidden="false" customHeight="true" outlineLevel="0" collapsed="false">
      <c r="A791" s="3"/>
      <c r="B791" s="3"/>
      <c r="C791" s="3" t="str">
        <f aca="false">IF(B791="","",SUMIF(Отзывы!$C:$C,$B791,Отзывы!$F:$F)+ТехническийЛист!$C$1)</f>
        <v/>
      </c>
      <c r="D791" s="3" t="str">
        <f aca="false">IFERROR(__xludf.dummyfunction("IMPORTRANGE('ТехническийЛист'!$B$1,""список!D""&amp;'ТехническийЛист'!$A792)"),"")</f>
        <v/>
      </c>
      <c r="E791" s="3"/>
      <c r="F791" s="2"/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23.25" hidden="false" customHeight="true" outlineLevel="0" collapsed="false">
      <c r="A792" s="3"/>
      <c r="B792" s="3"/>
      <c r="C792" s="3" t="str">
        <f aca="false">IF(B792="","",SUMIF(Отзывы!$C:$C,$B792,Отзывы!$F:$F)+ТехническийЛист!$C$1)</f>
        <v/>
      </c>
      <c r="D792" s="3" t="str">
        <f aca="false">IFERROR(__xludf.dummyfunction("IMPORTRANGE('ТехническийЛист'!$B$1,""список!D""&amp;'ТехническийЛист'!$A793)"),"")</f>
        <v/>
      </c>
      <c r="E792" s="3"/>
      <c r="F792" s="2"/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23.25" hidden="false" customHeight="true" outlineLevel="0" collapsed="false">
      <c r="A793" s="3"/>
      <c r="B793" s="3"/>
      <c r="C793" s="3" t="str">
        <f aca="false">IF(B793="","",SUMIF(Отзывы!$C:$C,$B793,Отзывы!$F:$F)+ТехническийЛист!$C$1)</f>
        <v/>
      </c>
      <c r="D793" s="3" t="str">
        <f aca="false">IFERROR(__xludf.dummyfunction("IMPORTRANGE('ТехническийЛист'!$B$1,""список!D""&amp;'ТехническийЛист'!$A794)"),"")</f>
        <v/>
      </c>
      <c r="E793" s="3"/>
      <c r="F793" s="2"/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23.25" hidden="false" customHeight="true" outlineLevel="0" collapsed="false">
      <c r="A794" s="3"/>
      <c r="B794" s="3"/>
      <c r="C794" s="3" t="str">
        <f aca="false">IF(B794="","",SUMIF(Отзывы!$C:$C,$B794,Отзывы!$F:$F)+ТехническийЛист!$C$1)</f>
        <v/>
      </c>
      <c r="D794" s="3" t="str">
        <f aca="false">IFERROR(__xludf.dummyfunction("IMPORTRANGE('ТехническийЛист'!$B$1,""список!D""&amp;'ТехническийЛист'!$A795)"),"")</f>
        <v/>
      </c>
      <c r="E794" s="3"/>
      <c r="F794" s="2"/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23.25" hidden="false" customHeight="true" outlineLevel="0" collapsed="false">
      <c r="A795" s="3"/>
      <c r="B795" s="3"/>
      <c r="C795" s="3" t="str">
        <f aca="false">IF(B795="","",SUMIF(Отзывы!$C:$C,$B795,Отзывы!$F:$F)+ТехническийЛист!$C$1)</f>
        <v/>
      </c>
      <c r="D795" s="3" t="str">
        <f aca="false">IFERROR(__xludf.dummyfunction("IMPORTRANGE('ТехническийЛист'!$B$1,""список!D""&amp;'ТехническийЛист'!$A796)"),"")</f>
        <v/>
      </c>
      <c r="E795" s="3"/>
      <c r="F795" s="2"/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23.25" hidden="false" customHeight="true" outlineLevel="0" collapsed="false">
      <c r="A796" s="3"/>
      <c r="B796" s="3"/>
      <c r="C796" s="3" t="str">
        <f aca="false">IF(B796="","",SUMIF(Отзывы!$C:$C,$B796,Отзывы!$F:$F)+ТехническийЛист!$C$1)</f>
        <v/>
      </c>
      <c r="D796" s="3" t="str">
        <f aca="false">IFERROR(__xludf.dummyfunction("IMPORTRANGE('ТехническийЛист'!$B$1,""список!D""&amp;'ТехническийЛист'!$A797)"),"")</f>
        <v/>
      </c>
      <c r="E796" s="3"/>
      <c r="F796" s="2"/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23.25" hidden="false" customHeight="true" outlineLevel="0" collapsed="false">
      <c r="A797" s="3"/>
      <c r="B797" s="3"/>
      <c r="C797" s="3" t="str">
        <f aca="false">IF(B797="","",SUMIF(Отзывы!$C:$C,$B797,Отзывы!$F:$F)+ТехническийЛист!$C$1)</f>
        <v/>
      </c>
      <c r="D797" s="3" t="str">
        <f aca="false">IFERROR(__xludf.dummyfunction("IMPORTRANGE('ТехническийЛист'!$B$1,""список!D""&amp;'ТехническийЛист'!$A798)"),"")</f>
        <v/>
      </c>
      <c r="E797" s="3"/>
      <c r="F797" s="2"/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23.25" hidden="false" customHeight="true" outlineLevel="0" collapsed="false">
      <c r="A798" s="3"/>
      <c r="B798" s="3"/>
      <c r="C798" s="3" t="str">
        <f aca="false">IF(B798="","",SUMIF(Отзывы!$C:$C,$B798,Отзывы!$F:$F)+ТехническийЛист!$C$1)</f>
        <v/>
      </c>
      <c r="D798" s="3" t="str">
        <f aca="false">IFERROR(__xludf.dummyfunction("IMPORTRANGE('ТехническийЛист'!$B$1,""список!D""&amp;'ТехническийЛист'!$A799)"),"")</f>
        <v/>
      </c>
      <c r="E798" s="3"/>
      <c r="F798" s="2"/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23.25" hidden="false" customHeight="true" outlineLevel="0" collapsed="false">
      <c r="A799" s="3"/>
      <c r="B799" s="3"/>
      <c r="C799" s="3" t="str">
        <f aca="false">IF(B799="","",SUMIF(Отзывы!$C:$C,$B799,Отзывы!$F:$F)+ТехническийЛист!$C$1)</f>
        <v/>
      </c>
      <c r="D799" s="3" t="str">
        <f aca="false">IFERROR(__xludf.dummyfunction("IMPORTRANGE('ТехническийЛист'!$B$1,""список!D""&amp;'ТехническийЛист'!$A800)"),"")</f>
        <v/>
      </c>
      <c r="E799" s="3"/>
      <c r="F799" s="2"/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23.25" hidden="false" customHeight="true" outlineLevel="0" collapsed="false">
      <c r="A800" s="3"/>
      <c r="B800" s="3"/>
      <c r="C800" s="3" t="str">
        <f aca="false">IF(B800="","",SUMIF(Отзывы!$C:$C,$B800,Отзывы!$F:$F)+ТехническийЛист!$C$1)</f>
        <v/>
      </c>
      <c r="D800" s="3" t="str">
        <f aca="false">IFERROR(__xludf.dummyfunction("IMPORTRANGE('ТехническийЛист'!$B$1,""список!D""&amp;'ТехническийЛист'!$A801)"),"")</f>
        <v/>
      </c>
      <c r="E800" s="3"/>
      <c r="F800" s="2"/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23.25" hidden="false" customHeight="true" outlineLevel="0" collapsed="false">
      <c r="A801" s="3"/>
      <c r="B801" s="3"/>
      <c r="C801" s="3" t="str">
        <f aca="false">IF(B801="","",SUMIF(Отзывы!$C:$C,$B801,Отзывы!$F:$F)+ТехническийЛист!$C$1)</f>
        <v/>
      </c>
      <c r="D801" s="3" t="str">
        <f aca="false">IFERROR(__xludf.dummyfunction("IMPORTRANGE('ТехническийЛист'!$B$1,""список!D""&amp;'ТехническийЛист'!$A802)"),"")</f>
        <v/>
      </c>
      <c r="E801" s="3"/>
      <c r="F801" s="2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23.25" hidden="false" customHeight="true" outlineLevel="0" collapsed="false">
      <c r="A802" s="3"/>
      <c r="B802" s="3"/>
      <c r="C802" s="3" t="str">
        <f aca="false">IF(B802="","",SUMIF(Отзывы!$C:$C,$B802,Отзывы!$F:$F)+ТехническийЛист!$C$1)</f>
        <v/>
      </c>
      <c r="D802" s="3" t="str">
        <f aca="false">IFERROR(__xludf.dummyfunction("IMPORTRANGE('ТехническийЛист'!$B$1,""список!D""&amp;'ТехническийЛист'!$A803)"),"")</f>
        <v/>
      </c>
      <c r="E802" s="3"/>
      <c r="F802" s="2"/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23.25" hidden="false" customHeight="true" outlineLevel="0" collapsed="false">
      <c r="A803" s="3"/>
      <c r="B803" s="3"/>
      <c r="C803" s="3" t="str">
        <f aca="false">IF(B803="","",SUMIF(Отзывы!$C:$C,$B803,Отзывы!$F:$F)+ТехническийЛист!$C$1)</f>
        <v/>
      </c>
      <c r="D803" s="3" t="str">
        <f aca="false">IFERROR(__xludf.dummyfunction("IMPORTRANGE('ТехническийЛист'!$B$1,""список!D""&amp;'ТехническийЛист'!$A804)"),"")</f>
        <v/>
      </c>
      <c r="E803" s="3"/>
      <c r="F803" s="2"/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23.25" hidden="false" customHeight="true" outlineLevel="0" collapsed="false">
      <c r="A804" s="3"/>
      <c r="B804" s="3"/>
      <c r="C804" s="3" t="str">
        <f aca="false">IF(B804="","",SUMIF(Отзывы!$C:$C,$B804,Отзывы!$F:$F)+ТехническийЛист!$C$1)</f>
        <v/>
      </c>
      <c r="D804" s="3" t="str">
        <f aca="false">IFERROR(__xludf.dummyfunction("IMPORTRANGE('ТехническийЛист'!$B$1,""список!D""&amp;'ТехническийЛист'!$A805)"),"")</f>
        <v/>
      </c>
      <c r="E804" s="3"/>
      <c r="F804" s="2"/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23.25" hidden="false" customHeight="true" outlineLevel="0" collapsed="false">
      <c r="A805" s="3"/>
      <c r="B805" s="3"/>
      <c r="C805" s="3" t="str">
        <f aca="false">IF(B805="","",SUMIF(Отзывы!$C:$C,$B805,Отзывы!$F:$F)+ТехническийЛист!$C$1)</f>
        <v/>
      </c>
      <c r="D805" s="3" t="str">
        <f aca="false">IFERROR(__xludf.dummyfunction("IMPORTRANGE('ТехническийЛист'!$B$1,""список!D""&amp;'ТехническийЛист'!$A806)"),"")</f>
        <v/>
      </c>
      <c r="E805" s="3"/>
      <c r="F805" s="2"/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23.25" hidden="false" customHeight="true" outlineLevel="0" collapsed="false">
      <c r="A806" s="3"/>
      <c r="B806" s="3"/>
      <c r="C806" s="3" t="str">
        <f aca="false">IF(B806="","",SUMIF(Отзывы!$C:$C,$B806,Отзывы!$F:$F)+ТехническийЛист!$C$1)</f>
        <v/>
      </c>
      <c r="D806" s="3" t="str">
        <f aca="false">IFERROR(__xludf.dummyfunction("IMPORTRANGE('ТехническийЛист'!$B$1,""список!D""&amp;'ТехническийЛист'!$A807)"),"")</f>
        <v/>
      </c>
      <c r="E806" s="3"/>
      <c r="F806" s="2"/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23.25" hidden="false" customHeight="true" outlineLevel="0" collapsed="false">
      <c r="A807" s="3"/>
      <c r="B807" s="3"/>
      <c r="C807" s="3" t="str">
        <f aca="false">IF(B807="","",SUMIF(Отзывы!$C:$C,$B807,Отзывы!$F:$F)+ТехническийЛист!$C$1)</f>
        <v/>
      </c>
      <c r="D807" s="3" t="str">
        <f aca="false">IFERROR(__xludf.dummyfunction("IMPORTRANGE('ТехническийЛист'!$B$1,""список!D""&amp;'ТехническийЛист'!$A808)"),"")</f>
        <v/>
      </c>
      <c r="E807" s="3"/>
      <c r="F807" s="2"/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23.25" hidden="false" customHeight="true" outlineLevel="0" collapsed="false">
      <c r="A808" s="3"/>
      <c r="B808" s="3"/>
      <c r="C808" s="3" t="str">
        <f aca="false">IF(B808="","",SUMIF(Отзывы!$C:$C,$B808,Отзывы!$F:$F)+ТехническийЛист!$C$1)</f>
        <v/>
      </c>
      <c r="D808" s="3" t="str">
        <f aca="false">IFERROR(__xludf.dummyfunction("IMPORTRANGE('ТехническийЛист'!$B$1,""список!D""&amp;'ТехническийЛист'!$A809)"),"")</f>
        <v/>
      </c>
      <c r="E808" s="3"/>
      <c r="F808" s="2"/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23.25" hidden="false" customHeight="true" outlineLevel="0" collapsed="false">
      <c r="A809" s="3"/>
      <c r="B809" s="3"/>
      <c r="C809" s="3" t="str">
        <f aca="false">IF(B809="","",SUMIF(Отзывы!$C:$C,$B809,Отзывы!$F:$F)+ТехническийЛист!$C$1)</f>
        <v/>
      </c>
      <c r="D809" s="3" t="str">
        <f aca="false">IFERROR(__xludf.dummyfunction("IMPORTRANGE('ТехническийЛист'!$B$1,""список!D""&amp;'ТехническийЛист'!$A810)"),"")</f>
        <v/>
      </c>
      <c r="E809" s="3"/>
      <c r="F809" s="2"/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23.25" hidden="false" customHeight="true" outlineLevel="0" collapsed="false">
      <c r="A810" s="3"/>
      <c r="B810" s="3"/>
      <c r="C810" s="3" t="str">
        <f aca="false">IF(B810="","",SUMIF(Отзывы!$C:$C,$B810,Отзывы!$F:$F)+ТехническийЛист!$C$1)</f>
        <v/>
      </c>
      <c r="D810" s="3" t="str">
        <f aca="false">IFERROR(__xludf.dummyfunction("IMPORTRANGE('ТехническийЛист'!$B$1,""список!D""&amp;'ТехническийЛист'!$A811)"),"")</f>
        <v/>
      </c>
      <c r="E810" s="3"/>
      <c r="F810" s="2"/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23.25" hidden="false" customHeight="true" outlineLevel="0" collapsed="false">
      <c r="A811" s="3"/>
      <c r="B811" s="3"/>
      <c r="C811" s="3" t="str">
        <f aca="false">IF(B811="","",SUMIF(Отзывы!$C:$C,$B811,Отзывы!$F:$F)+ТехническийЛист!$C$1)</f>
        <v/>
      </c>
      <c r="D811" s="3" t="str">
        <f aca="false">IFERROR(__xludf.dummyfunction("IMPORTRANGE('ТехническийЛист'!$B$1,""список!D""&amp;'ТехническийЛист'!$A812)"),"")</f>
        <v/>
      </c>
      <c r="E811" s="3"/>
      <c r="F811" s="2"/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23.25" hidden="false" customHeight="true" outlineLevel="0" collapsed="false">
      <c r="A812" s="3"/>
      <c r="B812" s="3"/>
      <c r="C812" s="3" t="str">
        <f aca="false">IF(B812="","",SUMIF(Отзывы!$C:$C,$B812,Отзывы!$F:$F)+ТехническийЛист!$C$1)</f>
        <v/>
      </c>
      <c r="D812" s="3" t="str">
        <f aca="false">IFERROR(__xludf.dummyfunction("IMPORTRANGE('ТехническийЛист'!$B$1,""список!D""&amp;'ТехническийЛист'!$A813)"),"")</f>
        <v/>
      </c>
      <c r="E812" s="3"/>
      <c r="F812" s="2"/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23.25" hidden="false" customHeight="true" outlineLevel="0" collapsed="false">
      <c r="A813" s="3"/>
      <c r="B813" s="3"/>
      <c r="C813" s="3" t="str">
        <f aca="false">IF(B813="","",SUMIF(Отзывы!$C:$C,$B813,Отзывы!$F:$F)+ТехническийЛист!$C$1)</f>
        <v/>
      </c>
      <c r="D813" s="3" t="str">
        <f aca="false">IFERROR(__xludf.dummyfunction("IMPORTRANGE('ТехническийЛист'!$B$1,""список!D""&amp;'ТехническийЛист'!$A814)"),"")</f>
        <v/>
      </c>
      <c r="E813" s="3"/>
      <c r="F813" s="2"/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23.25" hidden="false" customHeight="true" outlineLevel="0" collapsed="false">
      <c r="A814" s="3"/>
      <c r="B814" s="3"/>
      <c r="C814" s="3" t="str">
        <f aca="false">IF(B814="","",SUMIF(Отзывы!$C:$C,$B814,Отзывы!$F:$F)+ТехническийЛист!$C$1)</f>
        <v/>
      </c>
      <c r="D814" s="3" t="str">
        <f aca="false">IFERROR(__xludf.dummyfunction("IMPORTRANGE('ТехническийЛист'!$B$1,""список!D""&amp;'ТехническийЛист'!$A815)"),"")</f>
        <v/>
      </c>
      <c r="E814" s="3"/>
      <c r="F814" s="2"/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23.25" hidden="false" customHeight="true" outlineLevel="0" collapsed="false">
      <c r="A815" s="3"/>
      <c r="B815" s="3"/>
      <c r="C815" s="3" t="str">
        <f aca="false">IF(B815="","",SUMIF(Отзывы!$C:$C,$B815,Отзывы!$F:$F)+ТехническийЛист!$C$1)</f>
        <v/>
      </c>
      <c r="D815" s="3" t="str">
        <f aca="false">IFERROR(__xludf.dummyfunction("IMPORTRANGE('ТехническийЛист'!$B$1,""список!D""&amp;'ТехническийЛист'!$A816)"),"")</f>
        <v/>
      </c>
      <c r="E815" s="3"/>
      <c r="F815" s="2"/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23.25" hidden="false" customHeight="true" outlineLevel="0" collapsed="false">
      <c r="A816" s="3"/>
      <c r="B816" s="3"/>
      <c r="C816" s="3" t="str">
        <f aca="false">IF(B816="","",SUMIF(Отзывы!$C:$C,$B816,Отзывы!$F:$F)+ТехническийЛист!$C$1)</f>
        <v/>
      </c>
      <c r="D816" s="3" t="str">
        <f aca="false">IFERROR(__xludf.dummyfunction("IMPORTRANGE('ТехническийЛист'!$B$1,""список!D""&amp;'ТехническийЛист'!$A817)"),"")</f>
        <v/>
      </c>
      <c r="E816" s="3"/>
      <c r="F816" s="2"/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23.25" hidden="false" customHeight="true" outlineLevel="0" collapsed="false">
      <c r="A817" s="3"/>
      <c r="B817" s="3"/>
      <c r="C817" s="3" t="str">
        <f aca="false">IF(B817="","",SUMIF(Отзывы!$C:$C,$B817,Отзывы!$F:$F)+ТехническийЛист!$C$1)</f>
        <v/>
      </c>
      <c r="D817" s="3" t="str">
        <f aca="false">IFERROR(__xludf.dummyfunction("IMPORTRANGE('ТехническийЛист'!$B$1,""список!D""&amp;'ТехническийЛист'!$A818)"),"")</f>
        <v/>
      </c>
      <c r="E817" s="3"/>
      <c r="F817" s="2"/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23.25" hidden="false" customHeight="true" outlineLevel="0" collapsed="false">
      <c r="A818" s="3"/>
      <c r="B818" s="3"/>
      <c r="C818" s="3" t="str">
        <f aca="false">IF(B818="","",SUMIF(Отзывы!$C:$C,$B818,Отзывы!$F:$F)+ТехническийЛист!$C$1)</f>
        <v/>
      </c>
      <c r="D818" s="3" t="str">
        <f aca="false">IFERROR(__xludf.dummyfunction("IMPORTRANGE('ТехническийЛист'!$B$1,""список!D""&amp;'ТехническийЛист'!$A819)"),"")</f>
        <v/>
      </c>
      <c r="E818" s="3"/>
      <c r="F818" s="2"/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23.25" hidden="false" customHeight="true" outlineLevel="0" collapsed="false">
      <c r="A819" s="3"/>
      <c r="B819" s="3"/>
      <c r="C819" s="3" t="str">
        <f aca="false">IF(B819="","",SUMIF(Отзывы!$C:$C,$B819,Отзывы!$F:$F)+ТехническийЛист!$C$1)</f>
        <v/>
      </c>
      <c r="D819" s="3" t="str">
        <f aca="false">IFERROR(__xludf.dummyfunction("IMPORTRANGE('ТехническийЛист'!$B$1,""список!D""&amp;'ТехническийЛист'!$A820)"),"")</f>
        <v/>
      </c>
      <c r="E819" s="3"/>
      <c r="F819" s="2"/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23.25" hidden="false" customHeight="true" outlineLevel="0" collapsed="false">
      <c r="A820" s="3"/>
      <c r="B820" s="3"/>
      <c r="C820" s="3" t="str">
        <f aca="false">IF(B820="","",SUMIF(Отзывы!$C:$C,$B820,Отзывы!$F:$F)+ТехническийЛист!$C$1)</f>
        <v/>
      </c>
      <c r="D820" s="3" t="str">
        <f aca="false">IFERROR(__xludf.dummyfunction("IMPORTRANGE('ТехническийЛист'!$B$1,""список!D""&amp;'ТехническийЛист'!$A821)"),"")</f>
        <v/>
      </c>
      <c r="E820" s="3"/>
      <c r="F820" s="2"/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23.25" hidden="false" customHeight="true" outlineLevel="0" collapsed="false">
      <c r="A821" s="3"/>
      <c r="B821" s="3"/>
      <c r="C821" s="3" t="str">
        <f aca="false">IF(B821="","",SUMIF(Отзывы!$C:$C,$B821,Отзывы!$F:$F)+ТехническийЛист!$C$1)</f>
        <v/>
      </c>
      <c r="D821" s="3" t="str">
        <f aca="false">IFERROR(__xludf.dummyfunction("IMPORTRANGE('ТехническийЛист'!$B$1,""список!D""&amp;'ТехническийЛист'!$A822)"),"")</f>
        <v/>
      </c>
      <c r="E821" s="3"/>
      <c r="F821" s="2"/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23.25" hidden="false" customHeight="true" outlineLevel="0" collapsed="false">
      <c r="A822" s="3"/>
      <c r="B822" s="3"/>
      <c r="C822" s="3" t="str">
        <f aca="false">IF(B822="","",SUMIF(Отзывы!$C:$C,$B822,Отзывы!$F:$F)+ТехническийЛист!$C$1)</f>
        <v/>
      </c>
      <c r="D822" s="3" t="str">
        <f aca="false">IFERROR(__xludf.dummyfunction("IMPORTRANGE('ТехническийЛист'!$B$1,""список!D""&amp;'ТехническийЛист'!$A823)"),"")</f>
        <v/>
      </c>
      <c r="E822" s="3"/>
      <c r="F822" s="2"/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23.25" hidden="false" customHeight="true" outlineLevel="0" collapsed="false">
      <c r="A823" s="3"/>
      <c r="B823" s="3"/>
      <c r="C823" s="3" t="str">
        <f aca="false">IF(B823="","",SUMIF(Отзывы!$C:$C,$B823,Отзывы!$F:$F)+ТехническийЛист!$C$1)</f>
        <v/>
      </c>
      <c r="D823" s="3" t="str">
        <f aca="false">IFERROR(__xludf.dummyfunction("IMPORTRANGE('ТехническийЛист'!$B$1,""список!D""&amp;'ТехническийЛист'!$A824)"),"")</f>
        <v/>
      </c>
      <c r="E823" s="3"/>
      <c r="F823" s="2"/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23.25" hidden="false" customHeight="true" outlineLevel="0" collapsed="false">
      <c r="A824" s="3"/>
      <c r="B824" s="3"/>
      <c r="C824" s="3" t="str">
        <f aca="false">IF(B824="","",SUMIF(Отзывы!$C:$C,$B824,Отзывы!$F:$F)+ТехническийЛист!$C$1)</f>
        <v/>
      </c>
      <c r="D824" s="3" t="str">
        <f aca="false">IFERROR(__xludf.dummyfunction("IMPORTRANGE('ТехническийЛист'!$B$1,""список!D""&amp;'ТехническийЛист'!$A825)"),"")</f>
        <v/>
      </c>
      <c r="E824" s="3"/>
      <c r="F824" s="2"/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23.25" hidden="false" customHeight="true" outlineLevel="0" collapsed="false">
      <c r="A825" s="3"/>
      <c r="B825" s="3"/>
      <c r="C825" s="3" t="str">
        <f aca="false">IF(B825="","",SUMIF(Отзывы!$C:$C,$B825,Отзывы!$F:$F)+ТехническийЛист!$C$1)</f>
        <v/>
      </c>
      <c r="D825" s="3" t="str">
        <f aca="false">IFERROR(__xludf.dummyfunction("IMPORTRANGE('ТехническийЛист'!$B$1,""список!D""&amp;'ТехническийЛист'!$A826)"),"")</f>
        <v/>
      </c>
      <c r="E825" s="3"/>
      <c r="F825" s="2"/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23.25" hidden="false" customHeight="true" outlineLevel="0" collapsed="false">
      <c r="A826" s="3"/>
      <c r="B826" s="3"/>
      <c r="C826" s="3" t="str">
        <f aca="false">IF(B826="","",SUMIF(Отзывы!$C:$C,$B826,Отзывы!$F:$F)+ТехническийЛист!$C$1)</f>
        <v/>
      </c>
      <c r="D826" s="3" t="str">
        <f aca="false">IFERROR(__xludf.dummyfunction("IMPORTRANGE('ТехническийЛист'!$B$1,""список!D""&amp;'ТехническийЛист'!$A827)"),"")</f>
        <v/>
      </c>
      <c r="E826" s="3"/>
      <c r="F826" s="2"/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23.25" hidden="false" customHeight="true" outlineLevel="0" collapsed="false">
      <c r="A827" s="3"/>
      <c r="B827" s="3"/>
      <c r="C827" s="3" t="str">
        <f aca="false">IF(B827="","",SUMIF(Отзывы!$C:$C,$B827,Отзывы!$F:$F)+ТехническийЛист!$C$1)</f>
        <v/>
      </c>
      <c r="D827" s="3" t="str">
        <f aca="false">IFERROR(__xludf.dummyfunction("IMPORTRANGE('ТехническийЛист'!$B$1,""список!D""&amp;'ТехническийЛист'!$A828)"),"")</f>
        <v/>
      </c>
      <c r="E827" s="3"/>
      <c r="F827" s="2"/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23.25" hidden="false" customHeight="true" outlineLevel="0" collapsed="false">
      <c r="A828" s="3"/>
      <c r="B828" s="3"/>
      <c r="C828" s="3" t="str">
        <f aca="false">IF(B828="","",SUMIF(Отзывы!$C:$C,$B828,Отзывы!$F:$F)+ТехническийЛист!$C$1)</f>
        <v/>
      </c>
      <c r="D828" s="3" t="str">
        <f aca="false">IFERROR(__xludf.dummyfunction("IMPORTRANGE('ТехническийЛист'!$B$1,""список!D""&amp;'ТехническийЛист'!$A829)"),"")</f>
        <v/>
      </c>
      <c r="E828" s="3"/>
      <c r="F828" s="2"/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23.25" hidden="false" customHeight="true" outlineLevel="0" collapsed="false">
      <c r="A829" s="3"/>
      <c r="B829" s="3"/>
      <c r="C829" s="3" t="str">
        <f aca="false">IF(B829="","",SUMIF(Отзывы!$C:$C,$B829,Отзывы!$F:$F)+ТехническийЛист!$C$1)</f>
        <v/>
      </c>
      <c r="D829" s="3" t="str">
        <f aca="false">IFERROR(__xludf.dummyfunction("IMPORTRANGE('ТехническийЛист'!$B$1,""список!D""&amp;'ТехническийЛист'!$A830)"),"")</f>
        <v/>
      </c>
      <c r="E829" s="3"/>
      <c r="F829" s="2"/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23.25" hidden="false" customHeight="true" outlineLevel="0" collapsed="false">
      <c r="A830" s="3"/>
      <c r="B830" s="3"/>
      <c r="C830" s="3" t="str">
        <f aca="false">IF(B830="","",SUMIF(Отзывы!$C:$C,$B830,Отзывы!$F:$F)+ТехническийЛист!$C$1)</f>
        <v/>
      </c>
      <c r="D830" s="3" t="str">
        <f aca="false">IFERROR(__xludf.dummyfunction("IMPORTRANGE('ТехническийЛист'!$B$1,""список!D""&amp;'ТехническийЛист'!$A831)"),"")</f>
        <v/>
      </c>
      <c r="E830" s="3"/>
      <c r="F830" s="2"/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23.25" hidden="false" customHeight="true" outlineLevel="0" collapsed="false">
      <c r="A831" s="3"/>
      <c r="B831" s="3"/>
      <c r="C831" s="3" t="str">
        <f aca="false">IF(B831="","",SUMIF(Отзывы!$C:$C,$B831,Отзывы!$F:$F)+ТехническийЛист!$C$1)</f>
        <v/>
      </c>
      <c r="D831" s="3" t="str">
        <f aca="false">IFERROR(__xludf.dummyfunction("IMPORTRANGE('ТехническийЛист'!$B$1,""список!D""&amp;'ТехническийЛист'!$A832)"),"")</f>
        <v/>
      </c>
      <c r="E831" s="3"/>
      <c r="F831" s="2"/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23.25" hidden="false" customHeight="true" outlineLevel="0" collapsed="false">
      <c r="A832" s="3"/>
      <c r="B832" s="3"/>
      <c r="C832" s="3" t="str">
        <f aca="false">IF(B832="","",SUMIF(Отзывы!$C:$C,$B832,Отзывы!$F:$F)+ТехническийЛист!$C$1)</f>
        <v/>
      </c>
      <c r="D832" s="3" t="str">
        <f aca="false">IFERROR(__xludf.dummyfunction("IMPORTRANGE('ТехническийЛист'!$B$1,""список!D""&amp;'ТехническийЛист'!$A833)"),"")</f>
        <v/>
      </c>
      <c r="E832" s="3"/>
      <c r="F832" s="2"/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23.25" hidden="false" customHeight="true" outlineLevel="0" collapsed="false">
      <c r="A833" s="3"/>
      <c r="B833" s="3"/>
      <c r="C833" s="3" t="str">
        <f aca="false">IF(B833="","",SUMIF(Отзывы!$C:$C,$B833,Отзывы!$F:$F)+ТехническийЛист!$C$1)</f>
        <v/>
      </c>
      <c r="D833" s="3" t="str">
        <f aca="false">IFERROR(__xludf.dummyfunction("IMPORTRANGE('ТехническийЛист'!$B$1,""список!D""&amp;'ТехническийЛист'!$A834)"),"")</f>
        <v/>
      </c>
      <c r="E833" s="3"/>
      <c r="F833" s="2"/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23.25" hidden="false" customHeight="true" outlineLevel="0" collapsed="false">
      <c r="A834" s="3"/>
      <c r="B834" s="3"/>
      <c r="C834" s="3" t="str">
        <f aca="false">IF(B834="","",SUMIF(Отзывы!$C:$C,$B834,Отзывы!$F:$F)+ТехническийЛист!$C$1)</f>
        <v/>
      </c>
      <c r="D834" s="3" t="str">
        <f aca="false">IFERROR(__xludf.dummyfunction("IMPORTRANGE('ТехническийЛист'!$B$1,""список!D""&amp;'ТехническийЛист'!$A835)"),"")</f>
        <v/>
      </c>
      <c r="E834" s="3"/>
      <c r="F834" s="2"/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23.25" hidden="false" customHeight="true" outlineLevel="0" collapsed="false">
      <c r="A835" s="3"/>
      <c r="B835" s="3"/>
      <c r="C835" s="3" t="str">
        <f aca="false">IF(B835="","",SUMIF(Отзывы!$C:$C,$B835,Отзывы!$F:$F)+ТехническийЛист!$C$1)</f>
        <v/>
      </c>
      <c r="D835" s="3" t="str">
        <f aca="false">IFERROR(__xludf.dummyfunction("IMPORTRANGE('ТехническийЛист'!$B$1,""список!D""&amp;'ТехническийЛист'!$A836)"),"")</f>
        <v/>
      </c>
      <c r="E835" s="3"/>
      <c r="F835" s="2"/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23.25" hidden="false" customHeight="true" outlineLevel="0" collapsed="false">
      <c r="A836" s="3"/>
      <c r="B836" s="3"/>
      <c r="C836" s="3" t="str">
        <f aca="false">IF(B836="","",SUMIF(Отзывы!$C:$C,$B836,Отзывы!$F:$F)+ТехническийЛист!$C$1)</f>
        <v/>
      </c>
      <c r="D836" s="3" t="str">
        <f aca="false">IFERROR(__xludf.dummyfunction("IMPORTRANGE('ТехническийЛист'!$B$1,""список!D""&amp;'ТехническийЛист'!$A837)"),"")</f>
        <v/>
      </c>
      <c r="E836" s="3"/>
      <c r="F836" s="2"/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23.25" hidden="false" customHeight="true" outlineLevel="0" collapsed="false">
      <c r="A837" s="3"/>
      <c r="B837" s="3"/>
      <c r="C837" s="3" t="str">
        <f aca="false">IF(B837="","",SUMIF(Отзывы!$C:$C,$B837,Отзывы!$F:$F)+ТехническийЛист!$C$1)</f>
        <v/>
      </c>
      <c r="D837" s="3" t="str">
        <f aca="false">IFERROR(__xludf.dummyfunction("IMPORTRANGE('ТехническийЛист'!$B$1,""список!D""&amp;'ТехническийЛист'!$A838)"),"")</f>
        <v/>
      </c>
      <c r="E837" s="3"/>
      <c r="F837" s="2"/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23.25" hidden="false" customHeight="true" outlineLevel="0" collapsed="false">
      <c r="A838" s="3"/>
      <c r="B838" s="3"/>
      <c r="C838" s="3" t="str">
        <f aca="false">IF(B838="","",SUMIF(Отзывы!$C:$C,$B838,Отзывы!$F:$F)+ТехническийЛист!$C$1)</f>
        <v/>
      </c>
      <c r="D838" s="3" t="str">
        <f aca="false">IFERROR(__xludf.dummyfunction("IMPORTRANGE('ТехническийЛист'!$B$1,""список!D""&amp;'ТехническийЛист'!$A839)"),"")</f>
        <v/>
      </c>
      <c r="E838" s="3"/>
      <c r="F838" s="2"/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23.25" hidden="false" customHeight="true" outlineLevel="0" collapsed="false">
      <c r="A839" s="3"/>
      <c r="B839" s="3"/>
      <c r="C839" s="3" t="str">
        <f aca="false">IF(B839="","",SUMIF(Отзывы!$C:$C,$B839,Отзывы!$F:$F)+ТехническийЛист!$C$1)</f>
        <v/>
      </c>
      <c r="D839" s="3" t="str">
        <f aca="false">IFERROR(__xludf.dummyfunction("IMPORTRANGE('ТехническийЛист'!$B$1,""список!D""&amp;'ТехническийЛист'!$A840)"),"")</f>
        <v/>
      </c>
      <c r="E839" s="3"/>
      <c r="F839" s="2"/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23.25" hidden="false" customHeight="true" outlineLevel="0" collapsed="false">
      <c r="A840" s="3"/>
      <c r="B840" s="3"/>
      <c r="C840" s="3" t="str">
        <f aca="false">IF(B840="","",SUMIF(Отзывы!$C:$C,$B840,Отзывы!$F:$F)+ТехническийЛист!$C$1)</f>
        <v/>
      </c>
      <c r="D840" s="3" t="str">
        <f aca="false">IFERROR(__xludf.dummyfunction("IMPORTRANGE('ТехническийЛист'!$B$1,""список!D""&amp;'ТехническийЛист'!$A841)"),"")</f>
        <v/>
      </c>
      <c r="E840" s="3"/>
      <c r="F840" s="2"/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23.25" hidden="false" customHeight="true" outlineLevel="0" collapsed="false">
      <c r="A841" s="3"/>
      <c r="B841" s="3"/>
      <c r="C841" s="3" t="str">
        <f aca="false">IF(B841="","",SUMIF(Отзывы!$C:$C,$B841,Отзывы!$F:$F)+ТехническийЛист!$C$1)</f>
        <v/>
      </c>
      <c r="D841" s="3" t="str">
        <f aca="false">IFERROR(__xludf.dummyfunction("IMPORTRANGE('ТехническийЛист'!$B$1,""список!D""&amp;'ТехническийЛист'!$A842)"),"")</f>
        <v/>
      </c>
      <c r="E841" s="3"/>
      <c r="F841" s="2"/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23.25" hidden="false" customHeight="true" outlineLevel="0" collapsed="false">
      <c r="A842" s="3"/>
      <c r="B842" s="3"/>
      <c r="C842" s="3" t="str">
        <f aca="false">IF(B842="","",SUMIF(Отзывы!$C:$C,$B842,Отзывы!$F:$F)+ТехническийЛист!$C$1)</f>
        <v/>
      </c>
      <c r="D842" s="3" t="str">
        <f aca="false">IFERROR(__xludf.dummyfunction("IMPORTRANGE('ТехническийЛист'!$B$1,""список!D""&amp;'ТехническийЛист'!$A843)"),"")</f>
        <v/>
      </c>
      <c r="E842" s="3"/>
      <c r="F842" s="2"/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23.25" hidden="false" customHeight="true" outlineLevel="0" collapsed="false">
      <c r="A843" s="3"/>
      <c r="B843" s="3"/>
      <c r="C843" s="3" t="str">
        <f aca="false">IF(B843="","",SUMIF(Отзывы!$C:$C,$B843,Отзывы!$F:$F)+ТехническийЛист!$C$1)</f>
        <v/>
      </c>
      <c r="D843" s="3" t="str">
        <f aca="false">IFERROR(__xludf.dummyfunction("IMPORTRANGE('ТехническийЛист'!$B$1,""список!D""&amp;'ТехническийЛист'!$A844)"),"")</f>
        <v/>
      </c>
      <c r="E843" s="3"/>
      <c r="F843" s="2"/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23.25" hidden="false" customHeight="true" outlineLevel="0" collapsed="false">
      <c r="A844" s="3"/>
      <c r="B844" s="3"/>
      <c r="C844" s="3" t="str">
        <f aca="false">IF(B844="","",SUMIF(Отзывы!$C:$C,$B844,Отзывы!$F:$F)+ТехническийЛист!$C$1)</f>
        <v/>
      </c>
      <c r="D844" s="3" t="str">
        <f aca="false">IFERROR(__xludf.dummyfunction("IMPORTRANGE('ТехническийЛист'!$B$1,""список!D""&amp;'ТехническийЛист'!$A845)"),"")</f>
        <v/>
      </c>
      <c r="E844" s="3"/>
      <c r="F844" s="2"/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23.25" hidden="false" customHeight="true" outlineLevel="0" collapsed="false">
      <c r="A845" s="3"/>
      <c r="B845" s="3"/>
      <c r="C845" s="3" t="str">
        <f aca="false">IF(B845="","",SUMIF(Отзывы!$C:$C,$B845,Отзывы!$F:$F)+ТехническийЛист!$C$1)</f>
        <v/>
      </c>
      <c r="D845" s="3" t="str">
        <f aca="false">IFERROR(__xludf.dummyfunction("IMPORTRANGE('ТехническийЛист'!$B$1,""список!D""&amp;'ТехническийЛист'!$A846)"),"")</f>
        <v/>
      </c>
      <c r="E845" s="3"/>
      <c r="F845" s="2"/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23.25" hidden="false" customHeight="true" outlineLevel="0" collapsed="false">
      <c r="A846" s="3"/>
      <c r="B846" s="3"/>
      <c r="C846" s="3" t="str">
        <f aca="false">IF(B846="","",SUMIF(Отзывы!$C:$C,$B846,Отзывы!$F:$F)+ТехническийЛист!$C$1)</f>
        <v/>
      </c>
      <c r="D846" s="3" t="str">
        <f aca="false">IFERROR(__xludf.dummyfunction("IMPORTRANGE('ТехническийЛист'!$B$1,""список!D""&amp;'ТехническийЛист'!$A847)"),"")</f>
        <v/>
      </c>
      <c r="E846" s="3"/>
      <c r="F846" s="2"/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23.25" hidden="false" customHeight="true" outlineLevel="0" collapsed="false">
      <c r="A847" s="3"/>
      <c r="B847" s="3"/>
      <c r="C847" s="3" t="str">
        <f aca="false">IF(B847="","",SUMIF(Отзывы!$C:$C,$B847,Отзывы!$F:$F)+ТехническийЛист!$C$1)</f>
        <v/>
      </c>
      <c r="D847" s="3" t="str">
        <f aca="false">IFERROR(__xludf.dummyfunction("IMPORTRANGE('ТехническийЛист'!$B$1,""список!D""&amp;'ТехническийЛист'!$A848)"),"")</f>
        <v/>
      </c>
      <c r="E847" s="3"/>
      <c r="F847" s="2"/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23.25" hidden="false" customHeight="true" outlineLevel="0" collapsed="false">
      <c r="A848" s="3"/>
      <c r="B848" s="3"/>
      <c r="C848" s="3" t="str">
        <f aca="false">IF(B848="","",SUMIF(Отзывы!$C:$C,$B848,Отзывы!$F:$F)+ТехническийЛист!$C$1)</f>
        <v/>
      </c>
      <c r="D848" s="3" t="str">
        <f aca="false">IFERROR(__xludf.dummyfunction("IMPORTRANGE('ТехническийЛист'!$B$1,""список!D""&amp;'ТехническийЛист'!$A849)"),"")</f>
        <v/>
      </c>
      <c r="E848" s="3"/>
      <c r="F848" s="2"/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23.25" hidden="false" customHeight="true" outlineLevel="0" collapsed="false">
      <c r="A849" s="3"/>
      <c r="B849" s="3"/>
      <c r="C849" s="3" t="str">
        <f aca="false">IF(B849="","",SUMIF(Отзывы!$C:$C,$B849,Отзывы!$F:$F)+ТехническийЛист!$C$1)</f>
        <v/>
      </c>
      <c r="D849" s="3" t="str">
        <f aca="false">IFERROR(__xludf.dummyfunction("IMPORTRANGE('ТехническийЛист'!$B$1,""список!D""&amp;'ТехническийЛист'!$A850)"),"")</f>
        <v/>
      </c>
      <c r="E849" s="3"/>
      <c r="F849" s="2"/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23.25" hidden="false" customHeight="true" outlineLevel="0" collapsed="false">
      <c r="A850" s="3"/>
      <c r="B850" s="3"/>
      <c r="C850" s="3" t="str">
        <f aca="false">IF(B850="","",SUMIF(Отзывы!$C:$C,$B850,Отзывы!$F:$F)+ТехническийЛист!$C$1)</f>
        <v/>
      </c>
      <c r="D850" s="3" t="str">
        <f aca="false">IFERROR(__xludf.dummyfunction("IMPORTRANGE('ТехническийЛист'!$B$1,""список!D""&amp;'ТехническийЛист'!$A851)"),"")</f>
        <v/>
      </c>
      <c r="E850" s="3"/>
      <c r="F850" s="2"/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23.25" hidden="false" customHeight="true" outlineLevel="0" collapsed="false">
      <c r="A851" s="3"/>
      <c r="B851" s="3"/>
      <c r="C851" s="3" t="str">
        <f aca="false">IF(B851="","",SUMIF(Отзывы!$C:$C,$B851,Отзывы!$F:$F)+ТехническийЛист!$C$1)</f>
        <v/>
      </c>
      <c r="D851" s="3" t="str">
        <f aca="false">IFERROR(__xludf.dummyfunction("IMPORTRANGE('ТехническийЛист'!$B$1,""список!D""&amp;'ТехническийЛист'!$A852)"),"")</f>
        <v/>
      </c>
      <c r="E851" s="3"/>
      <c r="F851" s="2"/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23.25" hidden="false" customHeight="true" outlineLevel="0" collapsed="false">
      <c r="A852" s="3"/>
      <c r="B852" s="3"/>
      <c r="C852" s="3" t="str">
        <f aca="false">IF(B852="","",SUMIF(Отзывы!$C:$C,$B852,Отзывы!$F:$F)+ТехническийЛист!$C$1)</f>
        <v/>
      </c>
      <c r="D852" s="3" t="str">
        <f aca="false">IFERROR(__xludf.dummyfunction("IMPORTRANGE('ТехническийЛист'!$B$1,""список!D""&amp;'ТехническийЛист'!$A853)"),"")</f>
        <v/>
      </c>
      <c r="E852" s="3"/>
      <c r="F852" s="2"/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23.25" hidden="false" customHeight="true" outlineLevel="0" collapsed="false">
      <c r="A853" s="3"/>
      <c r="B853" s="3"/>
      <c r="C853" s="3" t="str">
        <f aca="false">IF(B853="","",SUMIF(Отзывы!$C:$C,$B853,Отзывы!$F:$F)+ТехническийЛист!$C$1)</f>
        <v/>
      </c>
      <c r="D853" s="3" t="str">
        <f aca="false">IFERROR(__xludf.dummyfunction("IMPORTRANGE('ТехническийЛист'!$B$1,""список!D""&amp;'ТехническийЛист'!$A854)"),"")</f>
        <v/>
      </c>
      <c r="E853" s="3"/>
      <c r="F853" s="2"/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23.25" hidden="false" customHeight="true" outlineLevel="0" collapsed="false">
      <c r="A854" s="3"/>
      <c r="B854" s="3"/>
      <c r="C854" s="3" t="str">
        <f aca="false">IF(B854="","",SUMIF(Отзывы!$C:$C,$B854,Отзывы!$F:$F)+ТехническийЛист!$C$1)</f>
        <v/>
      </c>
      <c r="D854" s="3" t="str">
        <f aca="false">IFERROR(__xludf.dummyfunction("IMPORTRANGE('ТехническийЛист'!$B$1,""список!D""&amp;'ТехническийЛист'!$A855)"),"")</f>
        <v/>
      </c>
      <c r="E854" s="3"/>
      <c r="F854" s="2"/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23.25" hidden="false" customHeight="true" outlineLevel="0" collapsed="false">
      <c r="A855" s="3"/>
      <c r="B855" s="3"/>
      <c r="C855" s="3" t="str">
        <f aca="false">IF(B855="","",SUMIF(Отзывы!$C:$C,$B855,Отзывы!$F:$F)+ТехническийЛист!$C$1)</f>
        <v/>
      </c>
      <c r="D855" s="3" t="str">
        <f aca="false">IFERROR(__xludf.dummyfunction("IMPORTRANGE('ТехническийЛист'!$B$1,""список!D""&amp;'ТехническийЛист'!$A856)"),"")</f>
        <v/>
      </c>
      <c r="E855" s="3"/>
      <c r="F855" s="2"/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23.25" hidden="false" customHeight="true" outlineLevel="0" collapsed="false">
      <c r="A856" s="3"/>
      <c r="B856" s="3"/>
      <c r="C856" s="3" t="str">
        <f aca="false">IF(B856="","",SUMIF(Отзывы!$C:$C,$B856,Отзывы!$F:$F)+ТехническийЛист!$C$1)</f>
        <v/>
      </c>
      <c r="D856" s="3" t="str">
        <f aca="false">IFERROR(__xludf.dummyfunction("IMPORTRANGE('ТехническийЛист'!$B$1,""список!D""&amp;'ТехническийЛист'!$A857)"),"")</f>
        <v/>
      </c>
      <c r="E856" s="3"/>
      <c r="F856" s="2"/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23.25" hidden="false" customHeight="true" outlineLevel="0" collapsed="false">
      <c r="A857" s="3"/>
      <c r="B857" s="3"/>
      <c r="C857" s="3" t="str">
        <f aca="false">IF(B857="","",SUMIF(Отзывы!$C:$C,$B857,Отзывы!$F:$F)+ТехническийЛист!$C$1)</f>
        <v/>
      </c>
      <c r="D857" s="3" t="str">
        <f aca="false">IFERROR(__xludf.dummyfunction("IMPORTRANGE('ТехническийЛист'!$B$1,""список!D""&amp;'ТехническийЛист'!$A858)"),"")</f>
        <v/>
      </c>
      <c r="E857" s="3"/>
      <c r="F857" s="2"/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23.25" hidden="false" customHeight="true" outlineLevel="0" collapsed="false">
      <c r="A858" s="3"/>
      <c r="B858" s="3"/>
      <c r="C858" s="3" t="str">
        <f aca="false">IF(B858="","",SUMIF(Отзывы!$C:$C,$B858,Отзывы!$F:$F)+ТехническийЛист!$C$1)</f>
        <v/>
      </c>
      <c r="D858" s="3" t="str">
        <f aca="false">IFERROR(__xludf.dummyfunction("IMPORTRANGE('ТехническийЛист'!$B$1,""список!D""&amp;'ТехническийЛист'!$A859)"),"")</f>
        <v/>
      </c>
      <c r="E858" s="3"/>
      <c r="F858" s="2"/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23.25" hidden="false" customHeight="true" outlineLevel="0" collapsed="false">
      <c r="A859" s="3"/>
      <c r="B859" s="3"/>
      <c r="C859" s="3" t="str">
        <f aca="false">IF(B859="","",SUMIF(Отзывы!$C:$C,$B859,Отзывы!$F:$F)+ТехническийЛист!$C$1)</f>
        <v/>
      </c>
      <c r="D859" s="3" t="str">
        <f aca="false">IFERROR(__xludf.dummyfunction("IMPORTRANGE('ТехническийЛист'!$B$1,""список!D""&amp;'ТехническийЛист'!$A860)"),"")</f>
        <v/>
      </c>
      <c r="E859" s="3"/>
      <c r="F859" s="2"/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23.25" hidden="false" customHeight="true" outlineLevel="0" collapsed="false">
      <c r="A860" s="3"/>
      <c r="B860" s="3"/>
      <c r="C860" s="3" t="str">
        <f aca="false">IF(B860="","",SUMIF(Отзывы!$C:$C,$B860,Отзывы!$F:$F)+ТехническийЛист!$C$1)</f>
        <v/>
      </c>
      <c r="D860" s="3" t="str">
        <f aca="false">IFERROR(__xludf.dummyfunction("IMPORTRANGE('ТехническийЛист'!$B$1,""список!D""&amp;'ТехническийЛист'!$A861)"),"")</f>
        <v/>
      </c>
      <c r="E860" s="3"/>
      <c r="F860" s="2"/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23.25" hidden="false" customHeight="true" outlineLevel="0" collapsed="false">
      <c r="A861" s="3"/>
      <c r="B861" s="3"/>
      <c r="C861" s="3" t="str">
        <f aca="false">IF(B861="","",SUMIF(Отзывы!$C:$C,$B861,Отзывы!$F:$F)+ТехническийЛист!$C$1)</f>
        <v/>
      </c>
      <c r="D861" s="3" t="str">
        <f aca="false">IFERROR(__xludf.dummyfunction("IMPORTRANGE('ТехническийЛист'!$B$1,""список!D""&amp;'ТехническийЛист'!$A862)"),"")</f>
        <v/>
      </c>
      <c r="E861" s="3"/>
      <c r="F861" s="2"/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23.25" hidden="false" customHeight="true" outlineLevel="0" collapsed="false">
      <c r="A862" s="3"/>
      <c r="B862" s="3"/>
      <c r="C862" s="3" t="str">
        <f aca="false">IF(B862="","",SUMIF(Отзывы!$C:$C,$B862,Отзывы!$F:$F)+ТехническийЛист!$C$1)</f>
        <v/>
      </c>
      <c r="D862" s="3" t="str">
        <f aca="false">IFERROR(__xludf.dummyfunction("IMPORTRANGE('ТехническийЛист'!$B$1,""список!D""&amp;'ТехническийЛист'!$A863)"),"")</f>
        <v/>
      </c>
      <c r="E862" s="3"/>
      <c r="F862" s="2"/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23.25" hidden="false" customHeight="true" outlineLevel="0" collapsed="false">
      <c r="A863" s="3"/>
      <c r="B863" s="3"/>
      <c r="C863" s="3" t="str">
        <f aca="false">IF(B863="","",SUMIF(Отзывы!$C:$C,$B863,Отзывы!$F:$F)+ТехническийЛист!$C$1)</f>
        <v/>
      </c>
      <c r="D863" s="3" t="str">
        <f aca="false">IFERROR(__xludf.dummyfunction("IMPORTRANGE('ТехническийЛист'!$B$1,""список!D""&amp;'ТехническийЛист'!$A864)"),"")</f>
        <v/>
      </c>
      <c r="E863" s="3"/>
      <c r="F863" s="2"/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23.25" hidden="false" customHeight="true" outlineLevel="0" collapsed="false">
      <c r="A864" s="3"/>
      <c r="B864" s="3"/>
      <c r="C864" s="3" t="str">
        <f aca="false">IF(B864="","",SUMIF(Отзывы!$C:$C,$B864,Отзывы!$F:$F)+ТехническийЛист!$C$1)</f>
        <v/>
      </c>
      <c r="D864" s="3" t="str">
        <f aca="false">IFERROR(__xludf.dummyfunction("IMPORTRANGE('ТехническийЛист'!$B$1,""список!D""&amp;'ТехническийЛист'!$A865)"),"")</f>
        <v/>
      </c>
      <c r="E864" s="3"/>
      <c r="F864" s="2"/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23.25" hidden="false" customHeight="true" outlineLevel="0" collapsed="false">
      <c r="A865" s="3"/>
      <c r="B865" s="3"/>
      <c r="C865" s="3" t="str">
        <f aca="false">IF(B865="","",SUMIF(Отзывы!$C:$C,$B865,Отзывы!$F:$F)+ТехническийЛист!$C$1)</f>
        <v/>
      </c>
      <c r="D865" s="3" t="str">
        <f aca="false">IFERROR(__xludf.dummyfunction("IMPORTRANGE('ТехническийЛист'!$B$1,""список!D""&amp;'ТехническийЛист'!$A866)"),"")</f>
        <v/>
      </c>
      <c r="E865" s="3"/>
      <c r="F865" s="2"/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23.25" hidden="false" customHeight="true" outlineLevel="0" collapsed="false">
      <c r="A866" s="3"/>
      <c r="B866" s="3"/>
      <c r="C866" s="3" t="str">
        <f aca="false">IF(B866="","",SUMIF(Отзывы!$C:$C,$B866,Отзывы!$F:$F)+ТехническийЛист!$C$1)</f>
        <v/>
      </c>
      <c r="D866" s="3" t="str">
        <f aca="false">IFERROR(__xludf.dummyfunction("IMPORTRANGE('ТехническийЛист'!$B$1,""список!D""&amp;'ТехническийЛист'!$A867)"),"")</f>
        <v/>
      </c>
      <c r="E866" s="3"/>
      <c r="F866" s="2"/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23.25" hidden="false" customHeight="true" outlineLevel="0" collapsed="false">
      <c r="A867" s="3"/>
      <c r="B867" s="3"/>
      <c r="C867" s="3" t="str">
        <f aca="false">IF(B867="","",SUMIF(Отзывы!$C:$C,$B867,Отзывы!$F:$F)+ТехническийЛист!$C$1)</f>
        <v/>
      </c>
      <c r="D867" s="3" t="str">
        <f aca="false">IFERROR(__xludf.dummyfunction("IMPORTRANGE('ТехническийЛист'!$B$1,""список!D""&amp;'ТехническийЛист'!$A868)"),"")</f>
        <v/>
      </c>
      <c r="E867" s="3"/>
      <c r="F867" s="2"/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23.25" hidden="false" customHeight="true" outlineLevel="0" collapsed="false">
      <c r="A868" s="3"/>
      <c r="B868" s="3"/>
      <c r="C868" s="3" t="str">
        <f aca="false">IF(B868="","",SUMIF(Отзывы!$C:$C,$B868,Отзывы!$F:$F)+ТехническийЛист!$C$1)</f>
        <v/>
      </c>
      <c r="D868" s="3" t="str">
        <f aca="false">IFERROR(__xludf.dummyfunction("IMPORTRANGE('ТехническийЛист'!$B$1,""список!D""&amp;'ТехническийЛист'!$A869)"),"")</f>
        <v/>
      </c>
      <c r="E868" s="3"/>
      <c r="F868" s="2"/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23.25" hidden="false" customHeight="true" outlineLevel="0" collapsed="false">
      <c r="A869" s="3"/>
      <c r="B869" s="3"/>
      <c r="C869" s="3" t="str">
        <f aca="false">IF(B869="","",SUMIF(Отзывы!$C:$C,$B869,Отзывы!$F:$F)+ТехническийЛист!$C$1)</f>
        <v/>
      </c>
      <c r="D869" s="3" t="str">
        <f aca="false">IFERROR(__xludf.dummyfunction("IMPORTRANGE('ТехническийЛист'!$B$1,""список!D""&amp;'ТехническийЛист'!$A870)"),"")</f>
        <v/>
      </c>
      <c r="E869" s="3"/>
      <c r="F869" s="2"/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23.25" hidden="false" customHeight="true" outlineLevel="0" collapsed="false">
      <c r="A870" s="3"/>
      <c r="B870" s="3"/>
      <c r="C870" s="3" t="str">
        <f aca="false">IF(B870="","",SUMIF(Отзывы!$C:$C,$B870,Отзывы!$F:$F)+ТехническийЛист!$C$1)</f>
        <v/>
      </c>
      <c r="D870" s="3" t="str">
        <f aca="false">IFERROR(__xludf.dummyfunction("IMPORTRANGE('ТехническийЛист'!$B$1,""список!D""&amp;'ТехническийЛист'!$A871)"),"")</f>
        <v/>
      </c>
      <c r="E870" s="3"/>
      <c r="F870" s="2"/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23.25" hidden="false" customHeight="true" outlineLevel="0" collapsed="false">
      <c r="A871" s="3"/>
      <c r="B871" s="3"/>
      <c r="C871" s="3" t="str">
        <f aca="false">IF(B871="","",SUMIF(Отзывы!$C:$C,$B871,Отзывы!$F:$F)+ТехническийЛист!$C$1)</f>
        <v/>
      </c>
      <c r="D871" s="3" t="str">
        <f aca="false">IFERROR(__xludf.dummyfunction("IMPORTRANGE('ТехническийЛист'!$B$1,""список!D""&amp;'ТехническийЛист'!$A872)"),"")</f>
        <v/>
      </c>
      <c r="E871" s="3"/>
      <c r="F871" s="2"/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23.25" hidden="false" customHeight="true" outlineLevel="0" collapsed="false">
      <c r="A872" s="3"/>
      <c r="B872" s="3"/>
      <c r="C872" s="3" t="str">
        <f aca="false">IF(B872="","",SUMIF(Отзывы!$C:$C,$B872,Отзывы!$F:$F)+ТехническийЛист!$C$1)</f>
        <v/>
      </c>
      <c r="D872" s="3" t="str">
        <f aca="false">IFERROR(__xludf.dummyfunction("IMPORTRANGE('ТехническийЛист'!$B$1,""список!D""&amp;'ТехническийЛист'!$A873)"),"")</f>
        <v/>
      </c>
      <c r="E872" s="3"/>
      <c r="F872" s="2"/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23.25" hidden="false" customHeight="true" outlineLevel="0" collapsed="false">
      <c r="A873" s="3"/>
      <c r="B873" s="3"/>
      <c r="C873" s="3" t="str">
        <f aca="false">IF(B873="","",SUMIF(Отзывы!$C:$C,$B873,Отзывы!$F:$F)+ТехническийЛист!$C$1)</f>
        <v/>
      </c>
      <c r="D873" s="3" t="str">
        <f aca="false">IFERROR(__xludf.dummyfunction("IMPORTRANGE('ТехническийЛист'!$B$1,""список!D""&amp;'ТехническийЛист'!$A874)"),"")</f>
        <v/>
      </c>
      <c r="E873" s="3"/>
      <c r="F873" s="2"/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23.25" hidden="false" customHeight="true" outlineLevel="0" collapsed="false">
      <c r="A874" s="3"/>
      <c r="B874" s="3"/>
      <c r="C874" s="3" t="str">
        <f aca="false">IF(B874="","",SUMIF(Отзывы!$C:$C,$B874,Отзывы!$F:$F)+ТехническийЛист!$C$1)</f>
        <v/>
      </c>
      <c r="D874" s="3" t="str">
        <f aca="false">IFERROR(__xludf.dummyfunction("IMPORTRANGE('ТехническийЛист'!$B$1,""список!D""&amp;'ТехническийЛист'!$A875)"),"")</f>
        <v/>
      </c>
      <c r="E874" s="3"/>
      <c r="F874" s="2"/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23.25" hidden="false" customHeight="true" outlineLevel="0" collapsed="false">
      <c r="A875" s="3"/>
      <c r="B875" s="3"/>
      <c r="C875" s="3" t="str">
        <f aca="false">IF(B875="","",SUMIF(Отзывы!$C:$C,$B875,Отзывы!$F:$F)+ТехническийЛист!$C$1)</f>
        <v/>
      </c>
      <c r="D875" s="3" t="str">
        <f aca="false">IFERROR(__xludf.dummyfunction("IMPORTRANGE('ТехническийЛист'!$B$1,""список!D""&amp;'ТехническийЛист'!$A876)"),"")</f>
        <v/>
      </c>
      <c r="E875" s="3"/>
      <c r="F875" s="2"/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23.25" hidden="false" customHeight="true" outlineLevel="0" collapsed="false">
      <c r="A876" s="3"/>
      <c r="B876" s="3"/>
      <c r="C876" s="3" t="str">
        <f aca="false">IF(B876="","",SUMIF(Отзывы!$C:$C,$B876,Отзывы!$F:$F)+ТехническийЛист!$C$1)</f>
        <v/>
      </c>
      <c r="D876" s="3" t="str">
        <f aca="false">IFERROR(__xludf.dummyfunction("IMPORTRANGE('ТехническийЛист'!$B$1,""список!D""&amp;'ТехническийЛист'!$A877)"),"")</f>
        <v/>
      </c>
      <c r="E876" s="3"/>
      <c r="F876" s="2"/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23.25" hidden="false" customHeight="true" outlineLevel="0" collapsed="false">
      <c r="A877" s="3"/>
      <c r="B877" s="3"/>
      <c r="C877" s="3" t="str">
        <f aca="false">IF(B877="","",SUMIF(Отзывы!$C:$C,$B877,Отзывы!$F:$F)+ТехническийЛист!$C$1)</f>
        <v/>
      </c>
      <c r="D877" s="3" t="str">
        <f aca="false">IFERROR(__xludf.dummyfunction("IMPORTRANGE('ТехническийЛист'!$B$1,""список!D""&amp;'ТехническийЛист'!$A878)"),"")</f>
        <v/>
      </c>
      <c r="E877" s="3"/>
      <c r="F877" s="2"/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23.25" hidden="false" customHeight="true" outlineLevel="0" collapsed="false">
      <c r="A878" s="3"/>
      <c r="B878" s="3"/>
      <c r="C878" s="3" t="str">
        <f aca="false">IF(B878="","",SUMIF(Отзывы!$C:$C,$B878,Отзывы!$F:$F)+ТехническийЛист!$C$1)</f>
        <v/>
      </c>
      <c r="D878" s="3" t="str">
        <f aca="false">IFERROR(__xludf.dummyfunction("IMPORTRANGE('ТехническийЛист'!$B$1,""список!D""&amp;'ТехническийЛист'!$A879)"),"")</f>
        <v/>
      </c>
      <c r="E878" s="3"/>
      <c r="F878" s="2"/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23.25" hidden="false" customHeight="true" outlineLevel="0" collapsed="false">
      <c r="A879" s="3"/>
      <c r="B879" s="3"/>
      <c r="C879" s="3" t="str">
        <f aca="false">IF(B879="","",SUMIF(Отзывы!$C:$C,$B879,Отзывы!$F:$F)+ТехническийЛист!$C$1)</f>
        <v/>
      </c>
      <c r="D879" s="3" t="str">
        <f aca="false">IFERROR(__xludf.dummyfunction("IMPORTRANGE('ТехническийЛист'!$B$1,""список!D""&amp;'ТехническийЛист'!$A880)"),"")</f>
        <v/>
      </c>
      <c r="E879" s="3"/>
      <c r="F879" s="2"/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23.25" hidden="false" customHeight="true" outlineLevel="0" collapsed="false">
      <c r="A880" s="3"/>
      <c r="B880" s="3"/>
      <c r="C880" s="3" t="str">
        <f aca="false">IF(B880="","",SUMIF(Отзывы!$C:$C,$B880,Отзывы!$F:$F)+ТехническийЛист!$C$1)</f>
        <v/>
      </c>
      <c r="D880" s="3" t="str">
        <f aca="false">IFERROR(__xludf.dummyfunction("IMPORTRANGE('ТехническийЛист'!$B$1,""список!D""&amp;'ТехническийЛист'!$A881)"),"")</f>
        <v/>
      </c>
      <c r="E880" s="3"/>
      <c r="F880" s="2"/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23.25" hidden="false" customHeight="true" outlineLevel="0" collapsed="false">
      <c r="A881" s="3"/>
      <c r="B881" s="3"/>
      <c r="C881" s="3" t="str">
        <f aca="false">IF(B881="","",SUMIF(Отзывы!$C:$C,$B881,Отзывы!$F:$F)+ТехническийЛист!$C$1)</f>
        <v/>
      </c>
      <c r="D881" s="3" t="str">
        <f aca="false">IFERROR(__xludf.dummyfunction("IMPORTRANGE('ТехническийЛист'!$B$1,""список!D""&amp;'ТехническийЛист'!$A882)"),"")</f>
        <v/>
      </c>
      <c r="E881" s="3"/>
      <c r="F881" s="2"/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23.25" hidden="false" customHeight="true" outlineLevel="0" collapsed="false">
      <c r="A882" s="3"/>
      <c r="B882" s="3"/>
      <c r="C882" s="3" t="str">
        <f aca="false">IF(B882="","",SUMIF(Отзывы!$C:$C,$B882,Отзывы!$F:$F)+ТехническийЛист!$C$1)</f>
        <v/>
      </c>
      <c r="D882" s="3" t="str">
        <f aca="false">IFERROR(__xludf.dummyfunction("IMPORTRANGE('ТехническийЛист'!$B$1,""список!D""&amp;'ТехническийЛист'!$A883)"),"")</f>
        <v/>
      </c>
      <c r="E882" s="3"/>
      <c r="F882" s="2"/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23.25" hidden="false" customHeight="true" outlineLevel="0" collapsed="false">
      <c r="A883" s="3"/>
      <c r="B883" s="3"/>
      <c r="C883" s="3" t="str">
        <f aca="false">IF(B883="","",SUMIF(Отзывы!$C:$C,$B883,Отзывы!$F:$F)+ТехническийЛист!$C$1)</f>
        <v/>
      </c>
      <c r="D883" s="3" t="str">
        <f aca="false">IFERROR(__xludf.dummyfunction("IMPORTRANGE('ТехническийЛист'!$B$1,""список!D""&amp;'ТехническийЛист'!$A884)"),"")</f>
        <v/>
      </c>
      <c r="E883" s="3"/>
      <c r="F883" s="2"/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23.25" hidden="false" customHeight="true" outlineLevel="0" collapsed="false">
      <c r="A884" s="3"/>
      <c r="B884" s="3"/>
      <c r="C884" s="3" t="str">
        <f aca="false">IF(B884="","",SUMIF(Отзывы!$C:$C,$B884,Отзывы!$F:$F)+ТехническийЛист!$C$1)</f>
        <v/>
      </c>
      <c r="D884" s="3" t="str">
        <f aca="false">IFERROR(__xludf.dummyfunction("IMPORTRANGE('ТехническийЛист'!$B$1,""список!D""&amp;'ТехническийЛист'!$A885)"),"")</f>
        <v/>
      </c>
      <c r="E884" s="3"/>
      <c r="F884" s="2"/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23.25" hidden="false" customHeight="true" outlineLevel="0" collapsed="false">
      <c r="A885" s="3"/>
      <c r="B885" s="3"/>
      <c r="C885" s="3" t="str">
        <f aca="false">IF(B885="","",SUMIF(Отзывы!$C:$C,$B885,Отзывы!$F:$F)+ТехническийЛист!$C$1)</f>
        <v/>
      </c>
      <c r="D885" s="3" t="str">
        <f aca="false">IFERROR(__xludf.dummyfunction("IMPORTRANGE('ТехническийЛист'!$B$1,""список!D""&amp;'ТехническийЛист'!$A886)"),"")</f>
        <v/>
      </c>
      <c r="E885" s="3"/>
      <c r="F885" s="2"/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23.25" hidden="false" customHeight="true" outlineLevel="0" collapsed="false">
      <c r="A886" s="3"/>
      <c r="B886" s="3"/>
      <c r="C886" s="3" t="str">
        <f aca="false">IF(B886="","",SUMIF(Отзывы!$C:$C,$B886,Отзывы!$F:$F)+ТехническийЛист!$C$1)</f>
        <v/>
      </c>
      <c r="D886" s="3" t="str">
        <f aca="false">IFERROR(__xludf.dummyfunction("IMPORTRANGE('ТехническийЛист'!$B$1,""список!D""&amp;'ТехническийЛист'!$A887)"),"")</f>
        <v/>
      </c>
      <c r="E886" s="3"/>
      <c r="F886" s="2"/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23.25" hidden="false" customHeight="true" outlineLevel="0" collapsed="false">
      <c r="A887" s="3"/>
      <c r="B887" s="3"/>
      <c r="C887" s="3" t="str">
        <f aca="false">IF(B887="","",SUMIF(Отзывы!$C:$C,$B887,Отзывы!$F:$F)+ТехническийЛист!$C$1)</f>
        <v/>
      </c>
      <c r="D887" s="3" t="str">
        <f aca="false">IFERROR(__xludf.dummyfunction("IMPORTRANGE('ТехническийЛист'!$B$1,""список!D""&amp;'ТехническийЛист'!$A888)"),"")</f>
        <v/>
      </c>
      <c r="E887" s="3"/>
      <c r="F887" s="2"/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23.25" hidden="false" customHeight="true" outlineLevel="0" collapsed="false">
      <c r="A888" s="3"/>
      <c r="B888" s="3"/>
      <c r="C888" s="3" t="str">
        <f aca="false">IF(B888="","",SUMIF(Отзывы!$C:$C,$B888,Отзывы!$F:$F)+ТехническийЛист!$C$1)</f>
        <v/>
      </c>
      <c r="D888" s="3" t="str">
        <f aca="false">IFERROR(__xludf.dummyfunction("IMPORTRANGE('ТехническийЛист'!$B$1,""список!D""&amp;'ТехническийЛист'!$A889)"),"")</f>
        <v/>
      </c>
      <c r="E888" s="3"/>
      <c r="F888" s="2"/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23.25" hidden="false" customHeight="true" outlineLevel="0" collapsed="false">
      <c r="A889" s="3"/>
      <c r="B889" s="3"/>
      <c r="C889" s="3" t="str">
        <f aca="false">IF(B889="","",SUMIF(Отзывы!$C:$C,$B889,Отзывы!$F:$F)+ТехническийЛист!$C$1)</f>
        <v/>
      </c>
      <c r="D889" s="3" t="str">
        <f aca="false">IFERROR(__xludf.dummyfunction("IMPORTRANGE('ТехническийЛист'!$B$1,""список!D""&amp;'ТехническийЛист'!$A890)"),"")</f>
        <v/>
      </c>
      <c r="E889" s="3"/>
      <c r="F889" s="2"/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23.25" hidden="false" customHeight="true" outlineLevel="0" collapsed="false">
      <c r="A890" s="3"/>
      <c r="B890" s="3"/>
      <c r="C890" s="3" t="str">
        <f aca="false">IF(B890="","",SUMIF(Отзывы!$C:$C,$B890,Отзывы!$F:$F)+ТехническийЛист!$C$1)</f>
        <v/>
      </c>
      <c r="D890" s="3" t="str">
        <f aca="false">IFERROR(__xludf.dummyfunction("IMPORTRANGE('ТехническийЛист'!$B$1,""список!D""&amp;'ТехническийЛист'!$A891)"),"")</f>
        <v/>
      </c>
      <c r="E890" s="3"/>
      <c r="F890" s="2"/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23.25" hidden="false" customHeight="true" outlineLevel="0" collapsed="false">
      <c r="A891" s="3"/>
      <c r="B891" s="3"/>
      <c r="C891" s="3" t="str">
        <f aca="false">IF(B891="","",SUMIF(Отзывы!$C:$C,$B891,Отзывы!$F:$F)+ТехническийЛист!$C$1)</f>
        <v/>
      </c>
      <c r="D891" s="3" t="str">
        <f aca="false">IFERROR(__xludf.dummyfunction("IMPORTRANGE('ТехническийЛист'!$B$1,""список!D""&amp;'ТехническийЛист'!$A892)"),"")</f>
        <v/>
      </c>
      <c r="E891" s="3"/>
      <c r="F891" s="2"/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23.25" hidden="false" customHeight="true" outlineLevel="0" collapsed="false">
      <c r="A892" s="3"/>
      <c r="B892" s="3"/>
      <c r="C892" s="3" t="str">
        <f aca="false">IF(B892="","",SUMIF(Отзывы!$C:$C,$B892,Отзывы!$F:$F)+ТехническийЛист!$C$1)</f>
        <v/>
      </c>
      <c r="D892" s="3" t="str">
        <f aca="false">IFERROR(__xludf.dummyfunction("IMPORTRANGE('ТехническийЛист'!$B$1,""список!D""&amp;'ТехническийЛист'!$A893)"),"")</f>
        <v/>
      </c>
      <c r="E892" s="3"/>
      <c r="F892" s="2"/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23.25" hidden="false" customHeight="true" outlineLevel="0" collapsed="false">
      <c r="A893" s="3"/>
      <c r="B893" s="3"/>
      <c r="C893" s="3" t="str">
        <f aca="false">IF(B893="","",SUMIF(Отзывы!$C:$C,$B893,Отзывы!$F:$F)+ТехническийЛист!$C$1)</f>
        <v/>
      </c>
      <c r="D893" s="3" t="str">
        <f aca="false">IFERROR(__xludf.dummyfunction("IMPORTRANGE('ТехническийЛист'!$B$1,""список!D""&amp;'ТехническийЛист'!$A894)"),"")</f>
        <v/>
      </c>
      <c r="E893" s="3"/>
      <c r="F893" s="2"/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23.25" hidden="false" customHeight="true" outlineLevel="0" collapsed="false">
      <c r="A894" s="3"/>
      <c r="B894" s="3"/>
      <c r="C894" s="3" t="str">
        <f aca="false">IF(B894="","",SUMIF(Отзывы!$C:$C,$B894,Отзывы!$F:$F)+ТехническийЛист!$C$1)</f>
        <v/>
      </c>
      <c r="D894" s="3" t="str">
        <f aca="false">IFERROR(__xludf.dummyfunction("IMPORTRANGE('ТехническийЛист'!$B$1,""список!D""&amp;'ТехническийЛист'!$A895)"),"")</f>
        <v/>
      </c>
      <c r="E894" s="3"/>
      <c r="F894" s="2"/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23.25" hidden="false" customHeight="true" outlineLevel="0" collapsed="false">
      <c r="A895" s="3"/>
      <c r="B895" s="3"/>
      <c r="C895" s="3" t="str">
        <f aca="false">IF(B895="","",SUMIF(Отзывы!$C:$C,$B895,Отзывы!$F:$F)+ТехническийЛист!$C$1)</f>
        <v/>
      </c>
      <c r="D895" s="3" t="str">
        <f aca="false">IFERROR(__xludf.dummyfunction("IMPORTRANGE('ТехническийЛист'!$B$1,""список!D""&amp;'ТехническийЛист'!$A896)"),"")</f>
        <v/>
      </c>
      <c r="E895" s="3"/>
      <c r="F895" s="2"/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23.25" hidden="false" customHeight="true" outlineLevel="0" collapsed="false">
      <c r="A896" s="3"/>
      <c r="B896" s="3"/>
      <c r="C896" s="3" t="str">
        <f aca="false">IF(B896="","",SUMIF(Отзывы!$C:$C,$B896,Отзывы!$F:$F)+ТехническийЛист!$C$1)</f>
        <v/>
      </c>
      <c r="D896" s="3" t="str">
        <f aca="false">IFERROR(__xludf.dummyfunction("IMPORTRANGE('ТехническийЛист'!$B$1,""список!D""&amp;'ТехническийЛист'!$A897)"),"")</f>
        <v/>
      </c>
      <c r="E896" s="3"/>
      <c r="F896" s="2"/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23.25" hidden="false" customHeight="true" outlineLevel="0" collapsed="false">
      <c r="A897" s="3"/>
      <c r="B897" s="3"/>
      <c r="C897" s="3" t="str">
        <f aca="false">IF(B897="","",SUMIF(Отзывы!$C:$C,$B897,Отзывы!$F:$F)+ТехническийЛист!$C$1)</f>
        <v/>
      </c>
      <c r="D897" s="3" t="str">
        <f aca="false">IFERROR(__xludf.dummyfunction("IMPORTRANGE('ТехническийЛист'!$B$1,""список!D""&amp;'ТехническийЛист'!$A898)"),"")</f>
        <v/>
      </c>
      <c r="E897" s="3"/>
      <c r="F897" s="2"/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23.25" hidden="false" customHeight="true" outlineLevel="0" collapsed="false">
      <c r="A898" s="3"/>
      <c r="B898" s="3"/>
      <c r="C898" s="3" t="str">
        <f aca="false">IF(B898="","",SUMIF(Отзывы!$C:$C,$B898,Отзывы!$F:$F)+ТехническийЛист!$C$1)</f>
        <v/>
      </c>
      <c r="D898" s="3" t="str">
        <f aca="false">IFERROR(__xludf.dummyfunction("IMPORTRANGE('ТехническийЛист'!$B$1,""список!D""&amp;'ТехническийЛист'!$A899)"),"")</f>
        <v/>
      </c>
      <c r="E898" s="3"/>
      <c r="F898" s="2"/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23.25" hidden="false" customHeight="true" outlineLevel="0" collapsed="false">
      <c r="A899" s="3"/>
      <c r="B899" s="3"/>
      <c r="C899" s="3" t="str">
        <f aca="false">IF(B899="","",SUMIF(Отзывы!$C:$C,$B899,Отзывы!$F:$F)+ТехническийЛист!$C$1)</f>
        <v/>
      </c>
      <c r="D899" s="3" t="str">
        <f aca="false">IFERROR(__xludf.dummyfunction("IMPORTRANGE('ТехническийЛист'!$B$1,""список!D""&amp;'ТехническийЛист'!$A900)"),"")</f>
        <v/>
      </c>
      <c r="E899" s="3"/>
      <c r="F899" s="2"/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23.25" hidden="false" customHeight="true" outlineLevel="0" collapsed="false">
      <c r="A900" s="3"/>
      <c r="B900" s="3"/>
      <c r="C900" s="3" t="str">
        <f aca="false">IF(B900="","",SUMIF(Отзывы!$C:$C,$B900,Отзывы!$F:$F)+ТехническийЛист!$C$1)</f>
        <v/>
      </c>
      <c r="D900" s="3" t="str">
        <f aca="false">IFERROR(__xludf.dummyfunction("IMPORTRANGE('ТехническийЛист'!$B$1,""список!D""&amp;'ТехническийЛист'!$A901)"),"")</f>
        <v/>
      </c>
      <c r="E900" s="3"/>
      <c r="F900" s="2"/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23.25" hidden="false" customHeight="true" outlineLevel="0" collapsed="false">
      <c r="A901" s="3"/>
      <c r="B901" s="3"/>
      <c r="C901" s="3" t="str">
        <f aca="false">IF(B901="","",SUMIF(Отзывы!$C:$C,$B901,Отзывы!$F:$F)+ТехническийЛист!$C$1)</f>
        <v/>
      </c>
      <c r="D901" s="3" t="str">
        <f aca="false">IFERROR(__xludf.dummyfunction("IMPORTRANGE('ТехническийЛист'!$B$1,""список!D""&amp;'ТехническийЛист'!$A902)"),"")</f>
        <v/>
      </c>
      <c r="E901" s="3"/>
      <c r="F901" s="2"/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23.25" hidden="false" customHeight="true" outlineLevel="0" collapsed="false">
      <c r="A902" s="3"/>
      <c r="B902" s="3"/>
      <c r="C902" s="3" t="str">
        <f aca="false">IF(B902="","",SUMIF(Отзывы!$C:$C,$B902,Отзывы!$F:$F)+ТехническийЛист!$C$1)</f>
        <v/>
      </c>
      <c r="D902" s="3" t="str">
        <f aca="false">IFERROR(__xludf.dummyfunction("IMPORTRANGE('ТехническийЛист'!$B$1,""список!D""&amp;'ТехническийЛист'!$A903)"),"")</f>
        <v/>
      </c>
      <c r="E902" s="3"/>
      <c r="F902" s="2"/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23.25" hidden="false" customHeight="true" outlineLevel="0" collapsed="false">
      <c r="A903" s="3"/>
      <c r="B903" s="3"/>
      <c r="C903" s="3" t="str">
        <f aca="false">IF(B903="","",SUMIF(Отзывы!$C:$C,$B903,Отзывы!$F:$F)+ТехническийЛист!$C$1)</f>
        <v/>
      </c>
      <c r="D903" s="3" t="str">
        <f aca="false">IFERROR(__xludf.dummyfunction("IMPORTRANGE('ТехническийЛист'!$B$1,""список!D""&amp;'ТехническийЛист'!$A904)"),"")</f>
        <v/>
      </c>
      <c r="E903" s="3"/>
      <c r="F903" s="2"/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23.25" hidden="false" customHeight="true" outlineLevel="0" collapsed="false">
      <c r="A904" s="3"/>
      <c r="B904" s="3"/>
      <c r="C904" s="3" t="str">
        <f aca="false">IF(B904="","",SUMIF(Отзывы!$C:$C,$B904,Отзывы!$F:$F)+ТехническийЛист!$C$1)</f>
        <v/>
      </c>
      <c r="D904" s="3" t="str">
        <f aca="false">IFERROR(__xludf.dummyfunction("IMPORTRANGE('ТехническийЛист'!$B$1,""список!D""&amp;'ТехническийЛист'!$A905)"),"")</f>
        <v/>
      </c>
      <c r="E904" s="3"/>
      <c r="F904" s="2"/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23.25" hidden="false" customHeight="true" outlineLevel="0" collapsed="false">
      <c r="A905" s="3"/>
      <c r="B905" s="3"/>
      <c r="C905" s="3" t="str">
        <f aca="false">IF(B905="","",SUMIF(Отзывы!$C:$C,$B905,Отзывы!$F:$F)+ТехническийЛист!$C$1)</f>
        <v/>
      </c>
      <c r="D905" s="3" t="str">
        <f aca="false">IFERROR(__xludf.dummyfunction("IMPORTRANGE('ТехническийЛист'!$B$1,""список!D""&amp;'ТехническийЛист'!$A906)"),"")</f>
        <v/>
      </c>
      <c r="E905" s="3"/>
      <c r="F905" s="2"/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23.25" hidden="false" customHeight="true" outlineLevel="0" collapsed="false">
      <c r="A906" s="3"/>
      <c r="B906" s="3"/>
      <c r="C906" s="3" t="str">
        <f aca="false">IF(B906="","",SUMIF(Отзывы!$C:$C,$B906,Отзывы!$F:$F)+ТехническийЛист!$C$1)</f>
        <v/>
      </c>
      <c r="D906" s="3" t="str">
        <f aca="false">IFERROR(__xludf.dummyfunction("IMPORTRANGE('ТехническийЛист'!$B$1,""список!D""&amp;'ТехническийЛист'!$A907)"),"")</f>
        <v/>
      </c>
      <c r="E906" s="3"/>
      <c r="F906" s="2"/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23.25" hidden="false" customHeight="true" outlineLevel="0" collapsed="false">
      <c r="A907" s="3"/>
      <c r="B907" s="3"/>
      <c r="C907" s="3" t="str">
        <f aca="false">IF(B907="","",SUMIF(Отзывы!$C:$C,$B907,Отзывы!$F:$F)+ТехническийЛист!$C$1)</f>
        <v/>
      </c>
      <c r="D907" s="3" t="str">
        <f aca="false">IFERROR(__xludf.dummyfunction("IMPORTRANGE('ТехническийЛист'!$B$1,""список!D""&amp;'ТехническийЛист'!$A908)"),"")</f>
        <v/>
      </c>
      <c r="E907" s="3"/>
      <c r="F907" s="2"/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23.25" hidden="false" customHeight="true" outlineLevel="0" collapsed="false">
      <c r="A908" s="3"/>
      <c r="B908" s="3"/>
      <c r="C908" s="3" t="str">
        <f aca="false">IF(B908="","",SUMIF(Отзывы!$C:$C,$B908,Отзывы!$F:$F)+ТехническийЛист!$C$1)</f>
        <v/>
      </c>
      <c r="D908" s="3" t="str">
        <f aca="false">IFERROR(__xludf.dummyfunction("IMPORTRANGE('ТехническийЛист'!$B$1,""список!D""&amp;'ТехническийЛист'!$A909)"),"")</f>
        <v/>
      </c>
      <c r="E908" s="3"/>
      <c r="F908" s="2"/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23.25" hidden="false" customHeight="true" outlineLevel="0" collapsed="false">
      <c r="A909" s="3"/>
      <c r="B909" s="3"/>
      <c r="C909" s="3" t="str">
        <f aca="false">IF(B909="","",SUMIF(Отзывы!$C:$C,$B909,Отзывы!$F:$F)+ТехническийЛист!$C$1)</f>
        <v/>
      </c>
      <c r="D909" s="3" t="str">
        <f aca="false">IFERROR(__xludf.dummyfunction("IMPORTRANGE('ТехническийЛист'!$B$1,""список!D""&amp;'ТехническийЛист'!$A910)"),"")</f>
        <v/>
      </c>
      <c r="E909" s="3"/>
      <c r="F909" s="2"/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23.25" hidden="false" customHeight="true" outlineLevel="0" collapsed="false">
      <c r="A910" s="3"/>
      <c r="B910" s="3"/>
      <c r="C910" s="3" t="str">
        <f aca="false">IF(B910="","",SUMIF(Отзывы!$C:$C,$B910,Отзывы!$F:$F)+ТехническийЛист!$C$1)</f>
        <v/>
      </c>
      <c r="D910" s="3" t="str">
        <f aca="false">IFERROR(__xludf.dummyfunction("IMPORTRANGE('ТехническийЛист'!$B$1,""список!D""&amp;'ТехническийЛист'!$A911)"),"")</f>
        <v/>
      </c>
      <c r="E910" s="3"/>
      <c r="F910" s="2"/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23.25" hidden="false" customHeight="true" outlineLevel="0" collapsed="false">
      <c r="A911" s="3"/>
      <c r="B911" s="3"/>
      <c r="C911" s="3" t="str">
        <f aca="false">IF(B911="","",SUMIF(Отзывы!$C:$C,$B911,Отзывы!$F:$F)+ТехническийЛист!$C$1)</f>
        <v/>
      </c>
      <c r="D911" s="3" t="str">
        <f aca="false">IFERROR(__xludf.dummyfunction("IMPORTRANGE('ТехническийЛист'!$B$1,""список!D""&amp;'ТехническийЛист'!$A912)"),"")</f>
        <v/>
      </c>
      <c r="E911" s="3"/>
      <c r="F911" s="2"/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23.25" hidden="false" customHeight="true" outlineLevel="0" collapsed="false">
      <c r="A912" s="3"/>
      <c r="B912" s="3"/>
      <c r="C912" s="3" t="str">
        <f aca="false">IF(B912="","",SUMIF(Отзывы!$C:$C,$B912,Отзывы!$F:$F)+ТехническийЛист!$C$1)</f>
        <v/>
      </c>
      <c r="D912" s="3" t="str">
        <f aca="false">IFERROR(__xludf.dummyfunction("IMPORTRANGE('ТехническийЛист'!$B$1,""список!D""&amp;'ТехническийЛист'!$A913)"),"")</f>
        <v/>
      </c>
      <c r="E912" s="3"/>
      <c r="F912" s="2"/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23.25" hidden="false" customHeight="true" outlineLevel="0" collapsed="false">
      <c r="A913" s="3"/>
      <c r="B913" s="3"/>
      <c r="C913" s="3" t="str">
        <f aca="false">IF(B913="","",SUMIF(Отзывы!$C:$C,$B913,Отзывы!$F:$F)+ТехническийЛист!$C$1)</f>
        <v/>
      </c>
      <c r="D913" s="3" t="str">
        <f aca="false">IFERROR(__xludf.dummyfunction("IMPORTRANGE('ТехническийЛист'!$B$1,""список!D""&amp;'ТехническийЛист'!$A914)"),"")</f>
        <v/>
      </c>
      <c r="E913" s="3"/>
      <c r="F913" s="2"/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23.25" hidden="false" customHeight="true" outlineLevel="0" collapsed="false">
      <c r="A914" s="3"/>
      <c r="B914" s="3"/>
      <c r="C914" s="3" t="str">
        <f aca="false">IF(B914="","",SUMIF(Отзывы!$C:$C,$B914,Отзывы!$F:$F)+ТехническийЛист!$C$1)</f>
        <v/>
      </c>
      <c r="D914" s="3" t="str">
        <f aca="false">IFERROR(__xludf.dummyfunction("IMPORTRANGE('ТехническийЛист'!$B$1,""список!D""&amp;'ТехническийЛист'!$A915)"),"")</f>
        <v/>
      </c>
      <c r="E914" s="3"/>
      <c r="F914" s="2"/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23.25" hidden="false" customHeight="true" outlineLevel="0" collapsed="false">
      <c r="A915" s="3"/>
      <c r="B915" s="3"/>
      <c r="C915" s="3" t="str">
        <f aca="false">IF(B915="","",SUMIF(Отзывы!$C:$C,$B915,Отзывы!$F:$F)+ТехническийЛист!$C$1)</f>
        <v/>
      </c>
      <c r="D915" s="3" t="str">
        <f aca="false">IFERROR(__xludf.dummyfunction("IMPORTRANGE('ТехническийЛист'!$B$1,""список!D""&amp;'ТехническийЛист'!$A916)"),"")</f>
        <v/>
      </c>
      <c r="E915" s="3"/>
      <c r="F915" s="2"/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23.25" hidden="false" customHeight="true" outlineLevel="0" collapsed="false">
      <c r="A916" s="3"/>
      <c r="B916" s="3"/>
      <c r="C916" s="3" t="str">
        <f aca="false">IF(B916="","",SUMIF(Отзывы!$C:$C,$B916,Отзывы!$F:$F)+ТехническийЛист!$C$1)</f>
        <v/>
      </c>
      <c r="D916" s="3" t="str">
        <f aca="false">IFERROR(__xludf.dummyfunction("IMPORTRANGE('ТехническийЛист'!$B$1,""список!D""&amp;'ТехническийЛист'!$A917)"),"")</f>
        <v/>
      </c>
      <c r="E916" s="3"/>
      <c r="F916" s="2"/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23.25" hidden="false" customHeight="true" outlineLevel="0" collapsed="false">
      <c r="A917" s="3"/>
      <c r="B917" s="3"/>
      <c r="C917" s="3" t="str">
        <f aca="false">IF(B917="","",SUMIF(Отзывы!$C:$C,$B917,Отзывы!$F:$F)+ТехническийЛист!$C$1)</f>
        <v/>
      </c>
      <c r="D917" s="3" t="str">
        <f aca="false">IFERROR(__xludf.dummyfunction("IMPORTRANGE('ТехническийЛист'!$B$1,""список!D""&amp;'ТехническийЛист'!$A918)"),"")</f>
        <v/>
      </c>
      <c r="E917" s="3"/>
      <c r="F917" s="2"/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23.25" hidden="false" customHeight="true" outlineLevel="0" collapsed="false">
      <c r="A918" s="3"/>
      <c r="B918" s="3"/>
      <c r="C918" s="3" t="str">
        <f aca="false">IF(B918="","",SUMIF(Отзывы!$C:$C,$B918,Отзывы!$F:$F)+ТехническийЛист!$C$1)</f>
        <v/>
      </c>
      <c r="D918" s="3" t="str">
        <f aca="false">IFERROR(__xludf.dummyfunction("IMPORTRANGE('ТехническийЛист'!$B$1,""список!D""&amp;'ТехническийЛист'!$A919)"),"")</f>
        <v/>
      </c>
      <c r="E918" s="3"/>
      <c r="F918" s="2"/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23.25" hidden="false" customHeight="true" outlineLevel="0" collapsed="false">
      <c r="A919" s="3"/>
      <c r="B919" s="3"/>
      <c r="C919" s="3" t="str">
        <f aca="false">IF(B919="","",SUMIF(Отзывы!$C:$C,$B919,Отзывы!$F:$F)+ТехническийЛист!$C$1)</f>
        <v/>
      </c>
      <c r="D919" s="3" t="str">
        <f aca="false">IFERROR(__xludf.dummyfunction("IMPORTRANGE('ТехническийЛист'!$B$1,""список!D""&amp;'ТехническийЛист'!$A920)"),"")</f>
        <v/>
      </c>
      <c r="E919" s="3"/>
      <c r="F919" s="2"/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23.25" hidden="false" customHeight="true" outlineLevel="0" collapsed="false">
      <c r="A920" s="3"/>
      <c r="B920" s="3"/>
      <c r="C920" s="3" t="str">
        <f aca="false">IF(B920="","",SUMIF(Отзывы!$C:$C,$B920,Отзывы!$F:$F)+ТехническийЛист!$C$1)</f>
        <v/>
      </c>
      <c r="D920" s="3" t="str">
        <f aca="false">IFERROR(__xludf.dummyfunction("IMPORTRANGE('ТехническийЛист'!$B$1,""список!D""&amp;'ТехническийЛист'!$A921)"),"")</f>
        <v/>
      </c>
      <c r="E920" s="3"/>
      <c r="F920" s="2"/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23.25" hidden="false" customHeight="true" outlineLevel="0" collapsed="false">
      <c r="A921" s="3"/>
      <c r="B921" s="3"/>
      <c r="C921" s="3" t="str">
        <f aca="false">IF(B921="","",SUMIF(Отзывы!$C:$C,$B921,Отзывы!$F:$F)+ТехническийЛист!$C$1)</f>
        <v/>
      </c>
      <c r="D921" s="3" t="str">
        <f aca="false">IFERROR(__xludf.dummyfunction("IMPORTRANGE('ТехническийЛист'!$B$1,""список!D""&amp;'ТехническийЛист'!$A922)"),"")</f>
        <v/>
      </c>
      <c r="E921" s="3"/>
      <c r="F921" s="2"/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23.25" hidden="false" customHeight="true" outlineLevel="0" collapsed="false">
      <c r="A922" s="3"/>
      <c r="B922" s="3"/>
      <c r="C922" s="3" t="str">
        <f aca="false">IF(B922="","",SUMIF(Отзывы!$C:$C,$B922,Отзывы!$F:$F)+ТехническийЛист!$C$1)</f>
        <v/>
      </c>
      <c r="D922" s="3" t="str">
        <f aca="false">IFERROR(__xludf.dummyfunction("IMPORTRANGE('ТехническийЛист'!$B$1,""список!D""&amp;'ТехническийЛист'!$A923)"),"")</f>
        <v/>
      </c>
      <c r="E922" s="3"/>
      <c r="F922" s="2"/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23.25" hidden="false" customHeight="true" outlineLevel="0" collapsed="false">
      <c r="A923" s="3"/>
      <c r="B923" s="3"/>
      <c r="C923" s="3" t="str">
        <f aca="false">IF(B923="","",SUMIF(Отзывы!$C:$C,$B923,Отзывы!$F:$F)+ТехническийЛист!$C$1)</f>
        <v/>
      </c>
      <c r="D923" s="3" t="str">
        <f aca="false">IFERROR(__xludf.dummyfunction("IMPORTRANGE('ТехническийЛист'!$B$1,""список!D""&amp;'ТехническийЛист'!$A924)"),"")</f>
        <v/>
      </c>
      <c r="E923" s="3"/>
      <c r="F923" s="2"/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23.25" hidden="false" customHeight="true" outlineLevel="0" collapsed="false">
      <c r="A924" s="3"/>
      <c r="B924" s="3"/>
      <c r="C924" s="3" t="str">
        <f aca="false">IF(B924="","",SUMIF(Отзывы!$C:$C,$B924,Отзывы!$F:$F)+ТехническийЛист!$C$1)</f>
        <v/>
      </c>
      <c r="D924" s="3" t="str">
        <f aca="false">IFERROR(__xludf.dummyfunction("IMPORTRANGE('ТехническийЛист'!$B$1,""список!D""&amp;'ТехническийЛист'!$A925)"),"")</f>
        <v/>
      </c>
      <c r="E924" s="3"/>
      <c r="F924" s="2"/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23.25" hidden="false" customHeight="true" outlineLevel="0" collapsed="false">
      <c r="A925" s="3"/>
      <c r="B925" s="3"/>
      <c r="C925" s="3" t="str">
        <f aca="false">IF(B925="","",SUMIF(Отзывы!$C:$C,$B925,Отзывы!$F:$F)+ТехническийЛист!$C$1)</f>
        <v/>
      </c>
      <c r="D925" s="3" t="str">
        <f aca="false">IFERROR(__xludf.dummyfunction("IMPORTRANGE('ТехническийЛист'!$B$1,""список!D""&amp;'ТехническийЛист'!$A926)"),"")</f>
        <v/>
      </c>
      <c r="E925" s="3"/>
      <c r="F925" s="2"/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23.25" hidden="false" customHeight="true" outlineLevel="0" collapsed="false">
      <c r="A926" s="3"/>
      <c r="B926" s="3"/>
      <c r="C926" s="3" t="str">
        <f aca="false">IF(B926="","",SUMIF(Отзывы!$C:$C,$B926,Отзывы!$F:$F)+ТехническийЛист!$C$1)</f>
        <v/>
      </c>
      <c r="D926" s="3" t="str">
        <f aca="false">IFERROR(__xludf.dummyfunction("IMPORTRANGE('ТехническийЛист'!$B$1,""список!D""&amp;'ТехническийЛист'!$A927)"),"")</f>
        <v/>
      </c>
      <c r="E926" s="3"/>
      <c r="F926" s="2"/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23.25" hidden="false" customHeight="true" outlineLevel="0" collapsed="false">
      <c r="A927" s="3"/>
      <c r="B927" s="3"/>
      <c r="C927" s="3" t="str">
        <f aca="false">IF(B927="","",SUMIF(Отзывы!$C:$C,$B927,Отзывы!$F:$F)+ТехническийЛист!$C$1)</f>
        <v/>
      </c>
      <c r="D927" s="3" t="str">
        <f aca="false">IFERROR(__xludf.dummyfunction("IMPORTRANGE('ТехническийЛист'!$B$1,""список!D""&amp;'ТехническийЛист'!$A928)"),"")</f>
        <v/>
      </c>
      <c r="E927" s="3"/>
      <c r="F927" s="2"/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23.25" hidden="false" customHeight="true" outlineLevel="0" collapsed="false">
      <c r="A928" s="3"/>
      <c r="B928" s="3"/>
      <c r="C928" s="3" t="str">
        <f aca="false">IF(B928="","",SUMIF(Отзывы!$C:$C,$B928,Отзывы!$F:$F)+ТехническийЛист!$C$1)</f>
        <v/>
      </c>
      <c r="D928" s="3" t="str">
        <f aca="false">IFERROR(__xludf.dummyfunction("IMPORTRANGE('ТехническийЛист'!$B$1,""список!D""&amp;'ТехническийЛист'!$A929)"),"")</f>
        <v/>
      </c>
      <c r="E928" s="3"/>
      <c r="F928" s="2"/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23.25" hidden="false" customHeight="true" outlineLevel="0" collapsed="false">
      <c r="A929" s="3"/>
      <c r="B929" s="3"/>
      <c r="C929" s="3" t="str">
        <f aca="false">IF(B929="","",SUMIF(Отзывы!$C:$C,$B929,Отзывы!$F:$F)+ТехническийЛист!$C$1)</f>
        <v/>
      </c>
      <c r="D929" s="3" t="str">
        <f aca="false">IFERROR(__xludf.dummyfunction("IMPORTRANGE('ТехническийЛист'!$B$1,""список!D""&amp;'ТехническийЛист'!$A930)"),"")</f>
        <v/>
      </c>
      <c r="E929" s="3"/>
      <c r="F929" s="2"/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23.25" hidden="false" customHeight="true" outlineLevel="0" collapsed="false">
      <c r="A930" s="3"/>
      <c r="B930" s="3"/>
      <c r="C930" s="3" t="str">
        <f aca="false">IF(B930="","",SUMIF(Отзывы!$C:$C,$B930,Отзывы!$F:$F)+ТехническийЛист!$C$1)</f>
        <v/>
      </c>
      <c r="D930" s="3" t="str">
        <f aca="false">IFERROR(__xludf.dummyfunction("IMPORTRANGE('ТехническийЛист'!$B$1,""список!D""&amp;'ТехническийЛист'!$A931)"),"")</f>
        <v/>
      </c>
      <c r="E930" s="3"/>
      <c r="F930" s="2"/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23.25" hidden="false" customHeight="true" outlineLevel="0" collapsed="false">
      <c r="A931" s="3"/>
      <c r="B931" s="3"/>
      <c r="C931" s="3" t="str">
        <f aca="false">IF(B931="","",SUMIF(Отзывы!$C:$C,$B931,Отзывы!$F:$F)+ТехническийЛист!$C$1)</f>
        <v/>
      </c>
      <c r="D931" s="3" t="str">
        <f aca="false">IFERROR(__xludf.dummyfunction("IMPORTRANGE('ТехническийЛист'!$B$1,""список!D""&amp;'ТехническийЛист'!$A932)"),"")</f>
        <v/>
      </c>
      <c r="E931" s="3"/>
      <c r="F931" s="2"/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23.25" hidden="false" customHeight="true" outlineLevel="0" collapsed="false">
      <c r="A932" s="3"/>
      <c r="B932" s="3"/>
      <c r="C932" s="3" t="str">
        <f aca="false">IF(B932="","",SUMIF(Отзывы!$C:$C,$B932,Отзывы!$F:$F)+ТехническийЛист!$C$1)</f>
        <v/>
      </c>
      <c r="D932" s="3" t="str">
        <f aca="false">IFERROR(__xludf.dummyfunction("IMPORTRANGE('ТехническийЛист'!$B$1,""список!D""&amp;'ТехническийЛист'!$A933)"),"")</f>
        <v/>
      </c>
      <c r="E932" s="3"/>
      <c r="F932" s="2"/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23.25" hidden="false" customHeight="true" outlineLevel="0" collapsed="false">
      <c r="A933" s="3"/>
      <c r="B933" s="3"/>
      <c r="C933" s="3" t="str">
        <f aca="false">IF(B933="","",SUMIF(Отзывы!$C:$C,$B933,Отзывы!$F:$F)+ТехническийЛист!$C$1)</f>
        <v/>
      </c>
      <c r="D933" s="3" t="str">
        <f aca="false">IFERROR(__xludf.dummyfunction("IMPORTRANGE('ТехническийЛист'!$B$1,""список!D""&amp;'ТехническийЛист'!$A934)"),"")</f>
        <v/>
      </c>
      <c r="E933" s="3"/>
      <c r="F933" s="2"/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23.25" hidden="false" customHeight="true" outlineLevel="0" collapsed="false">
      <c r="A934" s="3"/>
      <c r="B934" s="3"/>
      <c r="C934" s="3" t="str">
        <f aca="false">IF(B934="","",SUMIF(Отзывы!$C:$C,$B934,Отзывы!$F:$F)+ТехническийЛист!$C$1)</f>
        <v/>
      </c>
      <c r="D934" s="3" t="str">
        <f aca="false">IFERROR(__xludf.dummyfunction("IMPORTRANGE('ТехническийЛист'!$B$1,""список!D""&amp;'ТехническийЛист'!$A935)"),"")</f>
        <v/>
      </c>
      <c r="E934" s="3"/>
      <c r="F934" s="2"/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23.25" hidden="false" customHeight="true" outlineLevel="0" collapsed="false">
      <c r="A935" s="3"/>
      <c r="B935" s="3"/>
      <c r="C935" s="3" t="str">
        <f aca="false">IF(B935="","",SUMIF(Отзывы!$C:$C,$B935,Отзывы!$F:$F)+ТехническийЛист!$C$1)</f>
        <v/>
      </c>
      <c r="D935" s="3" t="str">
        <f aca="false">IFERROR(__xludf.dummyfunction("IMPORTRANGE('ТехническийЛист'!$B$1,""список!D""&amp;'ТехническийЛист'!$A936)"),"")</f>
        <v/>
      </c>
      <c r="E935" s="3"/>
      <c r="F935" s="2"/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23.25" hidden="false" customHeight="true" outlineLevel="0" collapsed="false">
      <c r="A936" s="3"/>
      <c r="B936" s="3"/>
      <c r="C936" s="3" t="str">
        <f aca="false">IF(B936="","",SUMIF(Отзывы!$C:$C,$B936,Отзывы!$F:$F)+ТехническийЛист!$C$1)</f>
        <v/>
      </c>
      <c r="D936" s="3" t="str">
        <f aca="false">IFERROR(__xludf.dummyfunction("IMPORTRANGE('ТехническийЛист'!$B$1,""список!D""&amp;'ТехническийЛист'!$A937)"),"")</f>
        <v/>
      </c>
      <c r="E936" s="3"/>
      <c r="F936" s="2"/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23.25" hidden="false" customHeight="true" outlineLevel="0" collapsed="false">
      <c r="A937" s="3"/>
      <c r="B937" s="3"/>
      <c r="C937" s="3" t="str">
        <f aca="false">IF(B937="","",SUMIF(Отзывы!$C:$C,$B937,Отзывы!$F:$F)+ТехническийЛист!$C$1)</f>
        <v/>
      </c>
      <c r="D937" s="3" t="str">
        <f aca="false">IFERROR(__xludf.dummyfunction("IMPORTRANGE('ТехническийЛист'!$B$1,""список!D""&amp;'ТехническийЛист'!$A938)"),"")</f>
        <v/>
      </c>
      <c r="E937" s="3"/>
      <c r="F937" s="2"/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23.25" hidden="false" customHeight="true" outlineLevel="0" collapsed="false">
      <c r="A938" s="3"/>
      <c r="B938" s="3"/>
      <c r="C938" s="3" t="str">
        <f aca="false">IF(B938="","",SUMIF(Отзывы!$C:$C,$B938,Отзывы!$F:$F)+ТехническийЛист!$C$1)</f>
        <v/>
      </c>
      <c r="D938" s="3" t="str">
        <f aca="false">IFERROR(__xludf.dummyfunction("IMPORTRANGE('ТехническийЛист'!$B$1,""список!D""&amp;'ТехническийЛист'!$A939)"),"")</f>
        <v/>
      </c>
      <c r="E938" s="3"/>
      <c r="F938" s="2"/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23.25" hidden="false" customHeight="true" outlineLevel="0" collapsed="false">
      <c r="A939" s="3"/>
      <c r="B939" s="3"/>
      <c r="C939" s="3" t="str">
        <f aca="false">IF(B939="","",SUMIF(Отзывы!$C:$C,$B939,Отзывы!$F:$F)+ТехническийЛист!$C$1)</f>
        <v/>
      </c>
      <c r="D939" s="3" t="str">
        <f aca="false">IFERROR(__xludf.dummyfunction("IMPORTRANGE('ТехническийЛист'!$B$1,""список!D""&amp;'ТехническийЛист'!$A940)"),"")</f>
        <v/>
      </c>
      <c r="E939" s="3"/>
      <c r="F939" s="2"/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23.25" hidden="false" customHeight="true" outlineLevel="0" collapsed="false">
      <c r="A940" s="3"/>
      <c r="B940" s="3"/>
      <c r="C940" s="3" t="str">
        <f aca="false">IF(B940="","",SUMIF(Отзывы!$C:$C,$B940,Отзывы!$F:$F)+ТехническийЛист!$C$1)</f>
        <v/>
      </c>
      <c r="D940" s="3" t="str">
        <f aca="false">IFERROR(__xludf.dummyfunction("IMPORTRANGE('ТехническийЛист'!$B$1,""список!D""&amp;'ТехническийЛист'!$A941)"),"")</f>
        <v/>
      </c>
      <c r="E940" s="3"/>
      <c r="F940" s="2"/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23.25" hidden="false" customHeight="true" outlineLevel="0" collapsed="false">
      <c r="A941" s="3"/>
      <c r="B941" s="3"/>
      <c r="C941" s="3" t="str">
        <f aca="false">IF(B941="","",SUMIF(Отзывы!$C:$C,$B941,Отзывы!$F:$F)+ТехническийЛист!$C$1)</f>
        <v/>
      </c>
      <c r="D941" s="3" t="str">
        <f aca="false">IFERROR(__xludf.dummyfunction("IMPORTRANGE('ТехническийЛист'!$B$1,""список!D""&amp;'ТехническийЛист'!$A942)"),"")</f>
        <v/>
      </c>
      <c r="E941" s="3"/>
      <c r="F941" s="2"/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23.25" hidden="false" customHeight="true" outlineLevel="0" collapsed="false">
      <c r="A942" s="3"/>
      <c r="B942" s="3"/>
      <c r="C942" s="3" t="str">
        <f aca="false">IF(B942="","",SUMIF(Отзывы!$C:$C,$B942,Отзывы!$F:$F)+ТехническийЛист!$C$1)</f>
        <v/>
      </c>
      <c r="D942" s="3" t="str">
        <f aca="false">IFERROR(__xludf.dummyfunction("IMPORTRANGE('ТехническийЛист'!$B$1,""список!D""&amp;'ТехническийЛист'!$A943)"),"")</f>
        <v/>
      </c>
      <c r="E942" s="3"/>
      <c r="F942" s="2"/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23.25" hidden="false" customHeight="true" outlineLevel="0" collapsed="false">
      <c r="A943" s="3"/>
      <c r="B943" s="3"/>
      <c r="C943" s="3" t="str">
        <f aca="false">IF(B943="","",SUMIF(Отзывы!$C:$C,$B943,Отзывы!$F:$F)+ТехническийЛист!$C$1)</f>
        <v/>
      </c>
      <c r="D943" s="3" t="str">
        <f aca="false">IFERROR(__xludf.dummyfunction("IMPORTRANGE('ТехническийЛист'!$B$1,""список!D""&amp;'ТехническийЛист'!$A944)"),"")</f>
        <v/>
      </c>
      <c r="E943" s="3"/>
      <c r="F943" s="2"/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23.25" hidden="false" customHeight="true" outlineLevel="0" collapsed="false">
      <c r="A944" s="3"/>
      <c r="B944" s="3"/>
      <c r="C944" s="3" t="str">
        <f aca="false">IF(B944="","",SUMIF(Отзывы!$C:$C,$B944,Отзывы!$F:$F)+ТехническийЛист!$C$1)</f>
        <v/>
      </c>
      <c r="D944" s="3" t="str">
        <f aca="false">IFERROR(__xludf.dummyfunction("IMPORTRANGE('ТехническийЛист'!$B$1,""список!D""&amp;'ТехническийЛист'!$A945)"),"")</f>
        <v/>
      </c>
      <c r="E944" s="3"/>
      <c r="F944" s="2"/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23.25" hidden="false" customHeight="true" outlineLevel="0" collapsed="false">
      <c r="A945" s="3"/>
      <c r="B945" s="3"/>
      <c r="C945" s="3" t="str">
        <f aca="false">IF(B945="","",SUMIF(Отзывы!$C:$C,$B945,Отзывы!$F:$F)+ТехническийЛист!$C$1)</f>
        <v/>
      </c>
      <c r="D945" s="3" t="str">
        <f aca="false">IFERROR(__xludf.dummyfunction("IMPORTRANGE('ТехническийЛист'!$B$1,""список!D""&amp;'ТехническийЛист'!$A946)"),"")</f>
        <v/>
      </c>
      <c r="E945" s="3"/>
      <c r="F945" s="2"/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23.25" hidden="false" customHeight="true" outlineLevel="0" collapsed="false">
      <c r="A946" s="3"/>
      <c r="B946" s="3"/>
      <c r="C946" s="3" t="str">
        <f aca="false">IF(B946="","",SUMIF(Отзывы!$C:$C,$B946,Отзывы!$F:$F)+ТехническийЛист!$C$1)</f>
        <v/>
      </c>
      <c r="D946" s="3" t="str">
        <f aca="false">IFERROR(__xludf.dummyfunction("IMPORTRANGE('ТехническийЛист'!$B$1,""список!D""&amp;'ТехническийЛист'!$A947)"),"")</f>
        <v/>
      </c>
      <c r="E946" s="3"/>
      <c r="F946" s="2"/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23.25" hidden="false" customHeight="true" outlineLevel="0" collapsed="false">
      <c r="A947" s="3"/>
      <c r="B947" s="3"/>
      <c r="C947" s="3" t="str">
        <f aca="false">IF(B947="","",SUMIF(Отзывы!$C:$C,$B947,Отзывы!$F:$F)+ТехническийЛист!$C$1)</f>
        <v/>
      </c>
      <c r="D947" s="3" t="str">
        <f aca="false">IFERROR(__xludf.dummyfunction("IMPORTRANGE('ТехническийЛист'!$B$1,""список!D""&amp;'ТехническийЛист'!$A948)"),"")</f>
        <v/>
      </c>
      <c r="E947" s="3"/>
      <c r="F947" s="2"/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23.25" hidden="false" customHeight="true" outlineLevel="0" collapsed="false">
      <c r="A948" s="3"/>
      <c r="B948" s="3"/>
      <c r="C948" s="3" t="str">
        <f aca="false">IF(B948="","",SUMIF(Отзывы!$C:$C,$B948,Отзывы!$F:$F)+ТехническийЛист!$C$1)</f>
        <v/>
      </c>
      <c r="D948" s="3" t="str">
        <f aca="false">IFERROR(__xludf.dummyfunction("IMPORTRANGE('ТехническийЛист'!$B$1,""список!D""&amp;'ТехническийЛист'!$A949)"),"")</f>
        <v/>
      </c>
      <c r="E948" s="3"/>
      <c r="F948" s="2"/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23.25" hidden="false" customHeight="true" outlineLevel="0" collapsed="false">
      <c r="A949" s="3"/>
      <c r="B949" s="3"/>
      <c r="C949" s="3" t="str">
        <f aca="false">IF(B949="","",SUMIF(Отзывы!$C:$C,$B949,Отзывы!$F:$F)+ТехническийЛист!$C$1)</f>
        <v/>
      </c>
      <c r="D949" s="3" t="str">
        <f aca="false">IFERROR(__xludf.dummyfunction("IMPORTRANGE('ТехническийЛист'!$B$1,""список!D""&amp;'ТехническийЛист'!$A950)"),"")</f>
        <v/>
      </c>
      <c r="E949" s="3"/>
      <c r="F949" s="2"/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23.25" hidden="false" customHeight="true" outlineLevel="0" collapsed="false">
      <c r="A950" s="3"/>
      <c r="B950" s="3"/>
      <c r="C950" s="3" t="str">
        <f aca="false">IF(B950="","",SUMIF(Отзывы!$C:$C,$B950,Отзывы!$F:$F)+ТехническийЛист!$C$1)</f>
        <v/>
      </c>
      <c r="D950" s="3" t="str">
        <f aca="false">IFERROR(__xludf.dummyfunction("IMPORTRANGE('ТехническийЛист'!$B$1,""список!D""&amp;'ТехническийЛист'!$A951)"),"")</f>
        <v/>
      </c>
      <c r="E950" s="3"/>
      <c r="F950" s="2"/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23.25" hidden="false" customHeight="true" outlineLevel="0" collapsed="false">
      <c r="A951" s="3"/>
      <c r="B951" s="3"/>
      <c r="C951" s="3" t="str">
        <f aca="false">IF(B951="","",SUMIF(Отзывы!$C:$C,$B951,Отзывы!$F:$F)+ТехническийЛист!$C$1)</f>
        <v/>
      </c>
      <c r="D951" s="3" t="str">
        <f aca="false">IFERROR(__xludf.dummyfunction("IMPORTRANGE('ТехническийЛист'!$B$1,""список!D""&amp;'ТехническийЛист'!$A952)"),"")</f>
        <v/>
      </c>
      <c r="E951" s="3"/>
      <c r="F951" s="2"/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23.25" hidden="false" customHeight="true" outlineLevel="0" collapsed="false">
      <c r="A952" s="3"/>
      <c r="B952" s="3"/>
      <c r="C952" s="3" t="str">
        <f aca="false">IF(B952="","",SUMIF(Отзывы!$C:$C,$B952,Отзывы!$F:$F)+ТехническийЛист!$C$1)</f>
        <v/>
      </c>
      <c r="D952" s="3" t="str">
        <f aca="false">IFERROR(__xludf.dummyfunction("IMPORTRANGE('ТехническийЛист'!$B$1,""список!D""&amp;'ТехническийЛист'!$A953)"),"")</f>
        <v/>
      </c>
      <c r="E952" s="3"/>
      <c r="F952" s="2"/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23.25" hidden="false" customHeight="true" outlineLevel="0" collapsed="false">
      <c r="A953" s="3"/>
      <c r="B953" s="3"/>
      <c r="C953" s="3" t="str">
        <f aca="false">IF(B953="","",SUMIF(Отзывы!$C:$C,$B953,Отзывы!$F:$F)+ТехническийЛист!$C$1)</f>
        <v/>
      </c>
      <c r="D953" s="3" t="str">
        <f aca="false">IFERROR(__xludf.dummyfunction("IMPORTRANGE('ТехническийЛист'!$B$1,""список!D""&amp;'ТехническийЛист'!$A954)"),"")</f>
        <v/>
      </c>
      <c r="E953" s="3"/>
      <c r="F953" s="2"/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23.25" hidden="false" customHeight="true" outlineLevel="0" collapsed="false">
      <c r="A954" s="3"/>
      <c r="B954" s="3"/>
      <c r="C954" s="3" t="str">
        <f aca="false">IF(B954="","",SUMIF(Отзывы!$C:$C,$B954,Отзывы!$F:$F)+ТехническийЛист!$C$1)</f>
        <v/>
      </c>
      <c r="D954" s="3" t="str">
        <f aca="false">IFERROR(__xludf.dummyfunction("IMPORTRANGE('ТехническийЛист'!$B$1,""список!D""&amp;'ТехническийЛист'!$A955)"),"")</f>
        <v/>
      </c>
      <c r="E954" s="3"/>
      <c r="F954" s="2"/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23.25" hidden="false" customHeight="true" outlineLevel="0" collapsed="false">
      <c r="A955" s="3"/>
      <c r="B955" s="3"/>
      <c r="C955" s="3" t="str">
        <f aca="false">IF(B955="","",SUMIF(Отзывы!$C:$C,$B955,Отзывы!$F:$F)+ТехническийЛист!$C$1)</f>
        <v/>
      </c>
      <c r="D955" s="3" t="str">
        <f aca="false">IFERROR(__xludf.dummyfunction("IMPORTRANGE('ТехническийЛист'!$B$1,""список!D""&amp;'ТехническийЛист'!$A956)"),"")</f>
        <v/>
      </c>
      <c r="E955" s="3"/>
      <c r="F955" s="2"/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23.25" hidden="false" customHeight="true" outlineLevel="0" collapsed="false">
      <c r="A956" s="3"/>
      <c r="B956" s="3"/>
      <c r="C956" s="3" t="str">
        <f aca="false">IF(B956="","",SUMIF(Отзывы!$C:$C,$B956,Отзывы!$F:$F)+ТехническийЛист!$C$1)</f>
        <v/>
      </c>
      <c r="D956" s="3" t="str">
        <f aca="false">IFERROR(__xludf.dummyfunction("IMPORTRANGE('ТехническийЛист'!$B$1,""список!D""&amp;'ТехническийЛист'!$A957)"),"")</f>
        <v/>
      </c>
      <c r="E956" s="3"/>
      <c r="F956" s="2"/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23.25" hidden="false" customHeight="true" outlineLevel="0" collapsed="false">
      <c r="A957" s="3"/>
      <c r="B957" s="3"/>
      <c r="C957" s="3" t="str">
        <f aca="false">IF(B957="","",SUMIF(Отзывы!$C:$C,$B957,Отзывы!$F:$F)+ТехническийЛист!$C$1)</f>
        <v/>
      </c>
      <c r="D957" s="3" t="str">
        <f aca="false">IFERROR(__xludf.dummyfunction("IMPORTRANGE('ТехническийЛист'!$B$1,""список!D""&amp;'ТехническийЛист'!$A958)"),"")</f>
        <v/>
      </c>
      <c r="E957" s="3"/>
      <c r="F957" s="2"/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23.25" hidden="false" customHeight="true" outlineLevel="0" collapsed="false">
      <c r="A958" s="3"/>
      <c r="B958" s="3"/>
      <c r="C958" s="3" t="str">
        <f aca="false">IF(B958="","",SUMIF(Отзывы!$C:$C,$B958,Отзывы!$F:$F)+ТехническийЛист!$C$1)</f>
        <v/>
      </c>
      <c r="D958" s="3" t="str">
        <f aca="false">IFERROR(__xludf.dummyfunction("IMPORTRANGE('ТехническийЛист'!$B$1,""список!D""&amp;'ТехническийЛист'!$A959)"),"")</f>
        <v/>
      </c>
      <c r="E958" s="3"/>
      <c r="F958" s="2"/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23.25" hidden="false" customHeight="true" outlineLevel="0" collapsed="false">
      <c r="A959" s="3"/>
      <c r="B959" s="3"/>
      <c r="C959" s="3" t="str">
        <f aca="false">IF(B959="","",SUMIF(Отзывы!$C:$C,$B959,Отзывы!$F:$F)+ТехническийЛист!$C$1)</f>
        <v/>
      </c>
      <c r="D959" s="3" t="str">
        <f aca="false">IFERROR(__xludf.dummyfunction("IMPORTRANGE('ТехническийЛист'!$B$1,""список!D""&amp;'ТехническийЛист'!$A960)"),"")</f>
        <v/>
      </c>
      <c r="E959" s="3"/>
      <c r="F959" s="2"/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23.25" hidden="false" customHeight="true" outlineLevel="0" collapsed="false">
      <c r="A960" s="3"/>
      <c r="B960" s="3"/>
      <c r="C960" s="3" t="str">
        <f aca="false">IF(B960="","",SUMIF(Отзывы!$C:$C,$B960,Отзывы!$F:$F)+ТехническийЛист!$C$1)</f>
        <v/>
      </c>
      <c r="D960" s="3" t="str">
        <f aca="false">IFERROR(__xludf.dummyfunction("IMPORTRANGE('ТехническийЛист'!$B$1,""список!D""&amp;'ТехническийЛист'!$A961)"),"")</f>
        <v/>
      </c>
      <c r="E960" s="3"/>
      <c r="F960" s="2"/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23.25" hidden="false" customHeight="true" outlineLevel="0" collapsed="false">
      <c r="A961" s="3"/>
      <c r="B961" s="3"/>
      <c r="C961" s="3" t="str">
        <f aca="false">IF(B961="","",SUMIF(Отзывы!$C:$C,$B961,Отзывы!$F:$F)+ТехническийЛист!$C$1)</f>
        <v/>
      </c>
      <c r="D961" s="3" t="str">
        <f aca="false">IFERROR(__xludf.dummyfunction("IMPORTRANGE('ТехническийЛист'!$B$1,""список!D""&amp;'ТехническийЛист'!$A962)"),"")</f>
        <v/>
      </c>
      <c r="E961" s="3"/>
      <c r="F961" s="2"/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23.25" hidden="false" customHeight="true" outlineLevel="0" collapsed="false">
      <c r="A962" s="3"/>
      <c r="B962" s="3"/>
      <c r="C962" s="3" t="str">
        <f aca="false">IF(B962="","",SUMIF(Отзывы!$C:$C,$B962,Отзывы!$F:$F)+ТехническийЛист!$C$1)</f>
        <v/>
      </c>
      <c r="D962" s="3" t="str">
        <f aca="false">IFERROR(__xludf.dummyfunction("IMPORTRANGE('ТехническийЛист'!$B$1,""список!D""&amp;'ТехническийЛист'!$A963)"),"")</f>
        <v/>
      </c>
      <c r="E962" s="3"/>
      <c r="F962" s="2"/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23.25" hidden="false" customHeight="true" outlineLevel="0" collapsed="false">
      <c r="A963" s="3"/>
      <c r="B963" s="3"/>
      <c r="C963" s="3" t="str">
        <f aca="false">IF(B963="","",SUMIF(Отзывы!$C:$C,$B963,Отзывы!$F:$F)+ТехническийЛист!$C$1)</f>
        <v/>
      </c>
      <c r="D963" s="3" t="str">
        <f aca="false">IFERROR(__xludf.dummyfunction("IMPORTRANGE('ТехническийЛист'!$B$1,""список!D""&amp;'ТехническийЛист'!$A964)"),"")</f>
        <v/>
      </c>
      <c r="E963" s="3"/>
      <c r="F963" s="2"/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23.25" hidden="false" customHeight="true" outlineLevel="0" collapsed="false">
      <c r="A964" s="3"/>
      <c r="B964" s="3"/>
      <c r="C964" s="3" t="str">
        <f aca="false">IF(B964="","",SUMIF(Отзывы!$C:$C,$B964,Отзывы!$F:$F)+ТехническийЛист!$C$1)</f>
        <v/>
      </c>
      <c r="D964" s="3" t="str">
        <f aca="false">IFERROR(__xludf.dummyfunction("IMPORTRANGE('ТехническийЛист'!$B$1,""список!D""&amp;'ТехническийЛист'!$A965)"),"")</f>
        <v/>
      </c>
      <c r="E964" s="3"/>
      <c r="F964" s="2"/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23.25" hidden="false" customHeight="true" outlineLevel="0" collapsed="false">
      <c r="A965" s="3"/>
      <c r="B965" s="3"/>
      <c r="C965" s="3" t="str">
        <f aca="false">IF(B965="","",SUMIF(Отзывы!$C:$C,$B965,Отзывы!$F:$F)+ТехническийЛист!$C$1)</f>
        <v/>
      </c>
      <c r="D965" s="3" t="str">
        <f aca="false">IFERROR(__xludf.dummyfunction("IMPORTRANGE('ТехническийЛист'!$B$1,""список!D""&amp;'ТехническийЛист'!$A966)"),"")</f>
        <v/>
      </c>
      <c r="E965" s="3"/>
      <c r="F965" s="2"/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23.25" hidden="false" customHeight="true" outlineLevel="0" collapsed="false">
      <c r="A966" s="3"/>
      <c r="B966" s="3"/>
      <c r="C966" s="3" t="str">
        <f aca="false">IF(B966="","",SUMIF(Отзывы!$C:$C,$B966,Отзывы!$F:$F)+ТехническийЛист!$C$1)</f>
        <v/>
      </c>
      <c r="D966" s="3" t="str">
        <f aca="false">IFERROR(__xludf.dummyfunction("IMPORTRANGE('ТехническийЛист'!$B$1,""список!D""&amp;'ТехническийЛист'!$A967)"),"")</f>
        <v/>
      </c>
      <c r="E966" s="3"/>
      <c r="F966" s="2"/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23.25" hidden="false" customHeight="true" outlineLevel="0" collapsed="false">
      <c r="A967" s="3"/>
      <c r="B967" s="3"/>
      <c r="C967" s="3" t="str">
        <f aca="false">IF(B967="","",SUMIF(Отзывы!$C:$C,$B967,Отзывы!$F:$F)+ТехническийЛист!$C$1)</f>
        <v/>
      </c>
      <c r="D967" s="3" t="str">
        <f aca="false">IFERROR(__xludf.dummyfunction("IMPORTRANGE('ТехническийЛист'!$B$1,""список!D""&amp;'ТехническийЛист'!$A968)"),"")</f>
        <v/>
      </c>
      <c r="E967" s="3"/>
      <c r="F967" s="2"/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23.25" hidden="false" customHeight="true" outlineLevel="0" collapsed="false">
      <c r="A968" s="3"/>
      <c r="B968" s="3"/>
      <c r="C968" s="3" t="str">
        <f aca="false">IF(B968="","",SUMIF(Отзывы!$C:$C,$B968,Отзывы!$F:$F)+ТехническийЛист!$C$1)</f>
        <v/>
      </c>
      <c r="D968" s="3" t="str">
        <f aca="false">IFERROR(__xludf.dummyfunction("IMPORTRANGE('ТехническийЛист'!$B$1,""список!D""&amp;'ТехническийЛист'!$A969)"),"")</f>
        <v/>
      </c>
      <c r="E968" s="3"/>
      <c r="F968" s="2"/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23.25" hidden="false" customHeight="true" outlineLevel="0" collapsed="false">
      <c r="A969" s="3"/>
      <c r="B969" s="3"/>
      <c r="C969" s="3" t="str">
        <f aca="false">IF(B969="","",SUMIF(Отзывы!$C:$C,$B969,Отзывы!$F:$F)+ТехническийЛист!$C$1)</f>
        <v/>
      </c>
      <c r="D969" s="3" t="str">
        <f aca="false">IFERROR(__xludf.dummyfunction("IMPORTRANGE('ТехническийЛист'!$B$1,""список!D""&amp;'ТехническийЛист'!$A970)"),"")</f>
        <v/>
      </c>
      <c r="E969" s="3"/>
      <c r="F969" s="2"/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23.25" hidden="false" customHeight="true" outlineLevel="0" collapsed="false">
      <c r="A970" s="3"/>
      <c r="B970" s="3"/>
      <c r="C970" s="3" t="str">
        <f aca="false">IF(B970="","",SUMIF(Отзывы!$C:$C,$B970,Отзывы!$F:$F)+ТехническийЛист!$C$1)</f>
        <v/>
      </c>
      <c r="D970" s="3" t="str">
        <f aca="false">IFERROR(__xludf.dummyfunction("IMPORTRANGE('ТехническийЛист'!$B$1,""список!D""&amp;'ТехническийЛист'!$A971)"),"")</f>
        <v/>
      </c>
      <c r="E970" s="3"/>
      <c r="F970" s="2"/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23.25" hidden="false" customHeight="true" outlineLevel="0" collapsed="false">
      <c r="A971" s="3"/>
      <c r="B971" s="3"/>
      <c r="C971" s="3" t="str">
        <f aca="false">IF(B971="","",SUMIF(Отзывы!$C:$C,$B971,Отзывы!$F:$F)+ТехническийЛист!$C$1)</f>
        <v/>
      </c>
      <c r="D971" s="3" t="str">
        <f aca="false">IFERROR(__xludf.dummyfunction("IMPORTRANGE('ТехническийЛист'!$B$1,""список!D""&amp;'ТехническийЛист'!$A972)"),"")</f>
        <v/>
      </c>
      <c r="E971" s="3"/>
      <c r="F971" s="2"/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23.25" hidden="false" customHeight="true" outlineLevel="0" collapsed="false">
      <c r="A972" s="3"/>
      <c r="B972" s="3"/>
      <c r="C972" s="3" t="str">
        <f aca="false">IF(B972="","",SUMIF(Отзывы!$C:$C,$B972,Отзывы!$F:$F)+ТехническийЛист!$C$1)</f>
        <v/>
      </c>
      <c r="D972" s="3" t="str">
        <f aca="false">IFERROR(__xludf.dummyfunction("IMPORTRANGE('ТехническийЛист'!$B$1,""список!D""&amp;'ТехническийЛист'!$A973)"),"")</f>
        <v/>
      </c>
      <c r="E972" s="3"/>
      <c r="F972" s="2"/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23.25" hidden="false" customHeight="true" outlineLevel="0" collapsed="false">
      <c r="A973" s="3"/>
      <c r="B973" s="3"/>
      <c r="C973" s="3" t="str">
        <f aca="false">IF(B973="","",SUMIF(Отзывы!$C:$C,$B973,Отзывы!$F:$F)+ТехническийЛист!$C$1)</f>
        <v/>
      </c>
      <c r="D973" s="3" t="str">
        <f aca="false">IFERROR(__xludf.dummyfunction("IMPORTRANGE('ТехническийЛист'!$B$1,""список!D""&amp;'ТехническийЛист'!$A974)"),"")</f>
        <v/>
      </c>
      <c r="E973" s="3"/>
      <c r="F973" s="2"/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23.25" hidden="false" customHeight="true" outlineLevel="0" collapsed="false">
      <c r="A974" s="3"/>
      <c r="B974" s="3"/>
      <c r="C974" s="3" t="str">
        <f aca="false">IF(B974="","",SUMIF(Отзывы!$C:$C,$B974,Отзывы!$F:$F)+ТехническийЛист!$C$1)</f>
        <v/>
      </c>
      <c r="D974" s="3" t="str">
        <f aca="false">IFERROR(__xludf.dummyfunction("IMPORTRANGE('ТехническийЛист'!$B$1,""список!D""&amp;'ТехническийЛист'!$A975)"),"")</f>
        <v/>
      </c>
      <c r="E974" s="3"/>
      <c r="F974" s="2"/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23.25" hidden="false" customHeight="true" outlineLevel="0" collapsed="false">
      <c r="A975" s="3"/>
      <c r="B975" s="3"/>
      <c r="C975" s="3" t="str">
        <f aca="false">IF(B975="","",SUMIF(Отзывы!$C:$C,$B975,Отзывы!$F:$F)+ТехническийЛист!$C$1)</f>
        <v/>
      </c>
      <c r="D975" s="3" t="str">
        <f aca="false">IFERROR(__xludf.dummyfunction("IMPORTRANGE('ТехническийЛист'!$B$1,""список!D""&amp;'ТехническийЛист'!$A976)"),"")</f>
        <v/>
      </c>
      <c r="E975" s="3"/>
      <c r="F975" s="2"/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23.25" hidden="false" customHeight="true" outlineLevel="0" collapsed="false">
      <c r="A976" s="3"/>
      <c r="B976" s="3"/>
      <c r="C976" s="3" t="str">
        <f aca="false">IF(B976="","",SUMIF(Отзывы!$C:$C,$B976,Отзывы!$F:$F)+ТехническийЛист!$C$1)</f>
        <v/>
      </c>
      <c r="D976" s="3" t="str">
        <f aca="false">IFERROR(__xludf.dummyfunction("IMPORTRANGE('ТехническийЛист'!$B$1,""список!D""&amp;'ТехническийЛист'!$A977)"),"")</f>
        <v/>
      </c>
      <c r="E976" s="3"/>
      <c r="F976" s="2"/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23.25" hidden="false" customHeight="true" outlineLevel="0" collapsed="false">
      <c r="A977" s="3"/>
      <c r="B977" s="3"/>
      <c r="C977" s="3" t="str">
        <f aca="false">IF(B977="","",SUMIF(Отзывы!$C:$C,$B977,Отзывы!$F:$F)+ТехническийЛист!$C$1)</f>
        <v/>
      </c>
      <c r="D977" s="3" t="str">
        <f aca="false">IFERROR(__xludf.dummyfunction("IMPORTRANGE('ТехническийЛист'!$B$1,""список!D""&amp;'ТехническийЛист'!$A978)"),"")</f>
        <v/>
      </c>
      <c r="E977" s="3"/>
      <c r="F977" s="2"/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23.25" hidden="false" customHeight="true" outlineLevel="0" collapsed="false">
      <c r="A978" s="3"/>
      <c r="B978" s="3"/>
      <c r="C978" s="3" t="str">
        <f aca="false">IF(B978="","",SUMIF(Отзывы!$C:$C,$B978,Отзывы!$F:$F)+ТехническийЛист!$C$1)</f>
        <v/>
      </c>
      <c r="D978" s="3" t="str">
        <f aca="false">IFERROR(__xludf.dummyfunction("IMPORTRANGE('ТехническийЛист'!$B$1,""список!D""&amp;'ТехническийЛист'!$A979)"),"")</f>
        <v/>
      </c>
      <c r="E978" s="3"/>
      <c r="F978" s="2"/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23.25" hidden="false" customHeight="true" outlineLevel="0" collapsed="false">
      <c r="A979" s="3"/>
      <c r="B979" s="3"/>
      <c r="C979" s="3" t="str">
        <f aca="false">IF(B979="","",SUMIF(Отзывы!$C:$C,$B979,Отзывы!$F:$F)+ТехническийЛист!$C$1)</f>
        <v/>
      </c>
      <c r="D979" s="3" t="str">
        <f aca="false">IFERROR(__xludf.dummyfunction("IMPORTRANGE('ТехническийЛист'!$B$1,""список!D""&amp;'ТехническийЛист'!$A980)"),"")</f>
        <v/>
      </c>
      <c r="E979" s="3"/>
      <c r="F979" s="2"/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23.25" hidden="false" customHeight="true" outlineLevel="0" collapsed="false">
      <c r="A980" s="3"/>
      <c r="B980" s="3"/>
      <c r="C980" s="3" t="str">
        <f aca="false">IF(B980="","",SUMIF(Отзывы!$C:$C,$B980,Отзывы!$F:$F)+ТехническийЛист!$C$1)</f>
        <v/>
      </c>
      <c r="D980" s="3" t="str">
        <f aca="false">IFERROR(__xludf.dummyfunction("IMPORTRANGE('ТехническийЛист'!$B$1,""список!D""&amp;'ТехническийЛист'!$A981)"),"")</f>
        <v/>
      </c>
      <c r="E980" s="3"/>
      <c r="F980" s="2"/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23.25" hidden="false" customHeight="true" outlineLevel="0" collapsed="false">
      <c r="A981" s="3"/>
      <c r="B981" s="3"/>
      <c r="C981" s="3" t="str">
        <f aca="false">IF(B981="","",SUMIF(Отзывы!$C:$C,$B981,Отзывы!$F:$F)+ТехническийЛист!$C$1)</f>
        <v/>
      </c>
      <c r="D981" s="3" t="str">
        <f aca="false">IFERROR(__xludf.dummyfunction("IMPORTRANGE('ТехническийЛист'!$B$1,""список!D""&amp;'ТехническийЛист'!$A982)"),"")</f>
        <v/>
      </c>
      <c r="E981" s="3"/>
      <c r="F981" s="2"/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23.25" hidden="false" customHeight="true" outlineLevel="0" collapsed="false">
      <c r="A982" s="3"/>
      <c r="B982" s="3"/>
      <c r="C982" s="3" t="str">
        <f aca="false">IF(B982="","",SUMIF(Отзывы!$C:$C,$B982,Отзывы!$F:$F)+ТехническийЛист!$C$1)</f>
        <v/>
      </c>
      <c r="D982" s="3" t="str">
        <f aca="false">IFERROR(__xludf.dummyfunction("IMPORTRANGE('ТехническийЛист'!$B$1,""список!D""&amp;'ТехническийЛист'!$A983)"),"")</f>
        <v/>
      </c>
      <c r="E982" s="3"/>
      <c r="F982" s="2"/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23.25" hidden="false" customHeight="true" outlineLevel="0" collapsed="false">
      <c r="A983" s="3"/>
      <c r="B983" s="3"/>
      <c r="C983" s="3" t="str">
        <f aca="false">IF(B983="","",SUMIF(Отзывы!$C:$C,$B983,Отзывы!$F:$F)+ТехническийЛист!$C$1)</f>
        <v/>
      </c>
      <c r="D983" s="3" t="str">
        <f aca="false">IFERROR(__xludf.dummyfunction("IMPORTRANGE('ТехническийЛист'!$B$1,""список!D""&amp;'ТехническийЛист'!$A984)"),"")</f>
        <v/>
      </c>
      <c r="E983" s="3"/>
      <c r="F983" s="2"/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23.25" hidden="false" customHeight="true" outlineLevel="0" collapsed="false">
      <c r="A984" s="3"/>
      <c r="B984" s="3"/>
      <c r="C984" s="3" t="str">
        <f aca="false">IF(B984="","",SUMIF(Отзывы!$C:$C,$B984,Отзывы!$F:$F)+ТехническийЛист!$C$1)</f>
        <v/>
      </c>
      <c r="D984" s="3" t="str">
        <f aca="false">IFERROR(__xludf.dummyfunction("IMPORTRANGE('ТехническийЛист'!$B$1,""список!D""&amp;'ТехническийЛист'!$A985)"),"")</f>
        <v/>
      </c>
      <c r="E984" s="3"/>
      <c r="F984" s="2"/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23.25" hidden="false" customHeight="true" outlineLevel="0" collapsed="false">
      <c r="A985" s="3"/>
      <c r="B985" s="3"/>
      <c r="C985" s="3" t="str">
        <f aca="false">IF(B985="","",SUMIF(Отзывы!$C:$C,$B985,Отзывы!$F:$F)+ТехническийЛист!$C$1)</f>
        <v/>
      </c>
      <c r="D985" s="3" t="str">
        <f aca="false">IFERROR(__xludf.dummyfunction("IMPORTRANGE('ТехническийЛист'!$B$1,""список!D""&amp;'ТехническийЛист'!$A986)"),"")</f>
        <v/>
      </c>
      <c r="E985" s="3"/>
      <c r="F985" s="2"/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23.25" hidden="false" customHeight="true" outlineLevel="0" collapsed="false">
      <c r="A986" s="3"/>
      <c r="B986" s="3"/>
      <c r="C986" s="3" t="str">
        <f aca="false">IF(B986="","",SUMIF(Отзывы!$C:$C,$B986,Отзывы!$F:$F)+ТехническийЛист!$C$1)</f>
        <v/>
      </c>
      <c r="D986" s="3" t="str">
        <f aca="false">IFERROR(__xludf.dummyfunction("IMPORTRANGE('ТехническийЛист'!$B$1,""список!D""&amp;'ТехническийЛист'!$A987)"),"")</f>
        <v/>
      </c>
      <c r="E986" s="3"/>
      <c r="F986" s="2"/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23.25" hidden="false" customHeight="true" outlineLevel="0" collapsed="false">
      <c r="A987" s="3"/>
      <c r="B987" s="3"/>
      <c r="C987" s="3" t="str">
        <f aca="false">IF(B987="","",SUMIF(Отзывы!$C:$C,$B987,Отзывы!$F:$F)+ТехническийЛист!$C$1)</f>
        <v/>
      </c>
      <c r="D987" s="3" t="str">
        <f aca="false">IFERROR(__xludf.dummyfunction("IMPORTRANGE('ТехническийЛист'!$B$1,""список!D""&amp;'ТехническийЛист'!$A988)"),"")</f>
        <v/>
      </c>
      <c r="E987" s="3"/>
      <c r="F987" s="2"/>
      <c r="G987" s="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23.25" hidden="false" customHeight="true" outlineLevel="0" collapsed="false">
      <c r="A988" s="3"/>
      <c r="B988" s="3"/>
      <c r="C988" s="3" t="str">
        <f aca="false">IF(B988="","",SUMIF(Отзывы!$C:$C,$B988,Отзывы!$F:$F)+ТехническийЛист!$C$1)</f>
        <v/>
      </c>
      <c r="D988" s="3" t="str">
        <f aca="false">IFERROR(__xludf.dummyfunction("IMPORTRANGE('ТехническийЛист'!$B$1,""список!D""&amp;'ТехническийЛист'!$A989)"),"")</f>
        <v/>
      </c>
      <c r="E988" s="3"/>
      <c r="F988" s="2"/>
      <c r="G988" s="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23.25" hidden="false" customHeight="true" outlineLevel="0" collapsed="false">
      <c r="A989" s="3"/>
      <c r="B989" s="3"/>
      <c r="C989" s="3" t="str">
        <f aca="false">IF(B989="","",SUMIF(Отзывы!$C:$C,$B989,Отзывы!$F:$F)+ТехническийЛист!$C$1)</f>
        <v/>
      </c>
      <c r="D989" s="3" t="str">
        <f aca="false">IFERROR(__xludf.dummyfunction("IMPORTRANGE('ТехническийЛист'!$B$1,""список!D""&amp;'ТехническийЛист'!$A990)"),"")</f>
        <v/>
      </c>
      <c r="E989" s="3"/>
      <c r="F989" s="2"/>
      <c r="G989" s="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23.25" hidden="false" customHeight="true" outlineLevel="0" collapsed="false">
      <c r="A990" s="3"/>
      <c r="B990" s="3"/>
      <c r="C990" s="3" t="str">
        <f aca="false">IF(B990="","",SUMIF(Отзывы!$C:$C,$B990,Отзывы!$F:$F)+ТехническийЛист!$C$1)</f>
        <v/>
      </c>
      <c r="D990" s="3" t="str">
        <f aca="false">IFERROR(__xludf.dummyfunction("IMPORTRANGE('ТехническийЛист'!$B$1,""список!D""&amp;'ТехническийЛист'!$A991)"),"")</f>
        <v/>
      </c>
      <c r="E990" s="3"/>
      <c r="F990" s="2"/>
      <c r="G990" s="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23.25" hidden="false" customHeight="true" outlineLevel="0" collapsed="false">
      <c r="A991" s="3"/>
      <c r="B991" s="3"/>
      <c r="C991" s="3" t="str">
        <f aca="false">IF(B991="","",SUMIF(Отзывы!$C:$C,$B991,Отзывы!$F:$F)+ТехническийЛист!$C$1)</f>
        <v/>
      </c>
      <c r="D991" s="3" t="str">
        <f aca="false">IFERROR(__xludf.dummyfunction("IMPORTRANGE('ТехническийЛист'!$B$1,""список!D""&amp;'ТехническийЛист'!$A992)"),"")</f>
        <v/>
      </c>
      <c r="E991" s="3"/>
      <c r="F991" s="2"/>
      <c r="G991" s="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23.25" hidden="false" customHeight="true" outlineLevel="0" collapsed="false">
      <c r="A992" s="3"/>
      <c r="B992" s="3"/>
      <c r="C992" s="3" t="str">
        <f aca="false">IF(B992="","",SUMIF(Отзывы!$C:$C,$B992,Отзывы!$F:$F)+ТехническийЛист!$C$1)</f>
        <v/>
      </c>
      <c r="D992" s="3" t="str">
        <f aca="false">IFERROR(__xludf.dummyfunction("IMPORTRANGE('ТехническийЛист'!$B$1,""список!D""&amp;'ТехническийЛист'!$A993)"),"")</f>
        <v/>
      </c>
      <c r="E992" s="3"/>
      <c r="F992" s="2"/>
      <c r="G992" s="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23.25" hidden="false" customHeight="true" outlineLevel="0" collapsed="false">
      <c r="A993" s="3"/>
      <c r="B993" s="3"/>
      <c r="C993" s="3" t="str">
        <f aca="false">IF(B993="","",SUMIF(Отзывы!$C:$C,$B993,Отзывы!$F:$F)+ТехническийЛист!$C$1)</f>
        <v/>
      </c>
      <c r="D993" s="3" t="str">
        <f aca="false">IFERROR(__xludf.dummyfunction("IMPORTRANGE('ТехническийЛист'!$B$1,""список!D""&amp;'ТехническийЛист'!$A994)"),"")</f>
        <v/>
      </c>
      <c r="E993" s="3"/>
      <c r="F993" s="2"/>
      <c r="G993" s="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23.25" hidden="false" customHeight="true" outlineLevel="0" collapsed="false">
      <c r="A994" s="3"/>
      <c r="B994" s="3"/>
      <c r="C994" s="3" t="str">
        <f aca="false">IF(B994="","",SUMIF(Отзывы!$C:$C,$B994,Отзывы!$F:$F)+ТехническийЛист!$C$1)</f>
        <v/>
      </c>
      <c r="D994" s="3" t="str">
        <f aca="false">IFERROR(__xludf.dummyfunction("IMPORTRANGE('ТехническийЛист'!$B$1,""список!D""&amp;'ТехническийЛист'!$A995)"),"")</f>
        <v/>
      </c>
      <c r="E994" s="3"/>
      <c r="F994" s="2"/>
      <c r="G994" s="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23.25" hidden="false" customHeight="true" outlineLevel="0" collapsed="false">
      <c r="A995" s="3"/>
      <c r="B995" s="3"/>
      <c r="C995" s="3" t="str">
        <f aca="false">IF(B995="","",SUMIF(Отзывы!$C:$C,$B995,Отзывы!$F:$F)+ТехническийЛист!$C$1)</f>
        <v/>
      </c>
      <c r="D995" s="3" t="str">
        <f aca="false">IFERROR(__xludf.dummyfunction("IMPORTRANGE('ТехническийЛист'!$B$1,""список!D""&amp;'ТехническийЛист'!$A996)"),"")</f>
        <v/>
      </c>
      <c r="E995" s="3"/>
      <c r="F995" s="2"/>
      <c r="G995" s="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23.25" hidden="false" customHeight="true" outlineLevel="0" collapsed="false">
      <c r="A996" s="3"/>
      <c r="B996" s="3"/>
      <c r="C996" s="3" t="str">
        <f aca="false">IF(B996="","",SUMIF(Отзывы!$C:$C,$B996,Отзывы!$F:$F)+ТехническийЛист!$C$1)</f>
        <v/>
      </c>
      <c r="D996" s="3" t="str">
        <f aca="false">IFERROR(__xludf.dummyfunction("IMPORTRANGE('ТехническийЛист'!$B$1,""список!D""&amp;'ТехническийЛист'!$A997)"),"")</f>
        <v/>
      </c>
      <c r="E996" s="3"/>
      <c r="F996" s="2"/>
      <c r="G996" s="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23.25" hidden="false" customHeight="true" outlineLevel="0" collapsed="false">
      <c r="A997" s="3"/>
      <c r="B997" s="3"/>
      <c r="C997" s="3" t="str">
        <f aca="false">IF(B997="","",SUMIF(Отзывы!$C:$C,$B997,Отзывы!$F:$F)+ТехническийЛист!$C$1)</f>
        <v/>
      </c>
      <c r="D997" s="3" t="str">
        <f aca="false">IFERROR(__xludf.dummyfunction("IMPORTRANGE('ТехническийЛист'!$B$1,""список!D""&amp;'ТехническийЛист'!$A998)"),"")</f>
        <v/>
      </c>
      <c r="E997" s="3"/>
      <c r="F997" s="2"/>
      <c r="G997" s="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23.25" hidden="false" customHeight="true" outlineLevel="0" collapsed="false">
      <c r="C998" s="3" t="str">
        <f aca="false">IF(B998="","",SUMIF(Отзывы!$C:$C,$B998,Отзывы!$F:$F)+ТехническийЛист!$C$1)</f>
        <v/>
      </c>
      <c r="D998" s="3" t="str">
        <f aca="false">IFERROR(__xludf.dummyfunction("IMPORTRANGE('ТехническийЛист'!$B$1,""список!D""&amp;'ТехническийЛист'!$A999)"),"")</f>
        <v/>
      </c>
      <c r="E998" s="3"/>
      <c r="F998" s="2"/>
      <c r="G998" s="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23.25" hidden="false" customHeight="true" outlineLevel="0" collapsed="false">
      <c r="C999" s="3" t="str">
        <f aca="false">IF(B999="","",SUMIF(Отзывы!$C:$C,$B999,Отзывы!$F:$F)+ТехническийЛист!$C$1)</f>
        <v/>
      </c>
      <c r="D999" s="3" t="str">
        <f aca="false">IFERROR(__xludf.dummyfunction("IMPORTRANGE('ТехническийЛист'!$B$1,""список!D""&amp;'ТехническийЛист'!$A1000)"),"")</f>
        <v/>
      </c>
      <c r="E999" s="3"/>
      <c r="F999" s="2"/>
      <c r="G999" s="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23.25" hidden="false" customHeight="true" outlineLevel="0" collapsed="false">
      <c r="E1000" s="3"/>
      <c r="F1000" s="2"/>
      <c r="G1000" s="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72" activePane="bottomLeft" state="frozen"/>
      <selection pane="topLeft" activeCell="A1" activeCellId="0" sqref="A1"/>
      <selection pane="bottomLeft" activeCell="F1102" activeCellId="0" sqref="F110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.25"/>
    <col collapsed="false" customWidth="true" hidden="false" outlineLevel="0" max="2" min="2" style="0" width="23.5"/>
    <col collapsed="false" customWidth="true" hidden="false" outlineLevel="0" max="3" min="3" style="0" width="21.12"/>
    <col collapsed="false" customWidth="true" hidden="false" outlineLevel="0" max="4" min="4" style="0" width="26.12"/>
    <col collapsed="false" customWidth="true" hidden="false" outlineLevel="0" max="5" min="5" style="0" width="18.38"/>
    <col collapsed="false" customWidth="true" hidden="false" outlineLevel="0" max="6" min="6" style="0" width="27.75"/>
  </cols>
  <sheetData>
    <row r="1" customFormat="false" ht="15.75" hidden="false" customHeight="false" outlineLevel="0" collapsed="false">
      <c r="A1" s="21" t="s">
        <v>970</v>
      </c>
      <c r="B1" s="21" t="s">
        <v>971</v>
      </c>
      <c r="C1" s="21" t="s">
        <v>972</v>
      </c>
      <c r="D1" s="21" t="s">
        <v>973</v>
      </c>
      <c r="E1" s="21" t="s">
        <v>974</v>
      </c>
      <c r="F1" s="21" t="s">
        <v>975</v>
      </c>
    </row>
    <row r="2" customFormat="false" ht="15.75" hidden="false" customHeight="false" outlineLevel="0" collapsed="false">
      <c r="A2" s="19" t="n">
        <v>0</v>
      </c>
      <c r="B2" s="19" t="s">
        <v>30</v>
      </c>
      <c r="C2" s="19" t="s">
        <v>20</v>
      </c>
      <c r="D2" s="22" t="str">
        <f aca="false">HYPERLINK("https://discord.com/channels/1040938900039929917/1183001356450148352/1183440843684724736","ссылка")</f>
        <v>ссылка</v>
      </c>
      <c r="E2" s="23" t="n">
        <v>45270</v>
      </c>
      <c r="F2" s="24" t="n">
        <v>3</v>
      </c>
    </row>
    <row r="3" customFormat="false" ht="15.75" hidden="false" customHeight="false" outlineLevel="0" collapsed="false">
      <c r="A3" s="19" t="n">
        <v>1</v>
      </c>
      <c r="B3" s="19" t="s">
        <v>7</v>
      </c>
      <c r="C3" s="19" t="s">
        <v>22</v>
      </c>
      <c r="D3" s="22" t="str">
        <f aca="false">HYPERLINK("https://discord.com/channels/1040938900039929917/1183001356450148352/1183447274999779328","ссылка")</f>
        <v>ссылка</v>
      </c>
      <c r="E3" s="23" t="n">
        <v>45270</v>
      </c>
      <c r="F3" s="24" t="n">
        <v>3</v>
      </c>
    </row>
    <row r="4" customFormat="false" ht="15.75" hidden="false" customHeight="false" outlineLevel="0" collapsed="false">
      <c r="A4" s="19" t="n">
        <v>2</v>
      </c>
      <c r="B4" s="19" t="s">
        <v>20</v>
      </c>
      <c r="C4" s="19" t="s">
        <v>30</v>
      </c>
      <c r="D4" s="22" t="str">
        <f aca="false">HYPERLINK("https://discord.com/channels/1040938900039929917/1183001356450148352/1183390544731320380","ссылка")</f>
        <v>ссылка</v>
      </c>
      <c r="E4" s="23" t="n">
        <v>45270</v>
      </c>
      <c r="F4" s="24" t="n">
        <v>3</v>
      </c>
    </row>
    <row r="5" customFormat="false" ht="15.75" hidden="false" customHeight="false" outlineLevel="0" collapsed="false">
      <c r="A5" s="19" t="n">
        <v>3</v>
      </c>
      <c r="B5" s="19" t="s">
        <v>32</v>
      </c>
      <c r="C5" s="19" t="s">
        <v>37</v>
      </c>
      <c r="D5" s="22" t="str">
        <f aca="false">HYPERLINK("https://discord.com/channels/1040938900039929917/1183790617545953401/1183853072116633610","ссылка")</f>
        <v>ссылка</v>
      </c>
      <c r="E5" s="23" t="n">
        <v>45271</v>
      </c>
      <c r="F5" s="24" t="n">
        <v>2</v>
      </c>
    </row>
    <row r="6" customFormat="false" ht="15.75" hidden="false" customHeight="false" outlineLevel="0" collapsed="false">
      <c r="A6" s="19" t="n">
        <v>4</v>
      </c>
      <c r="B6" s="19" t="s">
        <v>32</v>
      </c>
      <c r="C6" s="19" t="s">
        <v>64</v>
      </c>
      <c r="D6" s="22" t="str">
        <f aca="false">HYPERLINK("https://discord.com/channels/1040938900039929917/1183790617545953401/1183853072116633610","ссылка")</f>
        <v>ссылка</v>
      </c>
      <c r="E6" s="23" t="n">
        <v>45271</v>
      </c>
      <c r="F6" s="24" t="n">
        <v>-2</v>
      </c>
    </row>
    <row r="7" customFormat="false" ht="15.75" hidden="false" customHeight="false" outlineLevel="0" collapsed="false">
      <c r="A7" s="19" t="n">
        <v>5</v>
      </c>
      <c r="B7" s="19" t="s">
        <v>88</v>
      </c>
      <c r="C7" s="19" t="s">
        <v>67</v>
      </c>
      <c r="D7" s="22" t="str">
        <f aca="false">HYPERLINK("https://discord.com/channels/1040938900039929917/1183790617545953401/1184956808457105438","ссылка")</f>
        <v>ссылка</v>
      </c>
      <c r="E7" s="25" t="n">
        <v>45275</v>
      </c>
      <c r="F7" s="24" t="n">
        <v>2</v>
      </c>
    </row>
    <row r="8" customFormat="false" ht="15.75" hidden="false" customHeight="false" outlineLevel="0" collapsed="false">
      <c r="A8" s="19" t="n">
        <v>6</v>
      </c>
      <c r="B8" s="19" t="s">
        <v>96</v>
      </c>
      <c r="C8" s="19" t="s">
        <v>32</v>
      </c>
      <c r="D8" s="22" t="str">
        <f aca="false">HYPERLINK("https://discord.com/channels/1040938900039929917/1183790617545953401/1185326545330524320","ссылка")</f>
        <v>ссылка</v>
      </c>
      <c r="E8" s="25" t="n">
        <v>45276</v>
      </c>
      <c r="F8" s="24" t="n">
        <v>3</v>
      </c>
    </row>
    <row r="9" customFormat="false" ht="15.75" hidden="false" customHeight="false" outlineLevel="0" collapsed="false">
      <c r="A9" s="19" t="n">
        <v>7</v>
      </c>
      <c r="B9" s="19" t="s">
        <v>32</v>
      </c>
      <c r="C9" s="19" t="s">
        <v>96</v>
      </c>
      <c r="D9" s="22" t="str">
        <f aca="false">HYPERLINK("https://discord.com/channels/1040938900039929917/1183790617545953401/1185331825023909969","ссылка")</f>
        <v>ссылка</v>
      </c>
      <c r="E9" s="25" t="n">
        <v>45276</v>
      </c>
      <c r="F9" s="24" t="n">
        <v>3</v>
      </c>
    </row>
    <row r="10" customFormat="false" ht="15.75" hidden="false" customHeight="false" outlineLevel="0" collapsed="false">
      <c r="A10" s="19" t="n">
        <v>8</v>
      </c>
      <c r="B10" s="19" t="s">
        <v>96</v>
      </c>
      <c r="C10" s="19" t="s">
        <v>69</v>
      </c>
      <c r="D10" s="22" t="str">
        <f aca="false">HYPERLINK("https://discord.com/channels/1040938900039929917/1183790617545953401/1185348899460886638","ссылка")</f>
        <v>ссылка</v>
      </c>
      <c r="E10" s="25" t="n">
        <v>45276</v>
      </c>
      <c r="F10" s="24" t="n">
        <v>2</v>
      </c>
    </row>
    <row r="11" customFormat="false" ht="15.75" hidden="false" customHeight="false" outlineLevel="0" collapsed="false">
      <c r="A11" s="19" t="n">
        <v>9</v>
      </c>
      <c r="B11" s="19" t="s">
        <v>39</v>
      </c>
      <c r="C11" s="19" t="s">
        <v>109</v>
      </c>
      <c r="D11" s="26" t="str">
        <f aca="false">HYPERLINK("https://discord.com/channels/1040938900039929917/1183790617545953401/1185625517777489952","ссылка")</f>
        <v>ссылка</v>
      </c>
      <c r="E11" s="25" t="n">
        <v>45276</v>
      </c>
      <c r="F11" s="24" t="n">
        <v>3</v>
      </c>
    </row>
    <row r="12" customFormat="false" ht="15.75" hidden="false" customHeight="false" outlineLevel="0" collapsed="false">
      <c r="A12" s="19" t="n">
        <v>10</v>
      </c>
      <c r="B12" s="19" t="s">
        <v>109</v>
      </c>
      <c r="C12" s="19" t="s">
        <v>39</v>
      </c>
      <c r="D12" s="22" t="str">
        <f aca="false">HYPERLINK("https://discord.com/channels/1040938900039929917/1183790617545953401/1185627037709381743","ссылка")</f>
        <v>ссылка</v>
      </c>
      <c r="E12" s="25" t="n">
        <v>45276</v>
      </c>
      <c r="F12" s="24" t="n">
        <v>3</v>
      </c>
    </row>
    <row r="13" customFormat="false" ht="15.75" hidden="false" customHeight="false" outlineLevel="0" collapsed="false">
      <c r="A13" s="19" t="n">
        <v>11</v>
      </c>
      <c r="B13" s="19" t="s">
        <v>30</v>
      </c>
      <c r="C13" s="19" t="s">
        <v>67</v>
      </c>
      <c r="D13" s="26" t="str">
        <f aca="false">HYPERLINK("https://discord.com/channels/1040938900039929917/1183790617545953401/1185908894116106270","ссылка")</f>
        <v>ссылка</v>
      </c>
      <c r="E13" s="25" t="n">
        <v>45277</v>
      </c>
      <c r="F13" s="24" t="n">
        <v>2</v>
      </c>
    </row>
    <row r="14" customFormat="false" ht="15.75" hidden="false" customHeight="false" outlineLevel="0" collapsed="false">
      <c r="A14" s="19" t="n">
        <v>12</v>
      </c>
      <c r="B14" s="19" t="s">
        <v>30</v>
      </c>
      <c r="C14" s="19" t="s">
        <v>13</v>
      </c>
      <c r="D14" s="22" t="str">
        <f aca="false">HYPERLINK("https://discord.com/channels/1040938900039929917/1183790617545953401/1185910021947670538","ссылка")</f>
        <v>ссылка</v>
      </c>
      <c r="E14" s="25" t="n">
        <v>45277</v>
      </c>
      <c r="F14" s="24" t="n">
        <v>2</v>
      </c>
    </row>
    <row r="15" customFormat="false" ht="15.75" hidden="false" customHeight="false" outlineLevel="0" collapsed="false">
      <c r="A15" s="19" t="n">
        <v>13</v>
      </c>
      <c r="B15" s="19" t="s">
        <v>13</v>
      </c>
      <c r="C15" s="19" t="s">
        <v>30</v>
      </c>
      <c r="D15" s="22" t="str">
        <f aca="false">HYPERLINK("https://discord.com/channels/1040938900039929917/1183790617545953401/1185996603706851409","ссылка")</f>
        <v>ссылка</v>
      </c>
      <c r="E15" s="25" t="n">
        <v>45277</v>
      </c>
      <c r="F15" s="24" t="n">
        <v>2</v>
      </c>
    </row>
    <row r="16" customFormat="false" ht="15.75" hidden="false" customHeight="false" outlineLevel="0" collapsed="false">
      <c r="A16" s="19" t="n">
        <v>14</v>
      </c>
      <c r="B16" s="19" t="s">
        <v>109</v>
      </c>
      <c r="C16" s="19" t="s">
        <v>107</v>
      </c>
      <c r="D16" s="27" t="str">
        <f aca="false">HYPERLINK("https://discord.com/channels/1040938900039929917/1183790617545953401/1186015973094994021","ссылка")</f>
        <v>ссылка</v>
      </c>
      <c r="E16" s="25" t="n">
        <v>45277</v>
      </c>
      <c r="F16" s="24" t="n">
        <v>-5</v>
      </c>
    </row>
    <row r="17" customFormat="false" ht="15.75" hidden="false" customHeight="false" outlineLevel="0" collapsed="false">
      <c r="A17" s="19" t="n">
        <v>15</v>
      </c>
      <c r="B17" s="28" t="s">
        <v>13</v>
      </c>
      <c r="C17" s="28" t="s">
        <v>69</v>
      </c>
      <c r="D17" s="29" t="str">
        <f aca="false">HYPERLINK("https://discord.com/channels/1040938900039929917/1183790617545953401/1186109777370157176","ссылка")</f>
        <v>ссылка</v>
      </c>
      <c r="E17" s="30" t="n">
        <v>45278</v>
      </c>
      <c r="F17" s="31" t="n">
        <v>3</v>
      </c>
    </row>
    <row r="18" customFormat="false" ht="15.75" hidden="false" customHeight="false" outlineLevel="0" collapsed="false">
      <c r="A18" s="19" t="n">
        <v>16</v>
      </c>
      <c r="B18" s="28" t="s">
        <v>647</v>
      </c>
      <c r="C18" s="28" t="s">
        <v>647</v>
      </c>
      <c r="D18" s="32" t="str">
        <f aca="false">HYPERLINK("https://discord.com/channels/1040938900039929917/1183790617545953401/1184176359728222228","ссылка")</f>
        <v>ссылка</v>
      </c>
      <c r="E18" s="30" t="n">
        <v>45272</v>
      </c>
      <c r="F18" s="31" t="n">
        <v>-10</v>
      </c>
    </row>
    <row r="19" customFormat="false" ht="15.75" hidden="false" customHeight="false" outlineLevel="0" collapsed="false">
      <c r="A19" s="19" t="n">
        <v>17</v>
      </c>
      <c r="B19" s="28" t="s">
        <v>647</v>
      </c>
      <c r="C19" s="28" t="s">
        <v>64</v>
      </c>
      <c r="D19" s="32" t="str">
        <f aca="false">HYPERLINK("https://discord.com/channels/1040938900039929917/1183790617545953401/1184176359728222228","ссылка")</f>
        <v>ссылка</v>
      </c>
      <c r="E19" s="30" t="n">
        <v>45272</v>
      </c>
      <c r="F19" s="31" t="n">
        <v>-6</v>
      </c>
    </row>
    <row r="20" customFormat="false" ht="15.75" hidden="false" customHeight="false" outlineLevel="0" collapsed="false">
      <c r="A20" s="19" t="n">
        <v>18</v>
      </c>
      <c r="B20" s="28" t="s">
        <v>647</v>
      </c>
      <c r="C20" s="28" t="s">
        <v>9</v>
      </c>
      <c r="D20" s="32" t="str">
        <f aca="false">HYPERLINK("https://discord.com/channels/1040938900039929917/1183790617545953401/1184176359728222228","ссылка")</f>
        <v>ссылка</v>
      </c>
      <c r="E20" s="30" t="n">
        <v>45272</v>
      </c>
      <c r="F20" s="31" t="n">
        <v>-1</v>
      </c>
    </row>
    <row r="21" customFormat="false" ht="15.75" hidden="false" customHeight="false" outlineLevel="0" collapsed="false">
      <c r="A21" s="19" t="n">
        <v>19</v>
      </c>
      <c r="B21" s="28" t="s">
        <v>647</v>
      </c>
      <c r="C21" s="28" t="s">
        <v>7</v>
      </c>
      <c r="D21" s="32" t="str">
        <f aca="false">HYPERLINK("https://discord.com/channels/1040938900039929917/1183790617545953401/1184176359728222228","ссылка")</f>
        <v>ссылка</v>
      </c>
      <c r="E21" s="30" t="n">
        <v>45272</v>
      </c>
      <c r="F21" s="31" t="n">
        <v>-3</v>
      </c>
    </row>
    <row r="22" customFormat="false" ht="15.75" hidden="false" customHeight="false" outlineLevel="0" collapsed="false">
      <c r="A22" s="19" t="n">
        <v>20</v>
      </c>
      <c r="B22" s="33" t="s">
        <v>47</v>
      </c>
      <c r="C22" s="33" t="s">
        <v>55</v>
      </c>
      <c r="D22" s="34" t="str">
        <f aca="false">HYPERLINK("https://discord.com/channels/1040938900039929917/1183790617545953401/1185307375951958056","ссылка")</f>
        <v>ссылка</v>
      </c>
      <c r="E22" s="35" t="n">
        <v>45275</v>
      </c>
      <c r="F22" s="36" t="n">
        <v>2</v>
      </c>
    </row>
    <row r="23" customFormat="false" ht="15.75" hidden="false" customHeight="false" outlineLevel="0" collapsed="false">
      <c r="A23" s="19" t="n">
        <v>21</v>
      </c>
      <c r="B23" s="33" t="s">
        <v>47</v>
      </c>
      <c r="C23" s="33" t="s">
        <v>67</v>
      </c>
      <c r="D23" s="34" t="str">
        <f aca="false">HYPERLINK("https://discord.com/channels/1040938900039929917/1183790617545953401/1185307558894911559","ссылка")</f>
        <v>ссылка</v>
      </c>
      <c r="E23" s="35" t="n">
        <v>45275</v>
      </c>
      <c r="F23" s="36" t="n">
        <v>1</v>
      </c>
    </row>
    <row r="24" customFormat="false" ht="15.75" hidden="false" customHeight="false" outlineLevel="0" collapsed="false">
      <c r="A24" s="19" t="n">
        <v>22</v>
      </c>
      <c r="B24" s="19" t="s">
        <v>107</v>
      </c>
      <c r="C24" s="19" t="s">
        <v>24</v>
      </c>
      <c r="D24" s="34" t="str">
        <f aca="false">HYPERLINK("https://discord.com/channels/1040938900039929917/1183790617545953401/1185489742142394388","ссылка")</f>
        <v>ссылка</v>
      </c>
      <c r="E24" s="35" t="n">
        <v>45276</v>
      </c>
      <c r="F24" s="24" t="n">
        <v>2</v>
      </c>
    </row>
    <row r="25" customFormat="false" ht="15.75" hidden="false" customHeight="false" outlineLevel="0" collapsed="false">
      <c r="A25" s="19" t="n">
        <v>23</v>
      </c>
      <c r="B25" s="19" t="s">
        <v>11</v>
      </c>
      <c r="C25" s="19" t="s">
        <v>22</v>
      </c>
      <c r="D25" s="24" t="s">
        <v>976</v>
      </c>
      <c r="E25" s="25" t="n">
        <v>45276</v>
      </c>
      <c r="F25" s="24" t="n">
        <v>3</v>
      </c>
    </row>
    <row r="26" customFormat="false" ht="15.75" hidden="false" customHeight="false" outlineLevel="0" collapsed="false">
      <c r="A26" s="19" t="n">
        <v>24</v>
      </c>
      <c r="B26" s="37" t="s">
        <v>74</v>
      </c>
      <c r="C26" s="37" t="s">
        <v>51</v>
      </c>
      <c r="D26" s="26" t="str">
        <f aca="false">HYPERLINK("https://discord.com/channels/1040938900039929917/1183790617545953401/1187148730705649775","ссылка")</f>
        <v>ссылка</v>
      </c>
      <c r="E26" s="38" t="n">
        <v>45281</v>
      </c>
      <c r="F26" s="39" t="n">
        <v>2</v>
      </c>
    </row>
    <row r="27" customFormat="false" ht="15.75" hidden="false" customHeight="false" outlineLevel="0" collapsed="false">
      <c r="A27" s="19" t="n">
        <v>25</v>
      </c>
      <c r="B27" s="19" t="s">
        <v>74</v>
      </c>
      <c r="C27" s="19" t="s">
        <v>100</v>
      </c>
      <c r="D27" s="26" t="str">
        <f aca="false">HYPERLINK("https://discord.com/channels/1040938900039929917/1183790617545953401/1187149834914898021","ссылка")</f>
        <v>ссылка</v>
      </c>
      <c r="E27" s="25" t="n">
        <v>45281</v>
      </c>
      <c r="F27" s="24" t="n">
        <v>2</v>
      </c>
    </row>
    <row r="28" customFormat="false" ht="15.75" hidden="false" customHeight="false" outlineLevel="0" collapsed="false">
      <c r="A28" s="19" t="n">
        <v>26</v>
      </c>
      <c r="B28" s="19" t="s">
        <v>13</v>
      </c>
      <c r="C28" s="19" t="s">
        <v>116</v>
      </c>
      <c r="D28" s="26" t="str">
        <f aca="false">HYPERLINK("https://discord.com/channels/1040938900039929917/1183790617545953401/1187164736916295690","ссылка")</f>
        <v>ссылка</v>
      </c>
      <c r="E28" s="25" t="n">
        <v>45281</v>
      </c>
      <c r="F28" s="24" t="n">
        <v>3</v>
      </c>
      <c r="G28" s="19"/>
    </row>
    <row r="29" customFormat="false" ht="15.75" hidden="false" customHeight="false" outlineLevel="0" collapsed="false">
      <c r="A29" s="19" t="n">
        <v>27</v>
      </c>
      <c r="B29" s="19" t="s">
        <v>69</v>
      </c>
      <c r="C29" s="19" t="s">
        <v>13</v>
      </c>
      <c r="D29" s="22" t="str">
        <f aca="false">HYPERLINK("https://discord.com/channels/1040938900039929917/1186109777370157176/1186111118343676064","ссылка")</f>
        <v>ссылка</v>
      </c>
      <c r="E29" s="24" t="s">
        <v>977</v>
      </c>
      <c r="F29" s="24" t="n">
        <v>3</v>
      </c>
    </row>
    <row r="30" customFormat="false" ht="15.75" hidden="false" customHeight="false" outlineLevel="0" collapsed="false">
      <c r="A30" s="19" t="n">
        <v>28</v>
      </c>
      <c r="B30" s="19" t="s">
        <v>13</v>
      </c>
      <c r="C30" s="19" t="s">
        <v>51</v>
      </c>
      <c r="D30" s="40" t="str">
        <f aca="false">HYPERLINK("https://discord.com/channels/1040938900039929917/1183790617545953401/1188145847209295932","ссылка")</f>
        <v>ссылка</v>
      </c>
      <c r="E30" s="25" t="n">
        <v>45283</v>
      </c>
      <c r="F30" s="24" t="n">
        <v>2</v>
      </c>
    </row>
    <row r="31" customFormat="false" ht="15.75" hidden="false" customHeight="false" outlineLevel="0" collapsed="false">
      <c r="A31" s="19" t="n">
        <v>29</v>
      </c>
      <c r="B31" s="19" t="s">
        <v>51</v>
      </c>
      <c r="C31" s="19" t="s">
        <v>13</v>
      </c>
      <c r="D31" s="40" t="str">
        <f aca="false">HYPERLINK("https://discord.com/channels/1040938900039929917/1183790617545953401/1188177876130988042","ссылка")</f>
        <v>ссылка</v>
      </c>
      <c r="E31" s="25" t="n">
        <v>45283</v>
      </c>
      <c r="F31" s="24" t="n">
        <v>2</v>
      </c>
    </row>
    <row r="32" customFormat="false" ht="15.75" hidden="false" customHeight="false" outlineLevel="0" collapsed="false">
      <c r="A32" s="19" t="n">
        <v>30</v>
      </c>
      <c r="B32" s="19" t="s">
        <v>122</v>
      </c>
      <c r="C32" s="19" t="s">
        <v>64</v>
      </c>
      <c r="D32" s="41" t="str">
        <f aca="false">HYPERLINK("https://discord.com/channels/1040938900039929917/1183790617545953401/1188540542368366702","ссылка")</f>
        <v>ссылка</v>
      </c>
      <c r="E32" s="25" t="n">
        <v>45285</v>
      </c>
      <c r="F32" s="24" t="n">
        <v>-15</v>
      </c>
    </row>
    <row r="33" customFormat="false" ht="15.75" hidden="false" customHeight="false" outlineLevel="0" collapsed="false">
      <c r="A33" s="19" t="n">
        <v>31</v>
      </c>
      <c r="B33" s="19" t="s">
        <v>95</v>
      </c>
      <c r="C33" s="19" t="s">
        <v>116</v>
      </c>
      <c r="D33" s="40" t="str">
        <f aca="false">HYPERLINK("https://discord.com/channels/1040938900039929917/1183790617545953401/1188236636820095056","ссылка")</f>
        <v>ссылка</v>
      </c>
      <c r="E33" s="25" t="n">
        <v>45284</v>
      </c>
      <c r="F33" s="24" t="n">
        <v>2</v>
      </c>
    </row>
    <row r="34" customFormat="false" ht="15.75" hidden="false" customHeight="false" outlineLevel="0" collapsed="false">
      <c r="A34" s="19" t="n">
        <v>32</v>
      </c>
      <c r="B34" s="19" t="s">
        <v>88</v>
      </c>
      <c r="C34" s="19" t="s">
        <v>26</v>
      </c>
      <c r="D34" s="40" t="str">
        <f aca="false">HYPERLINK("https://discord.com/channels/1040938900039929917/1183790617545953401/1188241675387154452","ссылка")</f>
        <v>ссылка</v>
      </c>
      <c r="E34" s="24" t="s">
        <v>978</v>
      </c>
      <c r="F34" s="24" t="n">
        <v>2</v>
      </c>
    </row>
    <row r="35" customFormat="false" ht="15.75" hidden="false" customHeight="false" outlineLevel="0" collapsed="false">
      <c r="A35" s="19" t="n">
        <v>33</v>
      </c>
      <c r="B35" s="19" t="s">
        <v>26</v>
      </c>
      <c r="C35" s="19" t="s">
        <v>88</v>
      </c>
      <c r="D35" s="40" t="str">
        <f aca="false">HYPERLINK("https://discord.com/channels/1040938900039929917/1183790617545953401/1188245214754771034","ссылка")</f>
        <v>ссылка</v>
      </c>
      <c r="E35" s="25" t="n">
        <v>45284</v>
      </c>
      <c r="F35" s="24" t="n">
        <v>1</v>
      </c>
    </row>
    <row r="36" customFormat="false" ht="15.75" hidden="false" customHeight="false" outlineLevel="0" collapsed="false">
      <c r="A36" s="19" t="n">
        <v>34</v>
      </c>
      <c r="B36" s="19" t="s">
        <v>20</v>
      </c>
      <c r="C36" s="19" t="s">
        <v>13</v>
      </c>
      <c r="D36" s="42" t="str">
        <f aca="false">HYPERLINK("https://discord.com/channels/1040938900039929917/1183790617545953401/1188548052965916803","ссылка")</f>
        <v>ссылка</v>
      </c>
      <c r="E36" s="25" t="n">
        <v>45284</v>
      </c>
      <c r="F36" s="24" t="n">
        <v>2</v>
      </c>
    </row>
    <row r="37" customFormat="false" ht="15.75" hidden="false" customHeight="false" outlineLevel="0" collapsed="false">
      <c r="A37" s="19" t="n">
        <v>35</v>
      </c>
      <c r="B37" s="19" t="s">
        <v>95</v>
      </c>
      <c r="C37" s="19" t="s">
        <v>51</v>
      </c>
      <c r="D37" s="42" t="str">
        <f aca="false">HYPERLINK("https://discord.com/channels/1040938900039929917/1183790617545953401/1188937694814941215","ссылка")</f>
        <v>ссылка</v>
      </c>
      <c r="E37" s="25" t="n">
        <v>45286</v>
      </c>
      <c r="F37" s="24" t="n">
        <v>3</v>
      </c>
    </row>
    <row r="38" customFormat="false" ht="15.75" hidden="false" customHeight="false" outlineLevel="0" collapsed="false">
      <c r="A38" s="19" t="n">
        <v>36</v>
      </c>
      <c r="B38" s="19" t="s">
        <v>183</v>
      </c>
      <c r="C38" s="19" t="s">
        <v>51</v>
      </c>
      <c r="D38" s="42" t="str">
        <f aca="false">HYPERLINK("https://discord.com/channels/1040938900039929917/1183790617545953401/1188929877802496114","ссылка")</f>
        <v>ссылка</v>
      </c>
      <c r="E38" s="25" t="n">
        <v>45286</v>
      </c>
      <c r="F38" s="24" t="n">
        <v>3</v>
      </c>
    </row>
    <row r="39" customFormat="false" ht="15.75" hidden="false" customHeight="false" outlineLevel="0" collapsed="false">
      <c r="A39" s="19" t="n">
        <v>37</v>
      </c>
      <c r="B39" s="19" t="s">
        <v>95</v>
      </c>
      <c r="C39" s="19" t="s">
        <v>183</v>
      </c>
      <c r="D39" s="42" t="str">
        <f aca="false">HYPERLINK("https://discord.com/channels/1040938900039929917/1183790617545953401/1188925803732406302","ссылка")</f>
        <v>ссылка</v>
      </c>
      <c r="E39" s="25" t="n">
        <v>45286</v>
      </c>
      <c r="F39" s="24" t="n">
        <v>0</v>
      </c>
    </row>
    <row r="40" customFormat="false" ht="15.75" hidden="false" customHeight="false" outlineLevel="0" collapsed="false">
      <c r="A40" s="19" t="n">
        <v>38</v>
      </c>
      <c r="B40" s="19" t="s">
        <v>183</v>
      </c>
      <c r="C40" s="19" t="s">
        <v>95</v>
      </c>
      <c r="D40" s="42" t="str">
        <f aca="false">HYPERLINK("https://discord.com/channels/1040938900039929917/1183790617545953401/1188929877802496114","ссылка")</f>
        <v>ссылка</v>
      </c>
      <c r="E40" s="25" t="n">
        <v>45286</v>
      </c>
      <c r="F40" s="24" t="n">
        <v>0</v>
      </c>
    </row>
    <row r="41" customFormat="false" ht="15.75" hidden="false" customHeight="false" outlineLevel="0" collapsed="false">
      <c r="A41" s="19" t="n">
        <v>39</v>
      </c>
      <c r="B41" s="19" t="s">
        <v>979</v>
      </c>
      <c r="C41" s="19" t="s">
        <v>185</v>
      </c>
      <c r="D41" s="40" t="str">
        <f aca="false">HYPERLINK("https://discord.com/channels/1040938900039929917/1183790617545953401/1189597405461610636","ссылка")</f>
        <v>ссылка</v>
      </c>
      <c r="E41" s="25" t="n">
        <v>45287</v>
      </c>
      <c r="F41" s="24" t="n">
        <v>-10</v>
      </c>
    </row>
    <row r="42" customFormat="false" ht="15.75" hidden="false" customHeight="false" outlineLevel="0" collapsed="false">
      <c r="A42" s="19" t="n">
        <v>40</v>
      </c>
      <c r="B42" s="19" t="s">
        <v>6</v>
      </c>
      <c r="C42" s="19" t="s">
        <v>201</v>
      </c>
      <c r="D42" s="40" t="str">
        <f aca="false">HYPERLINK("https://discord.com/channels/1040938900039929917/1183790617545953401/1190676671636983889","ссылка")</f>
        <v>ссылка</v>
      </c>
      <c r="E42" s="25" t="n">
        <v>45290</v>
      </c>
      <c r="F42" s="24" t="n">
        <v>2</v>
      </c>
    </row>
    <row r="43" customFormat="false" ht="15.75" hidden="false" customHeight="false" outlineLevel="0" collapsed="false">
      <c r="A43" s="19" t="n">
        <v>41</v>
      </c>
      <c r="B43" s="19" t="s">
        <v>201</v>
      </c>
      <c r="C43" s="19" t="s">
        <v>6</v>
      </c>
      <c r="D43" s="42" t="str">
        <f aca="false">HYPERLINK("https://discord.com/channels/1040938900039929917/1183790617545953401/1190505026339217458","ссылка")</f>
        <v>ссылка</v>
      </c>
      <c r="E43" s="25" t="n">
        <v>45290</v>
      </c>
      <c r="F43" s="24" t="n">
        <v>3</v>
      </c>
    </row>
    <row r="44" customFormat="false" ht="15.75" hidden="false" customHeight="false" outlineLevel="0" collapsed="false">
      <c r="A44" s="19" t="n">
        <v>42</v>
      </c>
      <c r="B44" s="19" t="s">
        <v>183</v>
      </c>
      <c r="C44" s="19" t="s">
        <v>95</v>
      </c>
      <c r="D44" s="40" t="str">
        <f aca="false">HYPERLINK("https://discord.com/channels/1040938900039929917/1183790617545953401/1189902704735162399","ссылка")</f>
        <v>ссылка</v>
      </c>
      <c r="E44" s="25" t="n">
        <v>45290</v>
      </c>
      <c r="F44" s="24" t="n">
        <v>-5</v>
      </c>
    </row>
    <row r="45" customFormat="false" ht="15.75" hidden="false" customHeight="false" outlineLevel="0" collapsed="false">
      <c r="A45" s="19" t="n">
        <v>43</v>
      </c>
      <c r="B45" s="19" t="s">
        <v>201</v>
      </c>
      <c r="C45" s="19" t="s">
        <v>127</v>
      </c>
      <c r="D45" s="40" t="str">
        <f aca="false">HYPERLINK("https://discord.com/channels/1040938900039929917/1183790617545953401/1190455179049443379","ссылка")</f>
        <v>ссылка</v>
      </c>
      <c r="E45" s="25" t="n">
        <v>45290</v>
      </c>
      <c r="F45" s="24" t="n">
        <v>3</v>
      </c>
    </row>
    <row r="46" customFormat="false" ht="15.75" hidden="false" customHeight="false" outlineLevel="0" collapsed="false">
      <c r="A46" s="19" t="n">
        <v>44</v>
      </c>
      <c r="B46" s="19" t="s">
        <v>201</v>
      </c>
      <c r="C46" s="19" t="s">
        <v>116</v>
      </c>
      <c r="D46" s="40" t="str">
        <f aca="false">HYPERLINK("https://discord.com/channels/1040938900039929917/1183790617545953401/1190455179049443379","ссылка")</f>
        <v>ссылка</v>
      </c>
      <c r="E46" s="25" t="n">
        <v>45290</v>
      </c>
      <c r="F46" s="24" t="n">
        <v>3</v>
      </c>
    </row>
    <row r="47" customFormat="false" ht="15.75" hidden="false" customHeight="false" outlineLevel="0" collapsed="false">
      <c r="A47" s="19" t="n">
        <v>45</v>
      </c>
      <c r="B47" s="19" t="s">
        <v>107</v>
      </c>
      <c r="C47" s="19" t="s">
        <v>95</v>
      </c>
      <c r="D47" s="40" t="str">
        <f aca="false">HYPERLINK("https://discord.com/channels/1040938900039929917/1183790617545953401/1189963605337190482","ссылка")</f>
        <v>ссылка</v>
      </c>
      <c r="E47" s="25" t="n">
        <v>45288</v>
      </c>
      <c r="F47" s="24" t="n">
        <v>2</v>
      </c>
    </row>
    <row r="48" customFormat="false" ht="15.75" hidden="false" customHeight="false" outlineLevel="0" collapsed="false">
      <c r="A48" s="19" t="n">
        <v>46</v>
      </c>
      <c r="B48" s="19" t="s">
        <v>107</v>
      </c>
      <c r="C48" s="19" t="s">
        <v>64</v>
      </c>
      <c r="D48" s="40" t="str">
        <f aca="false">HYPERLINK("https://discord.com/channels/1040938900039929917/1183790617545953401/1189963605337190482","ссылка")</f>
        <v>ссылка</v>
      </c>
      <c r="E48" s="25" t="n">
        <v>45288</v>
      </c>
      <c r="F48" s="24" t="n">
        <v>2</v>
      </c>
    </row>
    <row r="49" customFormat="false" ht="15.75" hidden="false" customHeight="false" outlineLevel="0" collapsed="false">
      <c r="A49" s="19" t="n">
        <v>47</v>
      </c>
      <c r="B49" s="19" t="s">
        <v>69</v>
      </c>
      <c r="C49" s="19" t="s">
        <v>39</v>
      </c>
      <c r="D49" s="42" t="str">
        <f aca="false">HYPERLINK("https://discord.com/channels/1040938900039929917/1183790617545953401/1190691759760605204","ссылка")</f>
        <v>ссылка</v>
      </c>
      <c r="E49" s="25" t="n">
        <v>45290</v>
      </c>
      <c r="F49" s="24" t="n">
        <v>-15</v>
      </c>
    </row>
    <row r="50" customFormat="false" ht="15.75" hidden="false" customHeight="false" outlineLevel="0" collapsed="false">
      <c r="A50" s="19" t="n">
        <v>48</v>
      </c>
      <c r="B50" s="19" t="s">
        <v>122</v>
      </c>
      <c r="C50" s="19" t="s">
        <v>88</v>
      </c>
      <c r="D50" s="40" t="str">
        <f aca="false">HYPERLINK("https://discord.com/channels/1040938900039929917/1183790617545953401/1189687946530525284","ссылка")</f>
        <v>ссылка</v>
      </c>
      <c r="E50" s="25" t="n">
        <v>45288</v>
      </c>
      <c r="F50" s="24" t="n">
        <v>3</v>
      </c>
    </row>
    <row r="51" customFormat="false" ht="15.75" hidden="false" customHeight="false" outlineLevel="0" collapsed="false">
      <c r="A51" s="19" t="n">
        <v>49</v>
      </c>
      <c r="B51" s="19" t="s">
        <v>88</v>
      </c>
      <c r="C51" s="19" t="s">
        <v>69</v>
      </c>
      <c r="D51" s="40" t="str">
        <f aca="false">HYPERLINK("https://discord.com/channels/1040938900039929917/1183790617545953401/1189687399513595964","ссылка")</f>
        <v>ссылка</v>
      </c>
      <c r="E51" s="25" t="n">
        <v>45288</v>
      </c>
      <c r="F51" s="24" t="n">
        <v>3</v>
      </c>
    </row>
    <row r="52" customFormat="false" ht="15.75" hidden="false" customHeight="false" outlineLevel="0" collapsed="false">
      <c r="A52" s="19" t="n">
        <v>50</v>
      </c>
      <c r="B52" s="19" t="s">
        <v>88</v>
      </c>
      <c r="C52" s="19" t="s">
        <v>122</v>
      </c>
      <c r="D52" s="40" t="str">
        <f aca="false">HYPERLINK("https://discord.com/channels/1040938900039929917/1183790617545953401/1189687399513595964","ссылка")</f>
        <v>ссылка</v>
      </c>
      <c r="E52" s="25" t="n">
        <v>45288</v>
      </c>
      <c r="F52" s="24" t="n">
        <v>3</v>
      </c>
    </row>
    <row r="53" customFormat="false" ht="15.75" hidden="false" customHeight="false" outlineLevel="0" collapsed="false">
      <c r="A53" s="19" t="n">
        <v>51</v>
      </c>
      <c r="B53" s="19" t="s">
        <v>59</v>
      </c>
      <c r="C53" s="19" t="s">
        <v>69</v>
      </c>
      <c r="D53" s="40" t="str">
        <f aca="false">HYPERLINK("https://discord.com/channels/1040938900039929917/1183790617545953401/1190700180618612736","ссылка")</f>
        <v>ссылка</v>
      </c>
      <c r="E53" s="25" t="n">
        <v>45290</v>
      </c>
      <c r="F53" s="24" t="n">
        <v>3</v>
      </c>
    </row>
    <row r="54" customFormat="false" ht="15.75" hidden="false" customHeight="false" outlineLevel="0" collapsed="false">
      <c r="A54" s="19" t="n">
        <v>52</v>
      </c>
      <c r="B54" s="19" t="s">
        <v>109</v>
      </c>
      <c r="C54" s="19" t="s">
        <v>59</v>
      </c>
      <c r="D54" s="40" t="str">
        <f aca="false">HYPERLINK("https://discord.com/channels/1040938900039929917/1183790617545953401/1190706058352660621","ссылка")</f>
        <v>ссылка</v>
      </c>
      <c r="E54" s="25" t="n">
        <v>45290</v>
      </c>
      <c r="F54" s="24" t="n">
        <v>2</v>
      </c>
    </row>
    <row r="55" customFormat="false" ht="15.75" hidden="false" customHeight="false" outlineLevel="0" collapsed="false">
      <c r="A55" s="19" t="n">
        <v>53</v>
      </c>
      <c r="B55" s="19" t="s">
        <v>69</v>
      </c>
      <c r="C55" s="19" t="s">
        <v>59</v>
      </c>
      <c r="D55" s="40" t="str">
        <f aca="false">HYPERLINK("https://discord.com/channels/1040938900039929917/1183790617545953401/1190707732244877403","ссылка")</f>
        <v>ссылка</v>
      </c>
      <c r="E55" s="25" t="n">
        <v>45290</v>
      </c>
      <c r="F55" s="24" t="n">
        <v>3</v>
      </c>
    </row>
    <row r="56" customFormat="false" ht="15.75" hidden="false" customHeight="false" outlineLevel="0" collapsed="false">
      <c r="A56" s="19" t="n">
        <v>54</v>
      </c>
      <c r="B56" s="19" t="s">
        <v>6</v>
      </c>
      <c r="C56" s="19" t="s">
        <v>64</v>
      </c>
      <c r="D56" s="40" t="str">
        <f aca="false">HYPERLINK("https://discord.com/channels/1040938900039929917/1183790617545953401/1189647009683079371","ссылка")</f>
        <v>ссылка</v>
      </c>
      <c r="E56" s="25" t="n">
        <v>45287</v>
      </c>
      <c r="F56" s="24" t="n">
        <v>-15</v>
      </c>
    </row>
    <row r="57" customFormat="false" ht="15.75" hidden="false" customHeight="false" outlineLevel="0" collapsed="false">
      <c r="A57" s="19" t="n">
        <v>55</v>
      </c>
      <c r="B57" s="19" t="s">
        <v>6</v>
      </c>
      <c r="C57" s="19" t="s">
        <v>39</v>
      </c>
      <c r="D57" s="40" t="str">
        <f aca="false">HYPERLINK("https://discord.com/channels/1040938900039929917/1183790617545953401/1189647009683079371","ссылка")</f>
        <v>ссылка</v>
      </c>
      <c r="E57" s="25" t="n">
        <v>45287</v>
      </c>
      <c r="F57" s="24" t="n">
        <v>-15</v>
      </c>
    </row>
    <row r="58" customFormat="false" ht="15.75" hidden="false" customHeight="false" outlineLevel="0" collapsed="false">
      <c r="A58" s="19" t="n">
        <v>56</v>
      </c>
      <c r="B58" s="19" t="s">
        <v>13</v>
      </c>
      <c r="C58" s="19" t="s">
        <v>47</v>
      </c>
      <c r="D58" s="40" t="str">
        <f aca="false">HYPERLINK("https://discord.com/channels/1040938900039929917/1183790617545953401/1190810097018994779","ссылка")</f>
        <v>ссылка</v>
      </c>
      <c r="E58" s="25" t="n">
        <v>45291</v>
      </c>
      <c r="F58" s="24" t="n">
        <v>3</v>
      </c>
    </row>
    <row r="59" customFormat="false" ht="15.75" hidden="false" customHeight="false" outlineLevel="0" collapsed="false">
      <c r="A59" s="19" t="n">
        <v>57</v>
      </c>
      <c r="B59" s="19" t="s">
        <v>13</v>
      </c>
      <c r="C59" s="19" t="s">
        <v>201</v>
      </c>
      <c r="D59" s="40" t="str">
        <f aca="false">HYPERLINK("https://discord.com/channels/1040938900039929917/1183790617545953401/1190810097018994779","ссылка")</f>
        <v>ссылка</v>
      </c>
      <c r="E59" s="25" t="n">
        <v>45291</v>
      </c>
      <c r="F59" s="24" t="n">
        <v>3</v>
      </c>
    </row>
    <row r="60" customFormat="false" ht="15.75" hidden="false" customHeight="false" outlineLevel="0" collapsed="false">
      <c r="A60" s="19" t="n">
        <v>58</v>
      </c>
      <c r="B60" s="19" t="s">
        <v>13</v>
      </c>
      <c r="C60" s="19" t="s">
        <v>100</v>
      </c>
      <c r="D60" s="40" t="str">
        <f aca="false">HYPERLINK("https://discord.com/channels/1040938900039929917/1183790617545953401/1190810097018994779","ссылка")</f>
        <v>ссылка</v>
      </c>
      <c r="E60" s="25" t="n">
        <v>45291</v>
      </c>
      <c r="F60" s="24" t="n">
        <v>3</v>
      </c>
    </row>
    <row r="61" customFormat="false" ht="15.75" hidden="false" customHeight="false" outlineLevel="0" collapsed="false">
      <c r="A61" s="19" t="n">
        <v>59</v>
      </c>
      <c r="B61" s="19" t="s">
        <v>6</v>
      </c>
      <c r="C61" s="19" t="s">
        <v>13</v>
      </c>
      <c r="D61" s="24" t="s">
        <v>980</v>
      </c>
      <c r="E61" s="25" t="n">
        <v>45291</v>
      </c>
      <c r="F61" s="24" t="n">
        <v>3</v>
      </c>
    </row>
    <row r="62" customFormat="false" ht="15.75" hidden="false" customHeight="false" outlineLevel="0" collapsed="false">
      <c r="A62" s="19" t="n">
        <v>60</v>
      </c>
      <c r="B62" s="19" t="s">
        <v>13</v>
      </c>
      <c r="C62" s="19" t="s">
        <v>189</v>
      </c>
      <c r="D62" s="40" t="str">
        <f aca="false">HYPERLINK("https://discord.com/channels/1040938900039929917/1183790617545953401/1191772757076226138","ссылка")</f>
        <v>ссылка</v>
      </c>
      <c r="E62" s="43" t="n">
        <v>45262</v>
      </c>
      <c r="F62" s="24" t="n">
        <v>2</v>
      </c>
    </row>
    <row r="63" customFormat="false" ht="15.75" hidden="false" customHeight="false" outlineLevel="0" collapsed="false">
      <c r="A63" s="19" t="n">
        <v>61</v>
      </c>
      <c r="B63" s="19" t="s">
        <v>189</v>
      </c>
      <c r="C63" s="19" t="s">
        <v>13</v>
      </c>
      <c r="D63" s="40" t="str">
        <f aca="false">HYPERLINK("https://discord.com/channels/1040938900039929917/1183790617545953401/1191775015079776278","ссылка")</f>
        <v>ссылка</v>
      </c>
      <c r="E63" s="43" t="n">
        <v>45262</v>
      </c>
      <c r="F63" s="24" t="n">
        <v>2</v>
      </c>
    </row>
    <row r="64" customFormat="false" ht="15.75" hidden="false" customHeight="false" outlineLevel="0" collapsed="false">
      <c r="A64" s="19" t="n">
        <v>62</v>
      </c>
      <c r="B64" s="19" t="s">
        <v>104</v>
      </c>
      <c r="C64" s="19" t="s">
        <v>26</v>
      </c>
      <c r="D64" s="40" t="str">
        <f aca="false">HYPERLINK("https://discord.com/channels/1040938900039929917/1183790617545953401/1191561564604600500","ссылка")</f>
        <v>ссылка</v>
      </c>
      <c r="E64" s="43" t="n">
        <v>45262</v>
      </c>
      <c r="F64" s="24" t="n">
        <v>2</v>
      </c>
    </row>
    <row r="65" customFormat="false" ht="15.75" hidden="false" customHeight="false" outlineLevel="0" collapsed="false">
      <c r="A65" s="19" t="n">
        <v>63</v>
      </c>
      <c r="B65" s="19" t="s">
        <v>26</v>
      </c>
      <c r="C65" s="19" t="s">
        <v>104</v>
      </c>
      <c r="D65" s="40" t="str">
        <f aca="false">HYPERLINK("https://discord.com/channels/1040938900039929917/1183790617545953401/1191561564604600500","ссылка")</f>
        <v>ссылка</v>
      </c>
      <c r="E65" s="43" t="n">
        <v>45262</v>
      </c>
      <c r="F65" s="24" t="n">
        <v>2</v>
      </c>
    </row>
    <row r="66" customFormat="false" ht="15.75" hidden="false" customHeight="false" outlineLevel="0" collapsed="false">
      <c r="A66" s="19" t="n">
        <v>64</v>
      </c>
      <c r="B66" s="19" t="s">
        <v>26</v>
      </c>
      <c r="C66" s="19" t="s">
        <v>180</v>
      </c>
      <c r="D66" s="40" t="str">
        <f aca="false">HYPERLINK("https://discord.com/channels/1040938900039929917/1183790617545953401/1191561564604600500","ссылка")</f>
        <v>ссылка</v>
      </c>
      <c r="E66" s="43" t="n">
        <v>45262</v>
      </c>
      <c r="F66" s="24" t="n">
        <v>2</v>
      </c>
    </row>
    <row r="67" customFormat="false" ht="15.75" hidden="false" customHeight="false" outlineLevel="0" collapsed="false">
      <c r="A67" s="19" t="n">
        <v>65</v>
      </c>
      <c r="B67" s="19" t="s">
        <v>6</v>
      </c>
      <c r="C67" s="19" t="s">
        <v>210</v>
      </c>
      <c r="D67" s="44" t="s">
        <v>981</v>
      </c>
      <c r="E67" s="43" t="n">
        <v>44929</v>
      </c>
      <c r="F67" s="24" t="n">
        <v>-40</v>
      </c>
    </row>
    <row r="68" customFormat="false" ht="15.75" hidden="false" customHeight="false" outlineLevel="0" collapsed="false">
      <c r="A68" s="19" t="n">
        <v>66</v>
      </c>
      <c r="B68" s="19" t="s">
        <v>6</v>
      </c>
      <c r="C68" s="19" t="s">
        <v>212</v>
      </c>
      <c r="D68" s="24" t="s">
        <v>982</v>
      </c>
      <c r="E68" s="43" t="n">
        <v>44929</v>
      </c>
      <c r="F68" s="24" t="n">
        <v>-5</v>
      </c>
    </row>
    <row r="69" customFormat="false" ht="15.75" hidden="false" customHeight="false" outlineLevel="0" collapsed="false">
      <c r="A69" s="19" t="n">
        <v>67</v>
      </c>
      <c r="B69" s="19" t="s">
        <v>6</v>
      </c>
      <c r="C69" s="19" t="s">
        <v>983</v>
      </c>
      <c r="D69" s="24" t="s">
        <v>982</v>
      </c>
      <c r="E69" s="43" t="n">
        <v>44929</v>
      </c>
      <c r="F69" s="24" t="n">
        <v>-5</v>
      </c>
    </row>
    <row r="70" customFormat="false" ht="15.75" hidden="false" customHeight="false" outlineLevel="0" collapsed="false">
      <c r="A70" s="19" t="n">
        <v>68</v>
      </c>
      <c r="B70" s="19" t="s">
        <v>6</v>
      </c>
      <c r="C70" s="19" t="s">
        <v>984</v>
      </c>
      <c r="D70" s="24" t="s">
        <v>982</v>
      </c>
      <c r="E70" s="43" t="n">
        <v>44929</v>
      </c>
      <c r="F70" s="24" t="n">
        <v>-5</v>
      </c>
    </row>
    <row r="71" customFormat="false" ht="15.75" hidden="false" customHeight="false" outlineLevel="0" collapsed="false">
      <c r="A71" s="19" t="n">
        <v>69</v>
      </c>
      <c r="B71" s="19" t="s">
        <v>69</v>
      </c>
      <c r="C71" s="19" t="s">
        <v>153</v>
      </c>
      <c r="D71" s="40" t="str">
        <f aca="false">HYPERLINK("https://discord.com/channels/1040938900039929917/1183790617545953401/1191875739872677988","ссылка")</f>
        <v>ссылка</v>
      </c>
      <c r="E71" s="43" t="n">
        <v>44929</v>
      </c>
      <c r="F71" s="24" t="n">
        <v>-2</v>
      </c>
    </row>
    <row r="72" customFormat="false" ht="15.75" hidden="false" customHeight="false" outlineLevel="0" collapsed="false">
      <c r="A72" s="19" t="n">
        <v>70</v>
      </c>
      <c r="B72" s="19" t="s">
        <v>6</v>
      </c>
      <c r="C72" s="19" t="s">
        <v>220</v>
      </c>
      <c r="D72" s="44" t="s">
        <v>981</v>
      </c>
      <c r="E72" s="43" t="n">
        <v>44929</v>
      </c>
      <c r="F72" s="24" t="n">
        <v>-40</v>
      </c>
    </row>
    <row r="73" customFormat="false" ht="15.75" hidden="false" customHeight="false" outlineLevel="0" collapsed="false">
      <c r="A73" s="19" t="n">
        <v>71</v>
      </c>
      <c r="B73" s="19" t="s">
        <v>64</v>
      </c>
      <c r="C73" s="19" t="s">
        <v>183</v>
      </c>
      <c r="D73" s="40" t="str">
        <f aca="false">HYPERLINK("https://discord.com/channels/1040938900039929917/1183790617545953401/1192125732843946024","ссылка")</f>
        <v>ссылка</v>
      </c>
      <c r="E73" s="43" t="n">
        <v>44929</v>
      </c>
      <c r="F73" s="24" t="n">
        <v>-5</v>
      </c>
    </row>
    <row r="74" customFormat="false" ht="15.75" hidden="false" customHeight="false" outlineLevel="0" collapsed="false">
      <c r="A74" s="19" t="n">
        <v>72</v>
      </c>
      <c r="B74" s="19" t="s">
        <v>64</v>
      </c>
      <c r="C74" s="19" t="s">
        <v>122</v>
      </c>
      <c r="D74" s="40" t="str">
        <f aca="false">HYPERLINK("https://discord.com/channels/1040938900039929917/1183790617545953401/1192125732843946024","ссылка")</f>
        <v>ссылка</v>
      </c>
      <c r="E74" s="43" t="n">
        <v>44929</v>
      </c>
      <c r="F74" s="24" t="n">
        <v>0</v>
      </c>
    </row>
    <row r="75" customFormat="false" ht="15.75" hidden="false" customHeight="false" outlineLevel="0" collapsed="false">
      <c r="A75" s="19" t="n">
        <v>73</v>
      </c>
      <c r="B75" s="19" t="s">
        <v>69</v>
      </c>
      <c r="C75" s="19" t="s">
        <v>122</v>
      </c>
      <c r="D75" s="40" t="str">
        <f aca="false">HYPERLINK("https://discord.com/channels/1040938900039929917/1183790617545953401/1191779319635247115","ссылка")</f>
        <v>ссылка</v>
      </c>
      <c r="E75" s="43" t="n">
        <v>44928</v>
      </c>
      <c r="F75" s="24" t="n">
        <v>2</v>
      </c>
    </row>
    <row r="76" customFormat="false" ht="15.75" hidden="false" customHeight="false" outlineLevel="0" collapsed="false">
      <c r="A76" s="19" t="n">
        <v>74</v>
      </c>
      <c r="B76" s="19" t="s">
        <v>69</v>
      </c>
      <c r="C76" s="19" t="s">
        <v>201</v>
      </c>
      <c r="D76" s="40" t="str">
        <f aca="false">HYPERLINK("https://discord.com/channels/1040938900039929917/1183790617545953401/1191779319635247115","ссылка")</f>
        <v>ссылка</v>
      </c>
      <c r="E76" s="43" t="n">
        <v>44928</v>
      </c>
      <c r="F76" s="24" t="n">
        <v>2</v>
      </c>
    </row>
    <row r="77" customFormat="false" ht="15.75" hidden="false" customHeight="false" outlineLevel="0" collapsed="false">
      <c r="A77" s="19" t="n">
        <v>75</v>
      </c>
      <c r="B77" s="19" t="s">
        <v>69</v>
      </c>
      <c r="C77" s="19" t="s">
        <v>67</v>
      </c>
      <c r="D77" s="40" t="str">
        <f aca="false">HYPERLINK("https://discord.com/channels/1040938900039929917/1183790617545953401/1191779319635247115","ссылка")</f>
        <v>ссылка</v>
      </c>
      <c r="E77" s="43" t="n">
        <v>44928</v>
      </c>
      <c r="F77" s="24" t="n">
        <v>3</v>
      </c>
    </row>
    <row r="78" customFormat="false" ht="15.75" hidden="false" customHeight="false" outlineLevel="0" collapsed="false">
      <c r="A78" s="19" t="n">
        <v>76</v>
      </c>
      <c r="B78" s="19" t="s">
        <v>6</v>
      </c>
      <c r="C78" s="19" t="s">
        <v>222</v>
      </c>
      <c r="D78" s="24" t="s">
        <v>982</v>
      </c>
      <c r="E78" s="43" t="n">
        <v>44929</v>
      </c>
      <c r="F78" s="24" t="n">
        <v>-5</v>
      </c>
    </row>
    <row r="79" customFormat="false" ht="15.75" hidden="false" customHeight="false" outlineLevel="0" collapsed="false">
      <c r="A79" s="19" t="n">
        <v>77</v>
      </c>
      <c r="B79" s="19" t="s">
        <v>6</v>
      </c>
      <c r="C79" s="19" t="s">
        <v>224</v>
      </c>
      <c r="D79" s="24" t="s">
        <v>982</v>
      </c>
      <c r="E79" s="43" t="n">
        <v>44929</v>
      </c>
      <c r="F79" s="24" t="n">
        <v>-5</v>
      </c>
    </row>
    <row r="80" customFormat="false" ht="15.75" hidden="false" customHeight="false" outlineLevel="0" collapsed="false">
      <c r="A80" s="19" t="n">
        <v>78</v>
      </c>
      <c r="B80" s="19" t="s">
        <v>189</v>
      </c>
      <c r="C80" s="19" t="s">
        <v>53</v>
      </c>
      <c r="D80" s="40" t="str">
        <f aca="false">HYPERLINK("https://discord.com/channels/1040938900039929917/1183790617545953401/1192163569874251867","ссылка")</f>
        <v>ссылка</v>
      </c>
      <c r="E80" s="43" t="n">
        <v>44929</v>
      </c>
      <c r="F80" s="24" t="n">
        <v>2</v>
      </c>
    </row>
    <row r="81" customFormat="false" ht="15.75" hidden="false" customHeight="false" outlineLevel="0" collapsed="false">
      <c r="A81" s="19" t="n">
        <v>79</v>
      </c>
      <c r="B81" s="19" t="s">
        <v>69</v>
      </c>
      <c r="C81" s="19" t="s">
        <v>153</v>
      </c>
      <c r="D81" s="40" t="str">
        <f aca="false">HYPERLINK("https://discord.com/channels/1040938900039929917/1183790617545953401/1191875739872677988","ссылка")</f>
        <v>ссылка</v>
      </c>
      <c r="E81" s="43" t="n">
        <v>44929</v>
      </c>
      <c r="F81" s="24" t="n">
        <v>-2</v>
      </c>
    </row>
    <row r="82" customFormat="false" ht="15.75" hidden="false" customHeight="false" outlineLevel="0" collapsed="false">
      <c r="A82" s="19" t="n">
        <v>80</v>
      </c>
      <c r="B82" s="19" t="s">
        <v>6</v>
      </c>
      <c r="C82" s="19" t="s">
        <v>230</v>
      </c>
      <c r="D82" s="6" t="s">
        <v>981</v>
      </c>
      <c r="E82" s="43" t="n">
        <v>44930</v>
      </c>
      <c r="F82" s="24" t="n">
        <v>-40</v>
      </c>
    </row>
    <row r="83" customFormat="false" ht="15.75" hidden="false" customHeight="false" outlineLevel="0" collapsed="false">
      <c r="A83" s="19" t="n">
        <v>81</v>
      </c>
      <c r="B83" s="19" t="s">
        <v>6</v>
      </c>
      <c r="C83" s="19" t="s">
        <v>232</v>
      </c>
      <c r="D83" s="24" t="s">
        <v>981</v>
      </c>
      <c r="E83" s="43" t="n">
        <v>44930</v>
      </c>
      <c r="F83" s="24" t="n">
        <v>-40</v>
      </c>
    </row>
    <row r="84" customFormat="false" ht="15.75" hidden="false" customHeight="false" outlineLevel="0" collapsed="false">
      <c r="A84" s="19" t="n">
        <v>82</v>
      </c>
      <c r="B84" s="19" t="s">
        <v>72</v>
      </c>
      <c r="C84" s="19" t="s">
        <v>110</v>
      </c>
      <c r="D84" s="40" t="str">
        <f aca="false">HYPERLINK("https://discord.com/channels/1040938900039929917/1183790617545953401/1192419362041249832","ссылка")</f>
        <v>ссылка</v>
      </c>
      <c r="E84" s="43" t="n">
        <v>44930</v>
      </c>
      <c r="F84" s="24" t="n">
        <v>1</v>
      </c>
    </row>
    <row r="85" customFormat="false" ht="15.75" hidden="false" customHeight="false" outlineLevel="0" collapsed="false">
      <c r="A85" s="19" t="n">
        <v>83</v>
      </c>
      <c r="B85" s="19" t="s">
        <v>983</v>
      </c>
      <c r="C85" s="19" t="s">
        <v>7</v>
      </c>
      <c r="D85" s="40" t="str">
        <f aca="false">HYPERLINK("https://discord.com/channels/1040938900039929917/1183790617545953401/1192407425966419998","ссылка")</f>
        <v>ссылка</v>
      </c>
      <c r="E85" s="43" t="n">
        <v>44930</v>
      </c>
      <c r="F85" s="24" t="n">
        <v>-50</v>
      </c>
    </row>
    <row r="86" customFormat="false" ht="15.75" hidden="false" customHeight="false" outlineLevel="0" collapsed="false">
      <c r="A86" s="19" t="n">
        <v>84</v>
      </c>
      <c r="B86" s="19" t="s">
        <v>6</v>
      </c>
      <c r="C86" s="19" t="s">
        <v>236</v>
      </c>
      <c r="D86" s="24" t="s">
        <v>982</v>
      </c>
      <c r="E86" s="43" t="n">
        <v>44930</v>
      </c>
      <c r="F86" s="24" t="n">
        <v>-5</v>
      </c>
    </row>
    <row r="87" customFormat="false" ht="15.75" hidden="false" customHeight="false" outlineLevel="0" collapsed="false">
      <c r="A87" s="19" t="n">
        <v>85</v>
      </c>
      <c r="B87" s="19" t="s">
        <v>6</v>
      </c>
      <c r="C87" s="19" t="s">
        <v>53</v>
      </c>
      <c r="D87" s="40" t="str">
        <f aca="false">HYPERLINK("https://discord.com/channels/1040938900039929917/1183790617545953401/1192205541464875059","ссылка")</f>
        <v>ссылка</v>
      </c>
      <c r="E87" s="43" t="n">
        <v>44930</v>
      </c>
      <c r="F87" s="24" t="n">
        <v>2</v>
      </c>
    </row>
    <row r="88" customFormat="false" ht="15.75" hidden="false" customHeight="false" outlineLevel="0" collapsed="false">
      <c r="A88" s="19" t="n">
        <v>86</v>
      </c>
      <c r="B88" s="19" t="s">
        <v>201</v>
      </c>
      <c r="C88" s="19" t="s">
        <v>6</v>
      </c>
      <c r="D88" s="40" t="str">
        <f aca="false">HYPERLINK("https://discord.com/channels/1040938900039929917/1183790617545953401/1191939467624333493","ссылка")</f>
        <v>ссылка</v>
      </c>
      <c r="E88" s="43" t="n">
        <v>44930</v>
      </c>
      <c r="F88" s="24" t="n">
        <v>2</v>
      </c>
    </row>
    <row r="89" customFormat="false" ht="15.75" hidden="false" customHeight="false" outlineLevel="0" collapsed="false">
      <c r="A89" s="19" t="n">
        <v>87</v>
      </c>
      <c r="B89" s="19" t="s">
        <v>201</v>
      </c>
      <c r="C89" s="19" t="s">
        <v>13</v>
      </c>
      <c r="D89" s="40" t="str">
        <f aca="false">HYPERLINK("https://discord.com/channels/1040938900039929917/1183790617545953401/1191939467624333493","ссылка")</f>
        <v>ссылка</v>
      </c>
      <c r="E89" s="43" t="n">
        <v>44930</v>
      </c>
      <c r="F89" s="24" t="n">
        <v>2</v>
      </c>
    </row>
    <row r="90" customFormat="false" ht="15.75" hidden="false" customHeight="false" outlineLevel="0" collapsed="false">
      <c r="A90" s="19" t="n">
        <v>88</v>
      </c>
      <c r="B90" s="19" t="s">
        <v>193</v>
      </c>
      <c r="C90" s="19" t="s">
        <v>39</v>
      </c>
      <c r="D90" s="42" t="str">
        <f aca="false">HYPERLINK("https://discord.com/channels/1040938900039929917/1192503255222210661","ссылка")</f>
        <v>ссылка</v>
      </c>
      <c r="E90" s="43" t="n">
        <v>44930</v>
      </c>
      <c r="F90" s="24" t="n">
        <v>-8</v>
      </c>
    </row>
    <row r="91" customFormat="false" ht="15.75" hidden="false" customHeight="false" outlineLevel="0" collapsed="false">
      <c r="A91" s="19" t="n">
        <v>89</v>
      </c>
      <c r="B91" s="19" t="s">
        <v>193</v>
      </c>
      <c r="C91" s="19" t="s">
        <v>109</v>
      </c>
      <c r="D91" s="40" t="str">
        <f aca="false">HYPERLINK("https://discord.com/channels/1040938900039929917/1192503255222210661","ссылка")</f>
        <v>ссылка</v>
      </c>
      <c r="E91" s="43" t="n">
        <v>44930</v>
      </c>
      <c r="F91" s="24" t="n">
        <v>-2</v>
      </c>
    </row>
    <row r="92" customFormat="false" ht="15.75" hidden="false" customHeight="false" outlineLevel="0" collapsed="false">
      <c r="A92" s="19" t="n">
        <v>90</v>
      </c>
      <c r="B92" s="19" t="s">
        <v>95</v>
      </c>
      <c r="C92" s="19" t="s">
        <v>64</v>
      </c>
      <c r="D92" s="40" t="str">
        <f aca="false">HYPERLINK("https://discord.com/channels/1040938900039929917/1183790617545953401/1192532663492415568","ссылка")</f>
        <v>ссылка</v>
      </c>
      <c r="E92" s="43" t="n">
        <v>44930</v>
      </c>
      <c r="F92" s="24" t="n">
        <v>2</v>
      </c>
    </row>
    <row r="93" customFormat="false" ht="15.75" hidden="false" customHeight="false" outlineLevel="0" collapsed="false">
      <c r="A93" s="19" t="n">
        <v>91</v>
      </c>
      <c r="B93" s="19" t="s">
        <v>95</v>
      </c>
      <c r="C93" s="19" t="s">
        <v>100</v>
      </c>
      <c r="D93" s="40" t="str">
        <f aca="false">HYPERLINK("https://discord.com/channels/1040938900039929917/1183790617545953401/1192534827493240873","ссылка")</f>
        <v>ссылка</v>
      </c>
      <c r="E93" s="43" t="n">
        <v>44930</v>
      </c>
      <c r="F93" s="24" t="n">
        <v>2</v>
      </c>
    </row>
    <row r="94" customFormat="false" ht="15.75" hidden="false" customHeight="false" outlineLevel="0" collapsed="false">
      <c r="A94" s="19" t="n">
        <v>92</v>
      </c>
      <c r="B94" s="19" t="s">
        <v>6</v>
      </c>
      <c r="C94" s="19" t="s">
        <v>69</v>
      </c>
      <c r="D94" s="22" t="str">
        <f aca="false">HYPERLINK("https://discord.com/channels/1040938900039929917/1183790617545953401/1192562486969389129","ссылка")</f>
        <v>ссылка</v>
      </c>
      <c r="E94" s="43" t="n">
        <v>44930</v>
      </c>
      <c r="F94" s="24" t="n">
        <v>4</v>
      </c>
    </row>
    <row r="95" customFormat="false" ht="15.75" hidden="false" customHeight="false" outlineLevel="0" collapsed="false">
      <c r="A95" s="19" t="n">
        <v>93</v>
      </c>
      <c r="B95" s="19" t="s">
        <v>983</v>
      </c>
      <c r="C95" s="19" t="s">
        <v>193</v>
      </c>
      <c r="D95" s="22" t="str">
        <f aca="false">HYPERLINK("https://discord.com/channels/1040938900039929917/1183790617545953401/1192562486969389129","ссылка")</f>
        <v>ссылка</v>
      </c>
      <c r="E95" s="43" t="n">
        <v>44930</v>
      </c>
      <c r="F95" s="24" t="n">
        <v>2</v>
      </c>
    </row>
    <row r="96" customFormat="false" ht="15.75" hidden="false" customHeight="false" outlineLevel="0" collapsed="false">
      <c r="A96" s="19" t="n">
        <v>94</v>
      </c>
      <c r="B96" s="19" t="s">
        <v>6</v>
      </c>
      <c r="C96" s="19" t="s">
        <v>153</v>
      </c>
      <c r="D96" s="22" t="str">
        <f aca="false">HYPERLINK("https://discord.com/channels/1040938900039929917/1183790617545953401/1192562486969389129","ссылка")</f>
        <v>ссылка</v>
      </c>
      <c r="E96" s="43" t="n">
        <v>44930</v>
      </c>
      <c r="F96" s="24" t="n">
        <v>-5</v>
      </c>
    </row>
    <row r="97" customFormat="false" ht="15.75" hidden="false" customHeight="false" outlineLevel="0" collapsed="false">
      <c r="A97" s="19" t="n">
        <v>95</v>
      </c>
      <c r="B97" s="19" t="s">
        <v>13</v>
      </c>
      <c r="C97" s="19" t="s">
        <v>193</v>
      </c>
      <c r="D97" s="40" t="str">
        <f aca="false">HYPERLINK("https://discord.com/channels/1040938900039929917/1192853162927865907","ссылка")</f>
        <v>ссылка</v>
      </c>
      <c r="E97" s="43" t="n">
        <v>44931</v>
      </c>
      <c r="F97" s="24" t="n">
        <v>1</v>
      </c>
    </row>
    <row r="98" customFormat="false" ht="15.75" hidden="false" customHeight="false" outlineLevel="0" collapsed="false">
      <c r="A98" s="19" t="n">
        <v>96</v>
      </c>
      <c r="B98" s="19" t="s">
        <v>100</v>
      </c>
      <c r="C98" s="19" t="s">
        <v>139</v>
      </c>
      <c r="D98" s="40" t="str">
        <f aca="false">HYPERLINK("https://discord.com/channels/1040938900039929917/1183790617545953401/1192830467578277939","ссылка")</f>
        <v>ссылка</v>
      </c>
      <c r="E98" s="43" t="n">
        <v>44931</v>
      </c>
      <c r="F98" s="24" t="n">
        <v>2</v>
      </c>
    </row>
    <row r="99" customFormat="false" ht="15.75" hidden="false" customHeight="false" outlineLevel="0" collapsed="false">
      <c r="A99" s="19" t="n">
        <v>97</v>
      </c>
      <c r="B99" s="19" t="s">
        <v>197</v>
      </c>
      <c r="C99" s="19" t="s">
        <v>139</v>
      </c>
      <c r="D99" s="40" t="str">
        <f aca="false">HYPERLINK("https://discord.com/channels/1040938900039929917/1183790617545953401/1192789318771679292","ссылка")</f>
        <v>ссылка</v>
      </c>
      <c r="E99" s="43" t="n">
        <v>44931</v>
      </c>
      <c r="F99" s="24" t="n">
        <v>2</v>
      </c>
    </row>
    <row r="100" customFormat="false" ht="15.75" hidden="false" customHeight="false" outlineLevel="0" collapsed="false">
      <c r="A100" s="19" t="n">
        <v>98</v>
      </c>
      <c r="B100" s="19" t="s">
        <v>197</v>
      </c>
      <c r="C100" s="19" t="s">
        <v>28</v>
      </c>
      <c r="D100" s="40" t="str">
        <f aca="false">HYPERLINK("https://discord.com/channels/1040938900039929917/1183790617545953401/1192789318771679292","ссылка")</f>
        <v>ссылка</v>
      </c>
      <c r="E100" s="43" t="n">
        <v>44931</v>
      </c>
      <c r="F100" s="24" t="n">
        <v>2</v>
      </c>
    </row>
    <row r="101" customFormat="false" ht="15.75" hidden="false" customHeight="false" outlineLevel="0" collapsed="false">
      <c r="A101" s="19" t="n">
        <v>99</v>
      </c>
      <c r="B101" s="19" t="s">
        <v>122</v>
      </c>
      <c r="C101" s="19" t="s">
        <v>13</v>
      </c>
      <c r="D101" s="40" t="str">
        <f aca="false">HYPERLINK("https://discord.com/channels/1040938900039929917/1183790617545953401/1192637100235956354","ссылка")</f>
        <v>ссылка</v>
      </c>
      <c r="E101" s="43" t="n">
        <v>44931</v>
      </c>
      <c r="F101" s="24" t="n">
        <v>2</v>
      </c>
    </row>
    <row r="102" customFormat="false" ht="15.75" hidden="false" customHeight="false" outlineLevel="0" collapsed="false">
      <c r="A102" s="19" t="n">
        <v>100</v>
      </c>
      <c r="B102" s="19" t="s">
        <v>13</v>
      </c>
      <c r="C102" s="19" t="s">
        <v>122</v>
      </c>
      <c r="D102" s="40" t="str">
        <f aca="false">HYPERLINK("https://discord.com/channels/1040938900039929917/1183790617545953401/1192637100235956354","ссылка")</f>
        <v>ссылка</v>
      </c>
      <c r="E102" s="45" t="n">
        <v>44931</v>
      </c>
      <c r="F102" s="24" t="n">
        <v>1</v>
      </c>
    </row>
    <row r="103" customFormat="false" ht="15.75" hidden="false" customHeight="false" outlineLevel="0" collapsed="false">
      <c r="A103" s="19" t="n">
        <v>101</v>
      </c>
      <c r="B103" s="19" t="s">
        <v>249</v>
      </c>
      <c r="C103" s="19" t="s">
        <v>107</v>
      </c>
      <c r="D103" s="22" t="str">
        <f aca="false">HYPERLINK("https://discord.com/channels/1040938900039929917/1183790617545953401/1190755367597113484","ссылка")</f>
        <v>ссылка</v>
      </c>
      <c r="E103" s="46" t="n">
        <v>45291</v>
      </c>
      <c r="F103" s="24" t="n">
        <v>-5</v>
      </c>
      <c r="G103" s="19"/>
    </row>
    <row r="104" customFormat="false" ht="15.75" hidden="false" customHeight="false" outlineLevel="0" collapsed="false">
      <c r="A104" s="19" t="n">
        <v>102</v>
      </c>
      <c r="B104" s="19" t="s">
        <v>107</v>
      </c>
      <c r="C104" s="19" t="s">
        <v>249</v>
      </c>
      <c r="D104" s="41" t="str">
        <f aca="false">HYPERLINK("https://discord.com/channels/1040938900039929917/1183790617545953401/1190771280107024524","ссылка")</f>
        <v>ссылка</v>
      </c>
      <c r="E104" s="47" t="n">
        <v>45291</v>
      </c>
      <c r="F104" s="24" t="n">
        <v>-1</v>
      </c>
    </row>
    <row r="105" customFormat="false" ht="15.75" hidden="false" customHeight="false" outlineLevel="0" collapsed="false">
      <c r="A105" s="19" t="n">
        <v>103</v>
      </c>
      <c r="B105" s="19" t="s">
        <v>107</v>
      </c>
      <c r="C105" s="19" t="s">
        <v>64</v>
      </c>
      <c r="D105" s="41" t="str">
        <f aca="false">HYPERLINK("https://discord.com/channels/1040938900039929917/1183790617545953401/1190771280107024524","ссылка")</f>
        <v>ссылка</v>
      </c>
      <c r="E105" s="47" t="n">
        <v>45291</v>
      </c>
      <c r="F105" s="24" t="n">
        <v>-2</v>
      </c>
    </row>
    <row r="106" customFormat="false" ht="15.75" hidden="false" customHeight="false" outlineLevel="0" collapsed="false">
      <c r="A106" s="19" t="n">
        <v>104</v>
      </c>
      <c r="B106" s="19" t="s">
        <v>28</v>
      </c>
      <c r="C106" s="19" t="s">
        <v>197</v>
      </c>
      <c r="D106" s="40" t="str">
        <f aca="false">HYPERLINK("https://discord.com/channels/1040938900039929917/1183790617545953401/1192794420463013968","ссылка")</f>
        <v>ссылка</v>
      </c>
      <c r="E106" s="43" t="n">
        <v>45296</v>
      </c>
      <c r="F106" s="24" t="n">
        <v>1</v>
      </c>
    </row>
    <row r="107" customFormat="false" ht="15.75" hidden="false" customHeight="false" outlineLevel="0" collapsed="false">
      <c r="A107" s="19" t="n">
        <v>105</v>
      </c>
      <c r="B107" s="19" t="s">
        <v>28</v>
      </c>
      <c r="C107" s="19" t="s">
        <v>139</v>
      </c>
      <c r="D107" s="40" t="str">
        <f aca="false">HYPERLINK("https://discord.com/channels/1040938900039929917/1183790617545953401/1192794420463013968","ссылка")</f>
        <v>ссылка</v>
      </c>
      <c r="E107" s="43" t="n">
        <v>45296</v>
      </c>
      <c r="F107" s="24" t="n">
        <v>1</v>
      </c>
    </row>
    <row r="108" customFormat="false" ht="15.75" hidden="false" customHeight="false" outlineLevel="0" collapsed="false">
      <c r="A108" s="19" t="n">
        <v>106</v>
      </c>
      <c r="B108" s="19" t="s">
        <v>69</v>
      </c>
      <c r="C108" s="19" t="s">
        <v>18</v>
      </c>
      <c r="D108" s="48" t="str">
        <f aca="false">HYPERLINK("https://discord.com/channels/1040938900039929917/1183790617545953401/1191415659020693534","ссылка")</f>
        <v>ссылка</v>
      </c>
      <c r="E108" s="43" t="n">
        <v>45292</v>
      </c>
      <c r="F108" s="24" t="n">
        <v>-5</v>
      </c>
    </row>
    <row r="109" customFormat="false" ht="15.75" hidden="false" customHeight="false" outlineLevel="0" collapsed="false">
      <c r="A109" s="19" t="n">
        <v>107</v>
      </c>
      <c r="B109" s="19" t="s">
        <v>11</v>
      </c>
      <c r="C109" s="19" t="s">
        <v>251</v>
      </c>
      <c r="D109" s="49" t="s">
        <v>982</v>
      </c>
      <c r="E109" s="43" t="n">
        <v>45297</v>
      </c>
      <c r="F109" s="24" t="n">
        <v>-5</v>
      </c>
    </row>
    <row r="110" customFormat="false" ht="15.75" hidden="false" customHeight="false" outlineLevel="0" collapsed="false">
      <c r="A110" s="19" t="n">
        <v>108</v>
      </c>
      <c r="B110" s="19" t="s">
        <v>64</v>
      </c>
      <c r="C110" s="19" t="s">
        <v>205</v>
      </c>
      <c r="D110" s="48" t="str">
        <f aca="false">HYPERLINK("https://discord.com/channels/1040938900039929917/1183790617545953401/1192516566814822512","ссылка")</f>
        <v>ссылка</v>
      </c>
      <c r="E110" s="43" t="n">
        <v>45295</v>
      </c>
      <c r="F110" s="24" t="n">
        <v>-3</v>
      </c>
    </row>
    <row r="111" customFormat="false" ht="15.75" hidden="false" customHeight="false" outlineLevel="0" collapsed="false">
      <c r="A111" s="19" t="n">
        <v>109</v>
      </c>
      <c r="B111" s="19" t="s">
        <v>64</v>
      </c>
      <c r="C111" s="19" t="s">
        <v>983</v>
      </c>
      <c r="D111" s="48" t="str">
        <f aca="false">HYPERLINK("https://discord.com/channels/1040938900039929917/1183790617545953401/1192516566814822512","ссылка")</f>
        <v>ссылка</v>
      </c>
      <c r="E111" s="43" t="n">
        <v>45295</v>
      </c>
      <c r="F111" s="24" t="n">
        <v>-3</v>
      </c>
    </row>
    <row r="112" customFormat="false" ht="15.75" hidden="false" customHeight="false" outlineLevel="0" collapsed="false">
      <c r="A112" s="19" t="n">
        <v>110</v>
      </c>
      <c r="B112" s="19" t="s">
        <v>6</v>
      </c>
      <c r="C112" s="19" t="s">
        <v>95</v>
      </c>
      <c r="D112" s="50" t="str">
        <f aca="false">HYPERLINK("https://discord.com/channels/1040938900039929917/1183790617545953401/1192959650111426650","ссылка")</f>
        <v>ссылка</v>
      </c>
      <c r="E112" s="43" t="n">
        <v>45297</v>
      </c>
      <c r="F112" s="24" t="n">
        <v>-15</v>
      </c>
    </row>
    <row r="113" customFormat="false" ht="15.75" hidden="false" customHeight="false" outlineLevel="0" collapsed="false">
      <c r="A113" s="19" t="n">
        <v>111</v>
      </c>
      <c r="B113" s="19" t="s">
        <v>95</v>
      </c>
      <c r="C113" s="19" t="s">
        <v>6</v>
      </c>
      <c r="D113" s="51" t="str">
        <f aca="false">HYPERLINK("https://discord.com/channels/1040938900039929917/1183790617545953401/1192958302401871964","ссылка")</f>
        <v>ссылка</v>
      </c>
      <c r="E113" s="43" t="n">
        <v>45297</v>
      </c>
      <c r="F113" s="24" t="n">
        <v>3</v>
      </c>
    </row>
    <row r="114" customFormat="false" ht="15.75" hidden="false" customHeight="false" outlineLevel="0" collapsed="false">
      <c r="A114" s="19" t="n">
        <v>112</v>
      </c>
      <c r="B114" s="19" t="s">
        <v>64</v>
      </c>
      <c r="C114" s="19" t="s">
        <v>180</v>
      </c>
      <c r="D114" s="40" t="str">
        <f aca="false">HYPERLINK("https://discord.com/channels/1040938900039929917/1193282871352365066","ссылка")</f>
        <v>ссылка</v>
      </c>
      <c r="E114" s="43" t="n">
        <v>45297</v>
      </c>
      <c r="F114" s="24" t="n">
        <v>2</v>
      </c>
    </row>
    <row r="115" customFormat="false" ht="15.75" hidden="false" customHeight="false" outlineLevel="0" collapsed="false">
      <c r="A115" s="19" t="n">
        <v>113</v>
      </c>
      <c r="B115" s="19" t="s">
        <v>6</v>
      </c>
      <c r="C115" s="19" t="s">
        <v>116</v>
      </c>
      <c r="D115" s="51" t="str">
        <f aca="false">HYPERLINK("https://discord.com/channels/1040938900039929917/1183790617545953401/1192966794156195913","ссылка")</f>
        <v>ссылка</v>
      </c>
      <c r="E115" s="43" t="n">
        <v>45297</v>
      </c>
      <c r="F115" s="24" t="n">
        <v>5</v>
      </c>
    </row>
    <row r="116" customFormat="false" ht="15.75" hidden="false" customHeight="false" outlineLevel="0" collapsed="false">
      <c r="A116" s="19" t="n">
        <v>114</v>
      </c>
      <c r="B116" s="19" t="s">
        <v>116</v>
      </c>
      <c r="C116" s="19" t="s">
        <v>6</v>
      </c>
      <c r="D116" s="51" t="str">
        <f aca="false">HYPERLINK("https://discord.com/channels/1040938900039929917/1183790617545953401/1193288751229698058","ссылка")</f>
        <v>ссылка</v>
      </c>
      <c r="E116" s="43" t="n">
        <v>45297</v>
      </c>
      <c r="F116" s="24" t="n">
        <v>4</v>
      </c>
    </row>
    <row r="117" customFormat="false" ht="15.75" hidden="false" customHeight="false" outlineLevel="0" collapsed="false">
      <c r="A117" s="19" t="n">
        <v>115</v>
      </c>
      <c r="B117" s="19" t="s">
        <v>193</v>
      </c>
      <c r="C117" s="19" t="s">
        <v>261</v>
      </c>
      <c r="D117" s="40" t="str">
        <f aca="false">HYPERLINK("https://discord.com/channels/1040938900039929917/1183790617545953401/1193288751229698058","ссылка")</f>
        <v>ссылка</v>
      </c>
      <c r="E117" s="43" t="n">
        <v>45298</v>
      </c>
      <c r="F117" s="24" t="n">
        <v>1</v>
      </c>
    </row>
    <row r="118" customFormat="false" ht="15.75" hidden="false" customHeight="false" outlineLevel="0" collapsed="false">
      <c r="A118" s="19" t="n">
        <v>116</v>
      </c>
      <c r="B118" s="19" t="s">
        <v>189</v>
      </c>
      <c r="C118" s="19" t="s">
        <v>218</v>
      </c>
      <c r="D118" s="40" t="str">
        <f aca="false">HYPERLINK("https://discord.com/channels/1040938900039929917/1183790617545953401/1193517315753529416","ссылка")</f>
        <v>ссылка</v>
      </c>
      <c r="E118" s="43" t="n">
        <v>45298</v>
      </c>
      <c r="F118" s="24" t="n">
        <v>1</v>
      </c>
    </row>
    <row r="119" customFormat="false" ht="15.75" hidden="false" customHeight="false" outlineLevel="0" collapsed="false">
      <c r="A119" s="19" t="n">
        <v>117</v>
      </c>
      <c r="B119" s="19" t="s">
        <v>189</v>
      </c>
      <c r="C119" s="19" t="s">
        <v>983</v>
      </c>
      <c r="D119" s="40" t="str">
        <f aca="false">HYPERLINK("https://discord.com/channels/1040938900039929917/1183790617545953401/1193517315753529416","ссылка")</f>
        <v>ссылка</v>
      </c>
      <c r="E119" s="52" t="n">
        <v>45298</v>
      </c>
      <c r="F119" s="24" t="n">
        <v>2</v>
      </c>
    </row>
    <row r="120" customFormat="false" ht="15.75" hidden="false" customHeight="false" outlineLevel="0" collapsed="false">
      <c r="A120" s="19" t="n">
        <v>118</v>
      </c>
      <c r="B120" s="19" t="s">
        <v>189</v>
      </c>
      <c r="C120" s="19" t="s">
        <v>193</v>
      </c>
      <c r="D120" s="40" t="str">
        <f aca="false">HYPERLINK("https://discord.com/channels/1040938900039929917/1183790617545953401/1193517315753529416","ссылка")</f>
        <v>ссылка</v>
      </c>
      <c r="E120" s="52" t="n">
        <v>45298</v>
      </c>
      <c r="F120" s="24" t="n">
        <v>2</v>
      </c>
    </row>
    <row r="121" customFormat="false" ht="15.75" hidden="false" customHeight="false" outlineLevel="0" collapsed="false">
      <c r="A121" s="19" t="n">
        <v>119</v>
      </c>
      <c r="B121" s="19" t="s">
        <v>189</v>
      </c>
      <c r="C121" s="19" t="s">
        <v>261</v>
      </c>
      <c r="D121" s="40" t="str">
        <f aca="false">HYPERLINK("https://discord.com/channels/1040938900039929917/1183790617545953401/1193517315753529416","ссылка")</f>
        <v>ссылка</v>
      </c>
      <c r="E121" s="52" t="n">
        <v>45298</v>
      </c>
      <c r="F121" s="24" t="n">
        <v>1</v>
      </c>
    </row>
    <row r="122" customFormat="false" ht="15.75" hidden="false" customHeight="false" outlineLevel="0" collapsed="false">
      <c r="A122" s="19" t="n">
        <v>120</v>
      </c>
      <c r="B122" s="19" t="s">
        <v>6</v>
      </c>
      <c r="C122" s="19" t="s">
        <v>11</v>
      </c>
      <c r="D122" s="51" t="str">
        <f aca="false">HYPERLINK("https://discord.com/channels/1040938900039929917/1183790617545953401/1193319287738343484","ссылка")</f>
        <v>ссылка</v>
      </c>
      <c r="E122" s="43" t="n">
        <v>45298</v>
      </c>
      <c r="F122" s="24" t="n">
        <v>-10</v>
      </c>
    </row>
    <row r="123" customFormat="false" ht="15.75" hidden="false" customHeight="false" outlineLevel="0" collapsed="false">
      <c r="A123" s="19" t="n">
        <v>121</v>
      </c>
      <c r="B123" s="19" t="s">
        <v>6</v>
      </c>
      <c r="C123" s="3" t="s">
        <v>263</v>
      </c>
      <c r="D123" s="24" t="s">
        <v>982</v>
      </c>
      <c r="E123" s="43" t="n">
        <v>45298</v>
      </c>
      <c r="F123" s="24" t="n">
        <v>-5</v>
      </c>
    </row>
    <row r="124" customFormat="false" ht="15.75" hidden="false" customHeight="false" outlineLevel="0" collapsed="false">
      <c r="A124" s="19" t="n">
        <v>122</v>
      </c>
      <c r="B124" s="19" t="s">
        <v>26</v>
      </c>
      <c r="C124" s="19" t="s">
        <v>193</v>
      </c>
      <c r="D124" s="40" t="str">
        <f aca="false">HYPERLINK("https://discord.com/channels/1040938900039929917/1183790617545953401/1193624544003498055","ссылка")</f>
        <v>ссылка</v>
      </c>
      <c r="E124" s="43" t="n">
        <v>45298</v>
      </c>
      <c r="F124" s="24" t="n">
        <v>1</v>
      </c>
    </row>
    <row r="125" customFormat="false" ht="15.75" hidden="false" customHeight="false" outlineLevel="0" collapsed="false">
      <c r="A125" s="19" t="n">
        <v>123</v>
      </c>
      <c r="B125" s="19" t="s">
        <v>6</v>
      </c>
      <c r="C125" s="19" t="s">
        <v>274</v>
      </c>
      <c r="D125" s="24" t="s">
        <v>985</v>
      </c>
      <c r="E125" s="43" t="n">
        <v>45299</v>
      </c>
      <c r="F125" s="24" t="n">
        <v>-40</v>
      </c>
    </row>
    <row r="126" customFormat="false" ht="15.75" hidden="false" customHeight="false" outlineLevel="0" collapsed="false">
      <c r="A126" s="19" t="n">
        <v>124</v>
      </c>
      <c r="B126" s="19" t="s">
        <v>6</v>
      </c>
      <c r="C126" s="19" t="s">
        <v>278</v>
      </c>
      <c r="D126" s="24" t="s">
        <v>982</v>
      </c>
      <c r="E126" s="43" t="n">
        <v>45299</v>
      </c>
      <c r="F126" s="24" t="n">
        <v>-5</v>
      </c>
    </row>
    <row r="127" customFormat="false" ht="15.75" hidden="false" customHeight="false" outlineLevel="0" collapsed="false">
      <c r="A127" s="19" t="n">
        <v>125</v>
      </c>
      <c r="B127" s="19" t="s">
        <v>6</v>
      </c>
      <c r="C127" s="19" t="s">
        <v>280</v>
      </c>
      <c r="D127" s="24" t="s">
        <v>982</v>
      </c>
      <c r="E127" s="43" t="n">
        <v>45299</v>
      </c>
      <c r="F127" s="24" t="n">
        <v>-5</v>
      </c>
    </row>
    <row r="128" customFormat="false" ht="15.75" hidden="false" customHeight="false" outlineLevel="0" collapsed="false">
      <c r="A128" s="19" t="n">
        <v>126</v>
      </c>
      <c r="B128" s="19" t="s">
        <v>6</v>
      </c>
      <c r="C128" s="19" t="s">
        <v>64</v>
      </c>
      <c r="D128" s="51" t="str">
        <f aca="false">HYPERLINK("https://discord.com/channels/1040938900039929917/1183790617545953401/1193976113001660619","ссылка")</f>
        <v>ссылка</v>
      </c>
      <c r="E128" s="43" t="n">
        <v>45300</v>
      </c>
      <c r="F128" s="24" t="n">
        <v>3</v>
      </c>
    </row>
    <row r="129" customFormat="false" ht="15.75" hidden="false" customHeight="false" outlineLevel="0" collapsed="false">
      <c r="A129" s="19" t="n">
        <v>127</v>
      </c>
      <c r="B129" s="19" t="s">
        <v>6</v>
      </c>
      <c r="C129" s="19"/>
      <c r="D129" s="24" t="s">
        <v>986</v>
      </c>
      <c r="E129" s="24" t="s">
        <v>987</v>
      </c>
      <c r="F129" s="24" t="n">
        <v>0</v>
      </c>
    </row>
    <row r="130" customFormat="false" ht="15.75" hidden="false" customHeight="false" outlineLevel="0" collapsed="false">
      <c r="A130" s="19" t="n">
        <v>128</v>
      </c>
      <c r="B130" s="19" t="s">
        <v>69</v>
      </c>
      <c r="C130" s="19" t="s">
        <v>276</v>
      </c>
      <c r="D130" s="40" t="str">
        <f aca="false">HYPERLINK("https://discord.com/channels/1040938900039929917/1183790617545953401/1194014352659984476","ссылка")</f>
        <v>ссылка</v>
      </c>
      <c r="E130" s="43" t="n">
        <v>45300</v>
      </c>
      <c r="F130" s="24" t="n">
        <v>-15</v>
      </c>
    </row>
    <row r="131" customFormat="false" ht="15.75" hidden="false" customHeight="false" outlineLevel="0" collapsed="false">
      <c r="A131" s="19" t="n">
        <v>129</v>
      </c>
      <c r="B131" s="19" t="s">
        <v>180</v>
      </c>
      <c r="C131" s="19" t="s">
        <v>264</v>
      </c>
      <c r="D131" s="40" t="str">
        <f aca="false">HYPERLINK("https://discord.com/channels/1040938900039929917/1194373987665457212","ссылка")</f>
        <v>ссылка</v>
      </c>
      <c r="E131" s="43" t="n">
        <v>45300</v>
      </c>
      <c r="F131" s="24" t="n">
        <v>-5</v>
      </c>
    </row>
    <row r="132" customFormat="false" ht="15.75" hidden="false" customHeight="false" outlineLevel="0" collapsed="false">
      <c r="A132" s="19" t="n">
        <v>130</v>
      </c>
      <c r="B132" s="19" t="s">
        <v>249</v>
      </c>
      <c r="C132" s="19" t="s">
        <v>116</v>
      </c>
      <c r="D132" s="53" t="str">
        <f aca="false">HYPERLINK("https://discord.com/channels/1040938900039929917/1183790617545953401/1194426189616533634","ссылка")</f>
        <v>ссылка</v>
      </c>
      <c r="E132" s="43" t="n">
        <v>45301</v>
      </c>
      <c r="F132" s="24" t="n">
        <v>0</v>
      </c>
    </row>
    <row r="133" customFormat="false" ht="15.75" hidden="false" customHeight="false" outlineLevel="0" collapsed="false">
      <c r="A133" s="19" t="n">
        <v>131</v>
      </c>
      <c r="B133" s="19" t="s">
        <v>249</v>
      </c>
      <c r="C133" s="19" t="s">
        <v>13</v>
      </c>
      <c r="D133" s="40" t="str">
        <f aca="false">HYPERLINK("https://discord.com/channels/1040938900039929917/1183790617545953401/1194426189616533634","ссылка")</f>
        <v>ссылка</v>
      </c>
      <c r="E133" s="43" t="n">
        <v>45301</v>
      </c>
      <c r="F133" s="24" t="n">
        <v>2</v>
      </c>
    </row>
    <row r="134" customFormat="false" ht="15.75" hidden="false" customHeight="false" outlineLevel="0" collapsed="false">
      <c r="A134" s="19" t="n">
        <v>132</v>
      </c>
      <c r="B134" s="19" t="s">
        <v>201</v>
      </c>
      <c r="C134" s="19" t="s">
        <v>180</v>
      </c>
      <c r="D134" s="40" t="str">
        <f aca="false">HYPERLINK("https://discord.com/channels/1040938900039929917/1183790617545953401/1194638348774547526","ссылка")</f>
        <v>ссылка</v>
      </c>
      <c r="E134" s="43" t="n">
        <v>45301</v>
      </c>
      <c r="F134" s="24" t="n">
        <v>2</v>
      </c>
    </row>
    <row r="135" customFormat="false" ht="15.75" hidden="false" customHeight="false" outlineLevel="0" collapsed="false">
      <c r="A135" s="19" t="n">
        <v>133</v>
      </c>
      <c r="B135" s="19" t="s">
        <v>197</v>
      </c>
      <c r="C135" s="19" t="s">
        <v>137</v>
      </c>
      <c r="D135" s="40" t="str">
        <f aca="false">HYPERLINK("https://discord.com/channels/1040938900039929917/1183790617545953401/1194710864566157393","ссылка")</f>
        <v>ссылка</v>
      </c>
      <c r="E135" s="43" t="n">
        <v>45301</v>
      </c>
      <c r="F135" s="24" t="n">
        <v>2</v>
      </c>
    </row>
    <row r="136" customFormat="false" ht="15.75" hidden="false" customHeight="false" outlineLevel="0" collapsed="false">
      <c r="A136" s="19" t="n">
        <v>134</v>
      </c>
      <c r="B136" s="19" t="s">
        <v>88</v>
      </c>
      <c r="C136" s="19" t="s">
        <v>236</v>
      </c>
      <c r="D136" s="40" t="str">
        <f aca="false">HYPERLINK("https://discord.com/channels/1040938900039929917/1183790617545953401/1194754317681430610","ссылка")</f>
        <v>ссылка</v>
      </c>
      <c r="E136" s="43" t="n">
        <v>45302</v>
      </c>
      <c r="F136" s="24" t="n">
        <v>2</v>
      </c>
    </row>
    <row r="137" customFormat="false" ht="15.75" hidden="false" customHeight="false" outlineLevel="0" collapsed="false">
      <c r="A137" s="19" t="n">
        <v>135</v>
      </c>
      <c r="B137" s="19" t="s">
        <v>6</v>
      </c>
      <c r="C137" s="19" t="s">
        <v>290</v>
      </c>
      <c r="D137" s="24" t="s">
        <v>982</v>
      </c>
      <c r="E137" s="43" t="n">
        <v>45303</v>
      </c>
      <c r="F137" s="24" t="n">
        <v>-5</v>
      </c>
    </row>
    <row r="138" customFormat="false" ht="15.75" hidden="false" customHeight="false" outlineLevel="0" collapsed="false">
      <c r="A138" s="19" t="n">
        <v>136</v>
      </c>
      <c r="B138" s="19" t="s">
        <v>69</v>
      </c>
      <c r="C138" s="19" t="s">
        <v>39</v>
      </c>
      <c r="D138" s="40" t="str">
        <f aca="false">HYPERLINK("https://discord.com/channels/1040938900039929917/1183790617545953401/1195407832401588264","ссылка")</f>
        <v>ссылка</v>
      </c>
      <c r="E138" s="54" t="n">
        <v>45303</v>
      </c>
      <c r="F138" s="24" t="n">
        <v>-15</v>
      </c>
    </row>
    <row r="139" customFormat="false" ht="15.75" hidden="false" customHeight="false" outlineLevel="0" collapsed="false">
      <c r="A139" s="19" t="n">
        <v>137</v>
      </c>
      <c r="B139" s="19" t="s">
        <v>203</v>
      </c>
      <c r="C139" s="19" t="s">
        <v>272</v>
      </c>
      <c r="D139" s="40" t="str">
        <f aca="false">HYPERLINK("https://discord.com/channels/1040938900039929917/1194725648074285066","ссылка")</f>
        <v>ссылка</v>
      </c>
      <c r="E139" s="43" t="n">
        <v>45301</v>
      </c>
      <c r="F139" s="24" t="n">
        <v>-5</v>
      </c>
    </row>
    <row r="140" customFormat="false" ht="15.75" hidden="false" customHeight="false" outlineLevel="0" collapsed="false">
      <c r="A140" s="19" t="n">
        <v>138</v>
      </c>
      <c r="B140" s="19" t="s">
        <v>272</v>
      </c>
      <c r="C140" s="19" t="s">
        <v>6</v>
      </c>
      <c r="D140" s="41" t="str">
        <f aca="false">HYPERLINK("https://discord.com/channels/1040938900039929917/1183790617545953401/1194707296085872710","ссылка")</f>
        <v>ссылка</v>
      </c>
      <c r="E140" s="43" t="n">
        <v>45301</v>
      </c>
      <c r="F140" s="24" t="n">
        <v>2</v>
      </c>
    </row>
    <row r="141" customFormat="false" ht="15.75" hidden="false" customHeight="false" outlineLevel="0" collapsed="false">
      <c r="A141" s="19" t="n">
        <v>139</v>
      </c>
      <c r="B141" s="19" t="s">
        <v>272</v>
      </c>
      <c r="C141" s="19" t="s">
        <v>69</v>
      </c>
      <c r="D141" s="41" t="str">
        <f aca="false">HYPERLINK("https://discord.com/channels/1040938900039929917/1183790617545953401/1194707296085872710","ссылка")</f>
        <v>ссылка</v>
      </c>
      <c r="E141" s="43" t="n">
        <v>45301</v>
      </c>
      <c r="F141" s="24" t="n">
        <v>2</v>
      </c>
    </row>
    <row r="142" customFormat="false" ht="15.75" hidden="false" customHeight="false" outlineLevel="0" collapsed="false">
      <c r="A142" s="19" t="n">
        <v>140</v>
      </c>
      <c r="B142" s="19" t="s">
        <v>272</v>
      </c>
      <c r="C142" s="19" t="s">
        <v>53</v>
      </c>
      <c r="D142" s="41" t="str">
        <f aca="false">HYPERLINK("https://discord.com/channels/1040938900039929917/1183790617545953401/1194707296085872710","ссылка")</f>
        <v>ссылка</v>
      </c>
      <c r="E142" s="43" t="n">
        <v>45301</v>
      </c>
      <c r="F142" s="24" t="n">
        <v>2</v>
      </c>
    </row>
    <row r="143" customFormat="false" ht="15.75" hidden="false" customHeight="false" outlineLevel="0" collapsed="false">
      <c r="A143" s="19" t="n">
        <v>141</v>
      </c>
      <c r="B143" s="19" t="s">
        <v>6</v>
      </c>
      <c r="C143" s="19" t="s">
        <v>272</v>
      </c>
      <c r="D143" s="41" t="str">
        <f aca="false">HYPERLINK("https://discord.com/channels/1040938900039929917/1183790617545953401/1195141045067989052","ссылка")</f>
        <v>ссылка</v>
      </c>
      <c r="E143" s="43" t="n">
        <v>45303</v>
      </c>
      <c r="F143" s="24" t="n">
        <v>3</v>
      </c>
    </row>
    <row r="144" customFormat="false" ht="15.75" hidden="false" customHeight="false" outlineLevel="0" collapsed="false">
      <c r="A144" s="19" t="n">
        <v>142</v>
      </c>
      <c r="B144" s="19" t="s">
        <v>13</v>
      </c>
      <c r="C144" s="19" t="s">
        <v>228</v>
      </c>
      <c r="D144" s="41" t="str">
        <f aca="false">HYPERLINK("https://discord.com/channels/1040938900039929917/1183790617545953401/1195513712124112988","ссылка")</f>
        <v>ссылка</v>
      </c>
      <c r="E144" s="43" t="n">
        <v>45304</v>
      </c>
      <c r="F144" s="24" t="n">
        <v>2</v>
      </c>
    </row>
    <row r="145" customFormat="false" ht="15.75" hidden="false" customHeight="false" outlineLevel="0" collapsed="false">
      <c r="A145" s="19" t="n">
        <v>143</v>
      </c>
      <c r="B145" s="19" t="s">
        <v>189</v>
      </c>
      <c r="C145" s="19" t="s">
        <v>20</v>
      </c>
      <c r="D145" s="41" t="str">
        <f aca="false">HYPERLINK("https://discord.com/channels/1040938900039929917/1183790617545953401/1195639496981627011","ссылка")</f>
        <v>ссылка</v>
      </c>
      <c r="E145" s="43" t="n">
        <v>45304</v>
      </c>
      <c r="F145" s="24" t="n">
        <v>3</v>
      </c>
    </row>
    <row r="146" customFormat="false" ht="15.75" hidden="false" customHeight="false" outlineLevel="0" collapsed="false">
      <c r="A146" s="19" t="n">
        <v>144</v>
      </c>
      <c r="B146" s="19" t="s">
        <v>296</v>
      </c>
      <c r="C146" s="19" t="s">
        <v>270</v>
      </c>
      <c r="D146" s="40" t="str">
        <f aca="false">HYPERLINK("https://discord.com/channels/1040938900039929917/1183790617545953401/1195060285329915915","ссылка")</f>
        <v>ссылка</v>
      </c>
      <c r="E146" s="43" t="n">
        <v>45302</v>
      </c>
      <c r="F146" s="24" t="n">
        <v>0</v>
      </c>
    </row>
    <row r="147" customFormat="false" ht="15.75" hidden="false" customHeight="false" outlineLevel="0" collapsed="false">
      <c r="A147" s="19" t="n">
        <v>145</v>
      </c>
      <c r="B147" s="19" t="s">
        <v>197</v>
      </c>
      <c r="C147" s="19" t="s">
        <v>647</v>
      </c>
      <c r="D147" s="40" t="str">
        <f aca="false">HYPERLINK("https://discord.com/channels/1040938900039929917/1183790617545953401/1195060285329915915","ссылка")</f>
        <v>ссылка</v>
      </c>
      <c r="E147" s="43" t="n">
        <v>45302</v>
      </c>
      <c r="F147" s="24" t="n">
        <v>-15</v>
      </c>
    </row>
    <row r="148" customFormat="false" ht="15.75" hidden="false" customHeight="false" outlineLevel="0" collapsed="false">
      <c r="A148" s="19" t="n">
        <v>146</v>
      </c>
      <c r="B148" s="19" t="s">
        <v>20</v>
      </c>
      <c r="C148" s="19" t="s">
        <v>157</v>
      </c>
      <c r="D148" s="40" t="str">
        <f aca="false">HYPERLINK("https://discord.com/channels/1040938900039929917/1183790617545953401/1195511093221662730","ссылка")</f>
        <v>ссылка</v>
      </c>
      <c r="E148" s="43" t="n">
        <v>45304</v>
      </c>
      <c r="F148" s="24" t="n">
        <v>1</v>
      </c>
    </row>
    <row r="149" customFormat="false" ht="15.75" hidden="false" customHeight="false" outlineLevel="0" collapsed="false">
      <c r="A149" s="19" t="n">
        <v>147</v>
      </c>
      <c r="B149" s="19" t="s">
        <v>20</v>
      </c>
      <c r="C149" s="19" t="s">
        <v>189</v>
      </c>
      <c r="D149" s="40" t="str">
        <f aca="false">HYPERLINK("https://discord.com/channels/1040938900039929917/1183790617545953401/1195653597971619870","ссылка")</f>
        <v>ссылка</v>
      </c>
      <c r="E149" s="43" t="n">
        <v>45304</v>
      </c>
      <c r="F149" s="24" t="n">
        <v>1</v>
      </c>
    </row>
    <row r="150" customFormat="false" ht="15.75" hidden="false" customHeight="false" outlineLevel="0" collapsed="false">
      <c r="A150" s="19" t="n">
        <v>148</v>
      </c>
      <c r="B150" s="19" t="s">
        <v>300</v>
      </c>
      <c r="C150" s="19" t="s">
        <v>983</v>
      </c>
      <c r="D150" s="41" t="str">
        <f aca="false">HYPERLINK("https://discord.com/channels/1040938900039929917/1183790617545953401/1195761824793104385","ссылка")</f>
        <v>ссылка</v>
      </c>
      <c r="E150" s="43" t="n">
        <v>45304</v>
      </c>
      <c r="F150" s="24" t="n">
        <v>2</v>
      </c>
    </row>
    <row r="151" customFormat="false" ht="15.75" hidden="false" customHeight="false" outlineLevel="0" collapsed="false">
      <c r="A151" s="19" t="n">
        <v>149</v>
      </c>
      <c r="B151" s="19" t="s">
        <v>13</v>
      </c>
      <c r="C151" s="19" t="s">
        <v>6</v>
      </c>
      <c r="D151" s="41" t="str">
        <f aca="false">HYPERLINK("https://discord.com/channels/1040938900039929917/1183790617545953401/1195141045067989052","ссылка")</f>
        <v>ссылка</v>
      </c>
      <c r="E151" s="43" t="n">
        <v>45306</v>
      </c>
      <c r="F151" s="24" t="n">
        <v>3</v>
      </c>
    </row>
    <row r="152" customFormat="false" ht="15.75" hidden="false" customHeight="false" outlineLevel="0" collapsed="false">
      <c r="A152" s="19" t="n">
        <v>150</v>
      </c>
      <c r="B152" s="19" t="s">
        <v>6</v>
      </c>
      <c r="C152" s="19" t="s">
        <v>304</v>
      </c>
      <c r="D152" s="24" t="s">
        <v>982</v>
      </c>
      <c r="E152" s="43" t="n">
        <v>45306</v>
      </c>
      <c r="F152" s="24" t="n">
        <v>-5</v>
      </c>
    </row>
    <row r="153" customFormat="false" ht="15.75" hidden="false" customHeight="false" outlineLevel="0" collapsed="false">
      <c r="A153" s="19" t="n">
        <v>151</v>
      </c>
      <c r="B153" s="19" t="s">
        <v>20</v>
      </c>
      <c r="C153" s="19" t="s">
        <v>6</v>
      </c>
      <c r="D153" s="41" t="str">
        <f aca="false">HYPERLINK("https://discord.com/channels/1040938900039929917/1183790617545953401/1196875770346344448","ссылка")</f>
        <v>ссылка</v>
      </c>
      <c r="E153" s="43" t="n">
        <v>45307</v>
      </c>
      <c r="F153" s="24" t="n">
        <v>2</v>
      </c>
    </row>
    <row r="154" customFormat="false" ht="15.75" hidden="false" customHeight="false" outlineLevel="0" collapsed="false">
      <c r="A154" s="19" t="n">
        <v>152</v>
      </c>
      <c r="B154" s="19" t="s">
        <v>13</v>
      </c>
      <c r="C154" s="19" t="s">
        <v>157</v>
      </c>
      <c r="D154" s="42" t="str">
        <f aca="false">HYPERLINK("https://discord.com/channels/1040938900039929917/1183790617545953401/1195511093221662730","ссылка")</f>
        <v>ссылка</v>
      </c>
      <c r="E154" s="43" t="n">
        <v>45304</v>
      </c>
      <c r="F154" s="24" t="n">
        <v>-15</v>
      </c>
    </row>
    <row r="155" customFormat="false" ht="15.75" hidden="false" customHeight="false" outlineLevel="0" collapsed="false">
      <c r="A155" s="19" t="n">
        <v>153</v>
      </c>
      <c r="B155" s="19" t="s">
        <v>984</v>
      </c>
      <c r="C155" s="19" t="s">
        <v>984</v>
      </c>
      <c r="D155" s="40" t="str">
        <f aca="false">HYPERLINK("https://discord.com/channels/1040938900039929917/1195714543918260285","ссылка")</f>
        <v>ссылка</v>
      </c>
      <c r="E155" s="43" t="n">
        <v>45304</v>
      </c>
      <c r="F155" s="24" t="n">
        <v>-12</v>
      </c>
    </row>
    <row r="156" customFormat="false" ht="15.75" hidden="false" customHeight="false" outlineLevel="0" collapsed="false">
      <c r="A156" s="19" t="n">
        <v>154</v>
      </c>
      <c r="B156" s="19" t="s">
        <v>201</v>
      </c>
      <c r="C156" s="19" t="s">
        <v>222</v>
      </c>
      <c r="D156" s="40" t="str">
        <f aca="false">HYPERLINK("https://discord.com/channels/1040938900039929917/1183790617545953401/1193993731645382766","ссылка")</f>
        <v>ссылка</v>
      </c>
      <c r="E156" s="43" t="n">
        <v>45300</v>
      </c>
      <c r="F156" s="24" t="n">
        <v>-15</v>
      </c>
    </row>
    <row r="157" customFormat="false" ht="15.75" hidden="false" customHeight="false" outlineLevel="0" collapsed="false">
      <c r="A157" s="19" t="n">
        <v>155</v>
      </c>
      <c r="B157" s="19" t="s">
        <v>69</v>
      </c>
      <c r="C157" s="19" t="s">
        <v>197</v>
      </c>
      <c r="D157" s="41" t="str">
        <f aca="false">HYPERLINK("https://discord.com/channels/1040938900039929917/1196073867022713004","ссылка")</f>
        <v>ссылка</v>
      </c>
      <c r="E157" s="43" t="n">
        <v>45311</v>
      </c>
      <c r="F157" s="24" t="n">
        <v>-5</v>
      </c>
    </row>
    <row r="158" customFormat="false" ht="15.75" hidden="false" customHeight="false" outlineLevel="0" collapsed="false">
      <c r="A158" s="19" t="n">
        <v>156</v>
      </c>
      <c r="B158" s="19" t="s">
        <v>100</v>
      </c>
      <c r="C158" s="19" t="s">
        <v>193</v>
      </c>
      <c r="D158" s="40" t="str">
        <f aca="false">HYPERLINK("https://discord.com/channels/1040938900039929917/1183790617545953401/1197990740719050792","ссылка")</f>
        <v>ссылка</v>
      </c>
      <c r="E158" s="43" t="n">
        <v>45310</v>
      </c>
      <c r="F158" s="24" t="n">
        <v>1</v>
      </c>
    </row>
    <row r="159" customFormat="false" ht="15.75" hidden="false" customHeight="false" outlineLevel="0" collapsed="false">
      <c r="A159" s="19" t="n">
        <v>157</v>
      </c>
      <c r="B159" s="19" t="s">
        <v>298</v>
      </c>
      <c r="C159" s="19" t="s">
        <v>264</v>
      </c>
      <c r="D159" s="40" t="str">
        <f aca="false">HYPERLINK("https://discord.com/channels/1040938900039929917/1197292565398036500","ссылка")</f>
        <v>ссылка</v>
      </c>
      <c r="E159" s="43" t="n">
        <v>45309</v>
      </c>
      <c r="F159" s="24" t="n">
        <v>-12</v>
      </c>
    </row>
    <row r="160" customFormat="false" ht="15.75" hidden="false" customHeight="false" outlineLevel="0" collapsed="false">
      <c r="A160" s="19" t="n">
        <v>158</v>
      </c>
      <c r="B160" s="19" t="s">
        <v>298</v>
      </c>
      <c r="C160" s="19" t="s">
        <v>190</v>
      </c>
      <c r="D160" s="40" t="str">
        <f aca="false">HYPERLINK("https://discord.com/channels/1040938900039929917/1197292565398036500","ссылка")</f>
        <v>ссылка</v>
      </c>
      <c r="E160" s="43" t="n">
        <v>45309</v>
      </c>
      <c r="F160" s="24" t="n">
        <v>-2</v>
      </c>
    </row>
    <row r="161" customFormat="false" ht="15.75" hidden="false" customHeight="false" outlineLevel="0" collapsed="false">
      <c r="A161" s="19" t="n">
        <v>159</v>
      </c>
      <c r="B161" s="19" t="s">
        <v>272</v>
      </c>
      <c r="C161" s="19" t="s">
        <v>53</v>
      </c>
      <c r="D161" s="40" t="str">
        <f aca="false">HYPERLINK("https://discord.com/channels/1040938900039929917/1183790617545953401/1196533446084923483","ссылка")</f>
        <v>ссылка</v>
      </c>
      <c r="E161" s="43" t="n">
        <v>45306</v>
      </c>
      <c r="F161" s="24" t="n">
        <v>-5</v>
      </c>
    </row>
    <row r="162" customFormat="false" ht="15.75" hidden="false" customHeight="false" outlineLevel="0" collapsed="false">
      <c r="A162" s="19" t="n">
        <v>160</v>
      </c>
      <c r="B162" s="19" t="s">
        <v>272</v>
      </c>
      <c r="C162" s="19" t="s">
        <v>178</v>
      </c>
      <c r="D162" s="40" t="str">
        <f aca="false">HYPERLINK("https://discord.com/channels/1040938900039929917/1183790617545953401/1196533446084923483","ссылка")</f>
        <v>ссылка</v>
      </c>
      <c r="E162" s="43" t="n">
        <v>45306</v>
      </c>
      <c r="F162" s="24" t="n">
        <v>0</v>
      </c>
    </row>
    <row r="163" customFormat="false" ht="15.75" hidden="false" customHeight="false" outlineLevel="0" collapsed="false">
      <c r="A163" s="19" t="n">
        <v>161</v>
      </c>
      <c r="B163" s="19" t="s">
        <v>100</v>
      </c>
      <c r="C163" s="19" t="s">
        <v>11</v>
      </c>
      <c r="D163" s="40" t="str">
        <f aca="false">HYPERLINK("https://discord.com/channels/1040938900039929917/1183790617545953401/1198354796839710720","ссылка")</f>
        <v>ссылка</v>
      </c>
      <c r="E163" s="43" t="n">
        <v>45311</v>
      </c>
      <c r="F163" s="24" t="n">
        <v>2</v>
      </c>
      <c r="G163" s="55" t="s">
        <v>988</v>
      </c>
      <c r="H163" s="55"/>
    </row>
    <row r="164" customFormat="false" ht="15.75" hidden="false" customHeight="false" outlineLevel="0" collapsed="false">
      <c r="A164" s="19" t="n">
        <v>162</v>
      </c>
      <c r="B164" s="19" t="s">
        <v>20</v>
      </c>
      <c r="C164" s="19" t="s">
        <v>276</v>
      </c>
      <c r="D164" s="40" t="str">
        <f aca="false">HYPERLINK("https://discord.com/channels/1040938900039929917/1183790617545953401/1198405249782796358","ссылка")</f>
        <v>ссылка</v>
      </c>
      <c r="E164" s="43" t="n">
        <v>45312</v>
      </c>
      <c r="F164" s="24" t="n">
        <v>3</v>
      </c>
    </row>
    <row r="165" customFormat="false" ht="15.75" hidden="false" customHeight="false" outlineLevel="0" collapsed="false">
      <c r="A165" s="19" t="n">
        <v>163</v>
      </c>
      <c r="B165" s="19" t="s">
        <v>20</v>
      </c>
      <c r="C165" s="19" t="s">
        <v>151</v>
      </c>
      <c r="D165" s="40" t="str">
        <f aca="false">HYPERLINK("https://discord.com/channels/1040938900039929917/1183790617545953401/1198406502784974899","ссылка")</f>
        <v>ссылка</v>
      </c>
      <c r="E165" s="43" t="n">
        <v>45312</v>
      </c>
      <c r="F165" s="24" t="n">
        <v>1</v>
      </c>
    </row>
    <row r="166" customFormat="false" ht="15.75" hidden="false" customHeight="false" outlineLevel="0" collapsed="false">
      <c r="A166" s="19" t="n">
        <v>164</v>
      </c>
      <c r="B166" s="19" t="s">
        <v>69</v>
      </c>
      <c r="C166" s="19" t="s">
        <v>319</v>
      </c>
      <c r="D166" s="6" t="s">
        <v>989</v>
      </c>
      <c r="E166" s="43" t="n">
        <v>45312</v>
      </c>
      <c r="F166" s="24" t="n">
        <v>-40</v>
      </c>
    </row>
    <row r="167" customFormat="false" ht="15.75" hidden="false" customHeight="false" outlineLevel="0" collapsed="false">
      <c r="A167" s="19" t="n">
        <v>165</v>
      </c>
      <c r="B167" s="19" t="s">
        <v>116</v>
      </c>
      <c r="C167" s="19" t="s">
        <v>315</v>
      </c>
      <c r="D167" s="41" t="str">
        <f aca="false">HYPERLINK("https://discord.com/channels/1040938900039929917/1198061135866380358","ссылка")</f>
        <v>ссылка</v>
      </c>
      <c r="E167" s="43" t="n">
        <v>45313</v>
      </c>
      <c r="F167" s="24" t="n">
        <v>1</v>
      </c>
    </row>
    <row r="168" customFormat="false" ht="15.75" hidden="false" customHeight="false" outlineLevel="0" collapsed="false">
      <c r="A168" s="19" t="n">
        <v>166</v>
      </c>
      <c r="B168" s="19" t="s">
        <v>189</v>
      </c>
      <c r="C168" s="19" t="s">
        <v>137</v>
      </c>
      <c r="D168" s="48" t="str">
        <f aca="false">HYPERLINK("https://discord.com/channels/1040938900039929917/1198658980088651806","ссылка")</f>
        <v>ссылка</v>
      </c>
      <c r="E168" s="43" t="n">
        <v>45313</v>
      </c>
      <c r="F168" s="24" t="n">
        <v>2</v>
      </c>
    </row>
    <row r="169" customFormat="false" ht="15.75" hidden="false" customHeight="false" outlineLevel="0" collapsed="false">
      <c r="A169" s="19" t="n">
        <v>167</v>
      </c>
      <c r="B169" s="19" t="s">
        <v>116</v>
      </c>
      <c r="C169" s="19" t="s">
        <v>315</v>
      </c>
      <c r="D169" s="41" t="str">
        <f aca="false">HYPERLINK("https://discord.com/channels/1040938900039929917/1198061135866380358","ссылка")</f>
        <v>ссылка</v>
      </c>
      <c r="E169" s="43" t="n">
        <v>45313</v>
      </c>
      <c r="F169" s="24" t="n">
        <v>0</v>
      </c>
    </row>
    <row r="170" customFormat="false" ht="15.75" hidden="false" customHeight="false" outlineLevel="0" collapsed="false">
      <c r="A170" s="19" t="n">
        <v>168</v>
      </c>
      <c r="B170" s="19" t="s">
        <v>118</v>
      </c>
      <c r="C170" s="19" t="s">
        <v>88</v>
      </c>
      <c r="D170" s="40" t="str">
        <f aca="false">HYPERLINK("https://discord.com/channels/1040938900039929917/1183790617545953401/1198359899357315162","ссылка")</f>
        <v>ссылка</v>
      </c>
      <c r="E170" s="43" t="n">
        <v>45312</v>
      </c>
      <c r="F170" s="24" t="n">
        <v>2</v>
      </c>
    </row>
    <row r="171" customFormat="false" ht="15.75" hidden="false" customHeight="false" outlineLevel="0" collapsed="false">
      <c r="A171" s="19" t="n">
        <v>169</v>
      </c>
      <c r="B171" s="19" t="s">
        <v>11</v>
      </c>
      <c r="C171" s="19" t="s">
        <v>321</v>
      </c>
      <c r="D171" s="24" t="s">
        <v>990</v>
      </c>
      <c r="E171" s="43" t="n">
        <v>45313</v>
      </c>
      <c r="F171" s="24" t="n">
        <v>-15</v>
      </c>
    </row>
    <row r="172" customFormat="false" ht="15.75" hidden="false" customHeight="false" outlineLevel="0" collapsed="false">
      <c r="A172" s="19" t="n">
        <v>170</v>
      </c>
      <c r="B172" s="19" t="s">
        <v>13</v>
      </c>
      <c r="C172" s="19" t="s">
        <v>6</v>
      </c>
      <c r="D172" s="40" t="str">
        <f aca="false">HYPERLINK("https://discord.com/channels/1040938900039929917/1183790617545953401/1198840219290566687","ссылка")</f>
        <v>ссылка</v>
      </c>
      <c r="E172" s="43" t="n">
        <v>45313</v>
      </c>
      <c r="F172" s="24" t="n">
        <v>3</v>
      </c>
    </row>
    <row r="173" customFormat="false" ht="15.75" hidden="false" customHeight="false" outlineLevel="0" collapsed="false">
      <c r="A173" s="19" t="n">
        <v>171</v>
      </c>
      <c r="B173" s="19" t="s">
        <v>13</v>
      </c>
      <c r="C173" s="19" t="s">
        <v>983</v>
      </c>
      <c r="D173" s="40" t="str">
        <f aca="false">HYPERLINK("https://discord.com/channels/1040938900039929917/1183790617545953401/1198840219290566687","ссылка")</f>
        <v>ссылка</v>
      </c>
      <c r="E173" s="43" t="n">
        <v>45313</v>
      </c>
      <c r="F173" s="24" t="n">
        <v>3</v>
      </c>
    </row>
    <row r="174" customFormat="false" ht="15.75" hidden="false" customHeight="false" outlineLevel="0" collapsed="false">
      <c r="A174" s="19" t="n">
        <v>172</v>
      </c>
      <c r="B174" s="19" t="s">
        <v>13</v>
      </c>
      <c r="C174" s="19" t="s">
        <v>315</v>
      </c>
      <c r="D174" s="40" t="str">
        <f aca="false">HYPERLINK("https://discord.com/channels/1040938900039929917/1183790617545953401/1198840219290566687","ссылка")</f>
        <v>ссылка</v>
      </c>
      <c r="E174" s="43" t="n">
        <v>45313</v>
      </c>
      <c r="F174" s="24" t="n">
        <v>2</v>
      </c>
    </row>
    <row r="175" customFormat="false" ht="15.75" hidden="false" customHeight="false" outlineLevel="0" collapsed="false">
      <c r="A175" s="19" t="n">
        <v>173</v>
      </c>
      <c r="B175" s="19" t="s">
        <v>315</v>
      </c>
      <c r="C175" s="19" t="s">
        <v>13</v>
      </c>
      <c r="D175" s="41" t="str">
        <f aca="false">HYPERLINK("https://discord.com/channels/1040938900039929917/1183790617545953401/1198796423756517428","ссылка")</f>
        <v>ссылка</v>
      </c>
      <c r="E175" s="43" t="n">
        <v>45313</v>
      </c>
      <c r="F175" s="24" t="n">
        <v>2</v>
      </c>
    </row>
    <row r="176" customFormat="false" ht="15.75" hidden="false" customHeight="false" outlineLevel="0" collapsed="false">
      <c r="A176" s="19" t="n">
        <v>174</v>
      </c>
      <c r="B176" s="19" t="s">
        <v>13</v>
      </c>
      <c r="C176" s="19" t="s">
        <v>328</v>
      </c>
      <c r="D176" s="24" t="s">
        <v>982</v>
      </c>
      <c r="E176" s="43" t="n">
        <v>45314</v>
      </c>
      <c r="F176" s="24" t="n">
        <v>-5</v>
      </c>
    </row>
    <row r="177" customFormat="false" ht="15.75" hidden="false" customHeight="false" outlineLevel="0" collapsed="false">
      <c r="A177" s="19" t="n">
        <v>175</v>
      </c>
      <c r="B177" s="19" t="s">
        <v>983</v>
      </c>
      <c r="C177" s="19" t="s">
        <v>979</v>
      </c>
      <c r="D177" s="41" t="str">
        <f aca="false">HYPERLINK("https://discord.com/channels/1040938900039929917/1183790617545953401/1199362975874687086","ссылка")</f>
        <v>ссылка</v>
      </c>
      <c r="E177" s="43" t="n">
        <v>45314</v>
      </c>
      <c r="F177" s="24" t="n">
        <v>2</v>
      </c>
    </row>
    <row r="178" customFormat="false" ht="15.75" hidden="false" customHeight="false" outlineLevel="0" collapsed="false">
      <c r="A178" s="19" t="n">
        <v>176</v>
      </c>
      <c r="B178" s="19" t="s">
        <v>201</v>
      </c>
      <c r="C178" s="19" t="s">
        <v>324</v>
      </c>
      <c r="D178" s="24" t="s">
        <v>991</v>
      </c>
      <c r="E178" s="43" t="n">
        <v>45313</v>
      </c>
      <c r="F178" s="24" t="n">
        <v>-40</v>
      </c>
    </row>
    <row r="179" customFormat="false" ht="15.75" hidden="false" customHeight="false" outlineLevel="0" collapsed="false">
      <c r="A179" s="19" t="n">
        <v>177</v>
      </c>
      <c r="B179" s="19" t="s">
        <v>201</v>
      </c>
      <c r="C179" s="19" t="s">
        <v>330</v>
      </c>
      <c r="D179" s="24" t="s">
        <v>982</v>
      </c>
      <c r="E179" s="43" t="n">
        <v>45314</v>
      </c>
      <c r="F179" s="24" t="n">
        <v>-5</v>
      </c>
    </row>
    <row r="180" customFormat="false" ht="15.75" hidden="false" customHeight="false" outlineLevel="0" collapsed="false">
      <c r="A180" s="19" t="n">
        <v>178</v>
      </c>
      <c r="B180" s="19" t="s">
        <v>201</v>
      </c>
      <c r="C180" s="19" t="s">
        <v>332</v>
      </c>
      <c r="D180" s="24" t="s">
        <v>982</v>
      </c>
      <c r="E180" s="43" t="n">
        <v>45315</v>
      </c>
      <c r="F180" s="24" t="n">
        <v>-5</v>
      </c>
    </row>
    <row r="181" customFormat="false" ht="15.75" hidden="false" customHeight="false" outlineLevel="0" collapsed="false">
      <c r="A181" s="19" t="n">
        <v>179</v>
      </c>
      <c r="B181" s="19" t="s">
        <v>69</v>
      </c>
      <c r="C181" s="19" t="s">
        <v>7</v>
      </c>
      <c r="D181" s="40" t="str">
        <f aca="false">HYPERLINK("https://discord.com/channels/1040938900039929917/1183790617545953401/1199431194870300723","ссылка")</f>
        <v>ссылка</v>
      </c>
      <c r="E181" s="43" t="n">
        <v>45315</v>
      </c>
      <c r="F181" s="24" t="n">
        <v>-10</v>
      </c>
    </row>
    <row r="182" customFormat="false" ht="15.75" hidden="false" customHeight="false" outlineLevel="0" collapsed="false">
      <c r="A182" s="19" t="n">
        <v>180</v>
      </c>
      <c r="B182" s="19" t="s">
        <v>137</v>
      </c>
      <c r="C182" s="19" t="s">
        <v>88</v>
      </c>
      <c r="D182" s="40" t="str">
        <f aca="false">HYPERLINK("https://discord.com/channels/1040938900039929917/1183790617545953401/1200177400194027601","ссылка")</f>
        <v>ссылка</v>
      </c>
      <c r="E182" s="43" t="n">
        <v>45316</v>
      </c>
      <c r="F182" s="24" t="n">
        <v>1</v>
      </c>
    </row>
    <row r="183" customFormat="false" ht="15.75" hidden="false" customHeight="false" outlineLevel="0" collapsed="false">
      <c r="A183" s="19" t="n">
        <v>181</v>
      </c>
      <c r="B183" s="19" t="s">
        <v>88</v>
      </c>
      <c r="C183" s="19" t="s">
        <v>137</v>
      </c>
      <c r="D183" s="40" t="str">
        <f aca="false">HYPERLINK("https://discord.com/channels/1040938900039929917/1183790617545953401/1200174997872853032","ссылка")</f>
        <v>ссылка</v>
      </c>
      <c r="E183" s="43" t="n">
        <v>45316</v>
      </c>
      <c r="F183" s="24" t="n">
        <v>1</v>
      </c>
    </row>
    <row r="184" customFormat="false" ht="15.75" hidden="false" customHeight="false" outlineLevel="0" collapsed="false">
      <c r="A184" s="19" t="n">
        <v>182</v>
      </c>
      <c r="B184" s="19" t="s">
        <v>13</v>
      </c>
      <c r="C184" s="19" t="s">
        <v>201</v>
      </c>
      <c r="D184" s="40" t="str">
        <f aca="false">HYPERLINK("https://discord.com/channels/1040938900039929917/1199887169548992632","ссылка")</f>
        <v>ссылка</v>
      </c>
      <c r="E184" s="43" t="n">
        <v>45316</v>
      </c>
      <c r="F184" s="24" t="n">
        <v>1</v>
      </c>
    </row>
    <row r="185" customFormat="false" ht="15.75" hidden="false" customHeight="false" outlineLevel="0" collapsed="false">
      <c r="A185" s="19" t="n">
        <v>183</v>
      </c>
      <c r="B185" s="19" t="s">
        <v>13</v>
      </c>
      <c r="C185" s="19" t="s">
        <v>197</v>
      </c>
      <c r="D185" s="42" t="str">
        <f aca="false">HYPERLINK("https://discord.com/channels/1040938900039929917/1199887169548992632","ссылка")</f>
        <v>ссылка</v>
      </c>
      <c r="E185" s="43" t="n">
        <v>45316</v>
      </c>
      <c r="F185" s="24" t="n">
        <v>2</v>
      </c>
    </row>
    <row r="186" customFormat="false" ht="15.75" hidden="false" customHeight="false" outlineLevel="0" collapsed="false">
      <c r="A186" s="19" t="n">
        <v>184</v>
      </c>
      <c r="B186" s="19" t="s">
        <v>104</v>
      </c>
      <c r="C186" s="19" t="s">
        <v>69</v>
      </c>
      <c r="D186" s="40" t="str">
        <f aca="false">HYPERLINK("https://discord.com/channels/1040938900039929917/1183790617545953401/1199885563298316382","ссылка")</f>
        <v>ссылка</v>
      </c>
      <c r="E186" s="43" t="n">
        <v>45316</v>
      </c>
      <c r="F186" s="24" t="n">
        <v>2</v>
      </c>
    </row>
    <row r="187" customFormat="false" ht="15.75" hidden="false" customHeight="false" outlineLevel="0" collapsed="false">
      <c r="A187" s="19" t="n">
        <v>185</v>
      </c>
      <c r="B187" s="19" t="s">
        <v>205</v>
      </c>
      <c r="C187" s="19" t="s">
        <v>88</v>
      </c>
      <c r="D187" s="40" t="str">
        <f aca="false">HYPERLINK("https://discord.com/channels/1040938900039929917/1183790617545953401/1199885563298316382","ссылка")</f>
        <v>ссылка</v>
      </c>
      <c r="E187" s="43" t="n">
        <v>45316</v>
      </c>
      <c r="F187" s="24" t="n">
        <v>1</v>
      </c>
    </row>
    <row r="188" customFormat="false" ht="15.75" hidden="false" customHeight="false" outlineLevel="0" collapsed="false">
      <c r="A188" s="19" t="n">
        <v>186</v>
      </c>
      <c r="B188" s="19" t="s">
        <v>30</v>
      </c>
      <c r="C188" s="19" t="s">
        <v>264</v>
      </c>
      <c r="D188" s="40" t="str">
        <f aca="false">HYPERLINK("https://discord.com/channels/1040938900039929917/1183790617545953401/1199824842636140604","ссылка")</f>
        <v>ссылка</v>
      </c>
      <c r="E188" s="43" t="n">
        <v>45316</v>
      </c>
      <c r="F188" s="24" t="n">
        <v>1</v>
      </c>
    </row>
    <row r="189" customFormat="false" ht="15.75" hidden="false" customHeight="false" outlineLevel="0" collapsed="false">
      <c r="A189" s="19" t="n">
        <v>187</v>
      </c>
      <c r="B189" s="19" t="s">
        <v>88</v>
      </c>
      <c r="C189" s="19" t="s">
        <v>272</v>
      </c>
      <c r="D189" s="56" t="str">
        <f aca="false">HYPERLINK("https://discord.com/channels/1040938900039929917/1183790617545953401/1199428402483048560","ссылка")</f>
        <v>ссылка</v>
      </c>
      <c r="E189" s="43" t="n">
        <v>45314</v>
      </c>
      <c r="F189" s="24" t="n">
        <v>2</v>
      </c>
    </row>
    <row r="190" customFormat="false" ht="15.75" hidden="false" customHeight="false" outlineLevel="0" collapsed="false">
      <c r="A190" s="19" t="n">
        <v>188</v>
      </c>
      <c r="B190" s="19" t="s">
        <v>6</v>
      </c>
      <c r="C190" s="19" t="s">
        <v>88</v>
      </c>
      <c r="D190" s="24" t="s">
        <v>992</v>
      </c>
      <c r="E190" s="43" t="n">
        <v>45317</v>
      </c>
      <c r="F190" s="24" t="n">
        <v>3</v>
      </c>
    </row>
    <row r="191" customFormat="false" ht="15.75" hidden="false" customHeight="false" outlineLevel="0" collapsed="false">
      <c r="A191" s="19" t="n">
        <v>189</v>
      </c>
      <c r="B191" s="19" t="s">
        <v>286</v>
      </c>
      <c r="C191" s="19" t="s">
        <v>205</v>
      </c>
      <c r="D191" s="40" t="str">
        <f aca="false">HYPERLINK("https://discord.com/channels/1040938900039929917/1183790617545953401/1199811918106480681","ссылка")</f>
        <v>ссылка</v>
      </c>
      <c r="E191" s="43" t="n">
        <v>45315</v>
      </c>
      <c r="F191" s="24" t="n">
        <v>1</v>
      </c>
    </row>
    <row r="192" customFormat="false" ht="15.75" hidden="false" customHeight="false" outlineLevel="0" collapsed="false">
      <c r="A192" s="19" t="n">
        <v>190</v>
      </c>
      <c r="B192" s="19" t="s">
        <v>205</v>
      </c>
      <c r="C192" s="19" t="s">
        <v>104</v>
      </c>
      <c r="D192" s="40" t="str">
        <f aca="false">HYPERLINK("https://discord.com/channels/1040938900039929917/1183790617545953401/1199428015944384582","ссылка")</f>
        <v>ссылка</v>
      </c>
      <c r="E192" s="43" t="n">
        <v>45314</v>
      </c>
      <c r="F192" s="24" t="n">
        <v>1</v>
      </c>
    </row>
    <row r="193" customFormat="false" ht="15.75" hidden="false" customHeight="false" outlineLevel="0" collapsed="false">
      <c r="A193" s="19" t="n">
        <v>191</v>
      </c>
      <c r="B193" s="19" t="s">
        <v>201</v>
      </c>
      <c r="C193" s="19" t="s">
        <v>272</v>
      </c>
      <c r="D193" s="40" t="str">
        <f aca="false">HYPERLINK("https://discord.com/channels/1040938900039929917/1183790617545953401/1197609076906020915","ссылка")</f>
        <v>ссылка</v>
      </c>
      <c r="E193" s="43" t="n">
        <v>45309</v>
      </c>
      <c r="F193" s="24" t="n">
        <v>-2</v>
      </c>
    </row>
    <row r="194" customFormat="false" ht="15.75" hidden="false" customHeight="false" outlineLevel="0" collapsed="false">
      <c r="A194" s="19" t="n">
        <v>192</v>
      </c>
      <c r="B194" s="19" t="s">
        <v>983</v>
      </c>
      <c r="C194" s="19" t="s">
        <v>647</v>
      </c>
      <c r="D194" s="41" t="str">
        <f aca="false">HYPERLINK("https://discord.com/channels/1040938900039929917/1183790617545953401/1199717800390963222","ссылка")</f>
        <v>ссылка</v>
      </c>
      <c r="E194" s="43" t="n">
        <v>45315</v>
      </c>
      <c r="F194" s="24" t="n">
        <v>2</v>
      </c>
    </row>
    <row r="195" customFormat="false" ht="15.75" hidden="false" customHeight="false" outlineLevel="0" collapsed="false">
      <c r="A195" s="19" t="n">
        <v>193</v>
      </c>
      <c r="B195" s="19" t="s">
        <v>201</v>
      </c>
      <c r="C195" s="19" t="s">
        <v>338</v>
      </c>
      <c r="D195" s="24" t="s">
        <v>982</v>
      </c>
      <c r="E195" s="43" t="n">
        <v>45318</v>
      </c>
      <c r="F195" s="24" t="n">
        <v>-5</v>
      </c>
    </row>
    <row r="196" customFormat="false" ht="15.75" hidden="false" customHeight="false" outlineLevel="0" collapsed="false">
      <c r="A196" s="19" t="n">
        <v>194</v>
      </c>
      <c r="B196" s="19" t="s">
        <v>264</v>
      </c>
      <c r="C196" s="19" t="s">
        <v>298</v>
      </c>
      <c r="D196" s="40" t="str">
        <f aca="false">HYPERLINK("https://discord.com/channels/1040938900039929917/1183790617545953401/1198728599050666054","ссылка")</f>
        <v>ссылка</v>
      </c>
      <c r="E196" s="43" t="n">
        <v>45312</v>
      </c>
      <c r="F196" s="24" t="n">
        <v>-10</v>
      </c>
    </row>
    <row r="197" customFormat="false" ht="15.75" hidden="false" customHeight="false" outlineLevel="0" collapsed="false">
      <c r="A197" s="19" t="n">
        <v>195</v>
      </c>
      <c r="B197" s="19" t="s">
        <v>193</v>
      </c>
      <c r="C197" s="19" t="s">
        <v>340</v>
      </c>
      <c r="D197" s="24" t="s">
        <v>991</v>
      </c>
      <c r="E197" s="43" t="n">
        <v>45318</v>
      </c>
      <c r="F197" s="24" t="n">
        <v>-40</v>
      </c>
    </row>
    <row r="198" customFormat="false" ht="15.75" hidden="false" customHeight="false" outlineLevel="0" collapsed="false">
      <c r="A198" s="19" t="n">
        <v>196</v>
      </c>
      <c r="B198" s="19" t="s">
        <v>11</v>
      </c>
      <c r="C198" s="19" t="s">
        <v>342</v>
      </c>
      <c r="D198" s="24" t="s">
        <v>993</v>
      </c>
      <c r="E198" s="43" t="n">
        <v>45318</v>
      </c>
      <c r="F198" s="24" t="n">
        <v>-40</v>
      </c>
    </row>
    <row r="199" customFormat="false" ht="15.75" hidden="false" customHeight="false" outlineLevel="0" collapsed="false">
      <c r="A199" s="19" t="n">
        <v>197</v>
      </c>
      <c r="B199" s="19" t="s">
        <v>13</v>
      </c>
      <c r="C199" s="19" t="s">
        <v>343</v>
      </c>
      <c r="D199" s="24" t="s">
        <v>993</v>
      </c>
      <c r="E199" s="43" t="n">
        <v>45318</v>
      </c>
      <c r="F199" s="24" t="n">
        <v>-40</v>
      </c>
    </row>
    <row r="200" customFormat="false" ht="15.75" hidden="false" customHeight="false" outlineLevel="0" collapsed="false">
      <c r="A200" s="19" t="n">
        <v>198</v>
      </c>
      <c r="B200" s="19" t="s">
        <v>13</v>
      </c>
      <c r="C200" s="19" t="s">
        <v>347</v>
      </c>
      <c r="D200" s="24" t="s">
        <v>994</v>
      </c>
      <c r="E200" s="43" t="n">
        <v>45319</v>
      </c>
      <c r="F200" s="24" t="n">
        <v>-5</v>
      </c>
    </row>
    <row r="201" customFormat="false" ht="15.75" hidden="false" customHeight="false" outlineLevel="0" collapsed="false">
      <c r="A201" s="19" t="n">
        <v>199</v>
      </c>
      <c r="B201" s="19" t="s">
        <v>201</v>
      </c>
      <c r="C201" s="19" t="s">
        <v>276</v>
      </c>
      <c r="D201" s="41" t="str">
        <f aca="false">HYPERLINK("https://discord.com/channels/1040938900039929917/1200674766940549160","ссылка")</f>
        <v>ссылка</v>
      </c>
      <c r="E201" s="43" t="n">
        <v>45319</v>
      </c>
      <c r="F201" s="24" t="n">
        <v>-2</v>
      </c>
    </row>
    <row r="202" customFormat="false" ht="15.75" hidden="false" customHeight="false" outlineLevel="0" collapsed="false">
      <c r="A202" s="19" t="n">
        <v>200</v>
      </c>
      <c r="B202" s="19" t="s">
        <v>13</v>
      </c>
      <c r="C202" s="19" t="s">
        <v>353</v>
      </c>
      <c r="D202" s="24" t="s">
        <v>994</v>
      </c>
      <c r="E202" s="43" t="n">
        <v>45320</v>
      </c>
      <c r="F202" s="24" t="n">
        <v>-5</v>
      </c>
    </row>
    <row r="203" customFormat="false" ht="15.75" hidden="false" customHeight="false" outlineLevel="0" collapsed="false">
      <c r="A203" s="19" t="n">
        <v>201</v>
      </c>
      <c r="B203" s="19" t="s">
        <v>255</v>
      </c>
      <c r="C203" s="19" t="s">
        <v>272</v>
      </c>
      <c r="D203" s="22" t="str">
        <f aca="false">HYPERLINK("https://discord.com/channels/1040938900039929917/1199431194870300723","ссылка")</f>
        <v>ссылка</v>
      </c>
      <c r="E203" s="43" t="n">
        <v>45314</v>
      </c>
      <c r="F203" s="24" t="n">
        <v>-2</v>
      </c>
    </row>
    <row r="204" customFormat="false" ht="15.75" hidden="false" customHeight="false" outlineLevel="0" collapsed="false">
      <c r="A204" s="19" t="n">
        <v>202</v>
      </c>
      <c r="B204" s="19" t="s">
        <v>95</v>
      </c>
      <c r="C204" s="19" t="s">
        <v>185</v>
      </c>
      <c r="D204" s="40" t="str">
        <f aca="false">HYPERLINK("https://discord.com/channels/1040938900039929917/1201603199145087056","ссылка")</f>
        <v>ссылка</v>
      </c>
      <c r="E204" s="43" t="n">
        <v>45320</v>
      </c>
      <c r="F204" s="24" t="n">
        <v>-15</v>
      </c>
    </row>
    <row r="205" customFormat="false" ht="15.75" hidden="false" customHeight="false" outlineLevel="0" collapsed="false">
      <c r="A205" s="19" t="n">
        <v>203</v>
      </c>
      <c r="B205" s="19" t="s">
        <v>255</v>
      </c>
      <c r="C205" s="19" t="s">
        <v>255</v>
      </c>
      <c r="D205" s="22" t="str">
        <f aca="false">HYPERLINK("https://discord.com/channels/1040938900039929917/1199431194870300723","ссылка")</f>
        <v>ссылка</v>
      </c>
      <c r="E205" s="43" t="n">
        <v>45314</v>
      </c>
      <c r="F205" s="24" t="n">
        <v>-15</v>
      </c>
    </row>
    <row r="206" customFormat="false" ht="15.75" hidden="false" customHeight="false" outlineLevel="0" collapsed="false">
      <c r="A206" s="19" t="n">
        <v>204</v>
      </c>
      <c r="B206" s="19" t="s">
        <v>30</v>
      </c>
      <c r="C206" s="19" t="s">
        <v>172</v>
      </c>
      <c r="D206" s="22" t="str">
        <f aca="false">HYPERLINK("https://discord.com/channels/1040938900039929917/1183790617545953401/1201602662785892404","ссылка")</f>
        <v>ссылка</v>
      </c>
      <c r="E206" s="43" t="n">
        <v>45321</v>
      </c>
      <c r="F206" s="24" t="n">
        <v>1</v>
      </c>
    </row>
    <row r="207" customFormat="false" ht="15.75" hidden="false" customHeight="false" outlineLevel="0" collapsed="false">
      <c r="A207" s="19" t="n">
        <v>205</v>
      </c>
      <c r="B207" s="19" t="s">
        <v>157</v>
      </c>
      <c r="C207" s="19" t="s">
        <v>157</v>
      </c>
      <c r="D207" s="22" t="str">
        <f aca="false">HYPERLINK("https://discord.com/channels/1040938900039929917/1201570615677685821","ссылка")</f>
        <v>ссылка</v>
      </c>
      <c r="E207" s="43" t="n">
        <v>45322</v>
      </c>
      <c r="F207" s="24" t="n">
        <v>-15</v>
      </c>
    </row>
    <row r="208" customFormat="false" ht="15.75" hidden="false" customHeight="false" outlineLevel="0" collapsed="false">
      <c r="A208" s="19" t="n">
        <v>206</v>
      </c>
      <c r="B208" s="19" t="s">
        <v>30</v>
      </c>
      <c r="C208" s="19" t="s">
        <v>276</v>
      </c>
      <c r="D208" s="41" t="str">
        <f aca="false">HYPERLINK("https://discord.com/channels/1040938900039929917/1183790617545953401/1202025153152946267","ссылка")</f>
        <v>ссылка</v>
      </c>
      <c r="E208" s="43" t="n">
        <v>45322</v>
      </c>
      <c r="F208" s="24" t="n">
        <v>2</v>
      </c>
    </row>
    <row r="209" customFormat="false" ht="15.75" hidden="false" customHeight="false" outlineLevel="0" collapsed="false">
      <c r="A209" s="19" t="n">
        <v>207</v>
      </c>
      <c r="B209" s="19" t="s">
        <v>979</v>
      </c>
      <c r="C209" s="19" t="s">
        <v>272</v>
      </c>
      <c r="D209" s="41" t="str">
        <f aca="false">HYPERLINK("https://discord.com/channels/1040938900039929917/1183790617545953401/1201856979597787188","ссылка")</f>
        <v>ссылка</v>
      </c>
      <c r="E209" s="43" t="n">
        <v>45321</v>
      </c>
      <c r="F209" s="24" t="n">
        <v>-5</v>
      </c>
    </row>
    <row r="210" customFormat="false" ht="15.75" hidden="false" customHeight="false" outlineLevel="0" collapsed="false">
      <c r="A210" s="19" t="n">
        <v>208</v>
      </c>
      <c r="B210" s="19" t="s">
        <v>201</v>
      </c>
      <c r="C210" s="19" t="s">
        <v>272</v>
      </c>
      <c r="D210" s="24" t="s">
        <v>995</v>
      </c>
      <c r="E210" s="43" t="n">
        <v>45325</v>
      </c>
      <c r="F210" s="24" t="n">
        <v>-10</v>
      </c>
    </row>
    <row r="211" customFormat="false" ht="15.75" hidden="false" customHeight="false" outlineLevel="0" collapsed="false">
      <c r="A211" s="19" t="n">
        <v>209</v>
      </c>
      <c r="B211" s="19" t="s">
        <v>189</v>
      </c>
      <c r="C211" s="19" t="s">
        <v>13</v>
      </c>
      <c r="D211" s="41" t="str">
        <f aca="false">HYPERLINK("https://discord.com/channels/1040938900039929917/1183790617545953401/1202654964598439946","ссылка")</f>
        <v>ссылка</v>
      </c>
      <c r="E211" s="43" t="n">
        <v>45323</v>
      </c>
      <c r="F211" s="24" t="n">
        <v>2</v>
      </c>
    </row>
    <row r="212" customFormat="false" ht="15.75" hidden="false" customHeight="false" outlineLevel="0" collapsed="false">
      <c r="A212" s="19" t="n">
        <v>210</v>
      </c>
      <c r="B212" s="19" t="s">
        <v>13</v>
      </c>
      <c r="C212" s="19" t="s">
        <v>189</v>
      </c>
      <c r="D212" s="41" t="str">
        <f aca="false">HYPERLINK("https://discord.com/channels/1040938900039929917/1183790617545953401/1202654964598439946","ссылка")</f>
        <v>ссылка</v>
      </c>
      <c r="E212" s="43" t="n">
        <v>45323</v>
      </c>
      <c r="F212" s="24" t="n">
        <v>3</v>
      </c>
    </row>
    <row r="213" customFormat="false" ht="15.75" hidden="false" customHeight="false" outlineLevel="0" collapsed="false">
      <c r="A213" s="19" t="n">
        <v>211</v>
      </c>
      <c r="B213" s="19" t="s">
        <v>88</v>
      </c>
      <c r="C213" s="19" t="s">
        <v>201</v>
      </c>
      <c r="D213" s="40" t="str">
        <f aca="false">HYPERLINK("https://discord.com/channels/1040938900039929917/1183790617545953401/1203096158025818212","ссылка")</f>
        <v>ссылка</v>
      </c>
      <c r="E213" s="54" t="n">
        <v>45294</v>
      </c>
      <c r="F213" s="24" t="n">
        <v>1</v>
      </c>
    </row>
    <row r="214" customFormat="false" ht="15.75" hidden="false" customHeight="false" outlineLevel="0" collapsed="false">
      <c r="A214" s="19" t="n">
        <v>212</v>
      </c>
      <c r="B214" s="19" t="s">
        <v>88</v>
      </c>
      <c r="C214" s="19" t="s">
        <v>30</v>
      </c>
      <c r="D214" s="40" t="str">
        <f aca="false">HYPERLINK("https://discord.com/channels/1040938900039929917/1183790617545953401/1203096158025818212","ссылка")</f>
        <v>ссылка</v>
      </c>
      <c r="E214" s="43" t="n">
        <v>45294</v>
      </c>
      <c r="F214" s="24" t="n">
        <v>1</v>
      </c>
    </row>
    <row r="215" customFormat="false" ht="15.75" hidden="false" customHeight="false" outlineLevel="0" collapsed="false">
      <c r="A215" s="19" t="n">
        <v>213</v>
      </c>
      <c r="B215" s="19" t="s">
        <v>88</v>
      </c>
      <c r="C215" s="19" t="s">
        <v>100</v>
      </c>
      <c r="D215" s="40" t="str">
        <f aca="false">HYPERLINK("https://discord.com/channels/1040938900039929917/1183790617545953401/1203096158025818212","ссылка")</f>
        <v>ссылка</v>
      </c>
      <c r="E215" s="43" t="n">
        <v>45294</v>
      </c>
      <c r="F215" s="24" t="n">
        <v>1</v>
      </c>
    </row>
    <row r="216" customFormat="false" ht="15.75" hidden="false" customHeight="false" outlineLevel="0" collapsed="false">
      <c r="A216" s="19" t="n">
        <v>214</v>
      </c>
      <c r="B216" s="19" t="s">
        <v>88</v>
      </c>
      <c r="C216" s="19" t="s">
        <v>151</v>
      </c>
      <c r="D216" s="40" t="str">
        <f aca="false">HYPERLINK("https://discord.com/channels/1040938900039929917/1183790617545953401/1203096158025818212","ссылка")</f>
        <v>ссылка</v>
      </c>
      <c r="E216" s="43" t="n">
        <v>45294</v>
      </c>
      <c r="F216" s="24" t="n">
        <v>1</v>
      </c>
    </row>
    <row r="217" customFormat="false" ht="15.75" hidden="false" customHeight="false" outlineLevel="0" collapsed="false">
      <c r="A217" s="19" t="n">
        <v>215</v>
      </c>
      <c r="B217" s="19" t="s">
        <v>88</v>
      </c>
      <c r="C217" s="19" t="s">
        <v>64</v>
      </c>
      <c r="D217" s="40" t="str">
        <f aca="false">HYPERLINK("https://discord.com/channels/1040938900039929917/1183790617545953401/1203096158025818212","ссылка")</f>
        <v>ссылка</v>
      </c>
      <c r="E217" s="43" t="n">
        <v>45294</v>
      </c>
      <c r="F217" s="24" t="n">
        <v>1</v>
      </c>
    </row>
    <row r="218" customFormat="false" ht="15.75" hidden="false" customHeight="false" outlineLevel="0" collapsed="false">
      <c r="A218" s="19" t="n">
        <v>216</v>
      </c>
      <c r="B218" s="19" t="s">
        <v>30</v>
      </c>
      <c r="C218" s="19" t="s">
        <v>88</v>
      </c>
      <c r="D218" s="40" t="str">
        <f aca="false">HYPERLINK("https://discord.com/channels/1040938900039929917/1183790617545953401/1203101591029416057","ссылка")</f>
        <v>ссылка</v>
      </c>
      <c r="E218" s="43" t="n">
        <v>45294</v>
      </c>
      <c r="F218" s="24" t="n">
        <v>3</v>
      </c>
    </row>
    <row r="219" customFormat="false" ht="15.75" hidden="false" customHeight="false" outlineLevel="0" collapsed="false">
      <c r="A219" s="19" t="n">
        <v>217</v>
      </c>
      <c r="B219" s="19" t="s">
        <v>298</v>
      </c>
      <c r="C219" s="19" t="s">
        <v>30</v>
      </c>
      <c r="D219" s="40" t="str">
        <f aca="false">HYPERLINK("https://discord.com/channels/1040938900039929917/1203093269295403009","ссылка")</f>
        <v>ссылка</v>
      </c>
      <c r="E219" s="43" t="n">
        <v>45294</v>
      </c>
      <c r="F219" s="24" t="n">
        <v>0</v>
      </c>
      <c r="G219" s="19" t="s">
        <v>996</v>
      </c>
    </row>
    <row r="220" customFormat="false" ht="15.75" hidden="false" customHeight="false" outlineLevel="0" collapsed="false">
      <c r="A220" s="19" t="n">
        <v>218</v>
      </c>
      <c r="B220" s="19" t="s">
        <v>197</v>
      </c>
      <c r="C220" s="19" t="s">
        <v>979</v>
      </c>
      <c r="D220" s="40" t="str">
        <f aca="false">HYPERLINK("https://discord.com/channels/1040938900039929917/1201857754269220914","ссылка")</f>
        <v>ссылка</v>
      </c>
      <c r="E220" s="43" t="n">
        <v>45294</v>
      </c>
      <c r="F220" s="24" t="n">
        <v>-7</v>
      </c>
      <c r="G220" s="19" t="s">
        <v>997</v>
      </c>
    </row>
    <row r="221" customFormat="false" ht="15.75" hidden="false" customHeight="false" outlineLevel="0" collapsed="false">
      <c r="A221" s="19" t="n">
        <v>219</v>
      </c>
      <c r="B221" s="19" t="s">
        <v>6</v>
      </c>
      <c r="C221" s="19" t="s">
        <v>30</v>
      </c>
      <c r="D221" s="24" t="s">
        <v>992</v>
      </c>
      <c r="E221" s="43" t="n">
        <v>45328</v>
      </c>
      <c r="F221" s="24" t="n">
        <v>3</v>
      </c>
    </row>
    <row r="222" customFormat="false" ht="15.75" hidden="false" customHeight="false" outlineLevel="0" collapsed="false">
      <c r="A222" s="19" t="n">
        <v>220</v>
      </c>
      <c r="B222" s="19" t="s">
        <v>64</v>
      </c>
      <c r="C222" s="19" t="s">
        <v>272</v>
      </c>
      <c r="D222" s="22" t="str">
        <f aca="false">HYPERLINK("https://discord.com/channels/1040938900039929917/1202695897948094575","ссылка")</f>
        <v>ссылка</v>
      </c>
      <c r="E222" s="43" t="n">
        <v>45323</v>
      </c>
      <c r="F222" s="24" t="n">
        <v>-5</v>
      </c>
    </row>
    <row r="223" customFormat="false" ht="15.75" hidden="false" customHeight="false" outlineLevel="0" collapsed="false">
      <c r="A223" s="19" t="n">
        <v>221</v>
      </c>
      <c r="B223" s="19" t="s">
        <v>95</v>
      </c>
      <c r="C223" s="19" t="s">
        <v>178</v>
      </c>
      <c r="D223" s="22" t="str">
        <f aca="false">HYPERLINK("https://discord.com/channels/1040938900039929917/1204549612153741382","ссылка")</f>
        <v>ссылка</v>
      </c>
      <c r="E223" s="43" t="n">
        <v>45329</v>
      </c>
      <c r="F223" s="24" t="n">
        <v>2</v>
      </c>
    </row>
    <row r="224" customFormat="false" ht="15.75" hidden="false" customHeight="false" outlineLevel="0" collapsed="false">
      <c r="A224" s="19" t="n">
        <v>222</v>
      </c>
      <c r="B224" s="19" t="s">
        <v>201</v>
      </c>
      <c r="C224" s="19" t="s">
        <v>228</v>
      </c>
      <c r="D224" s="41" t="str">
        <f aca="false">HYPERLINK("https://discord.com/channels/1040938900039929917/1203317534393368637","ссылка")</f>
        <v>ссылка</v>
      </c>
      <c r="E224" s="43" t="n">
        <v>45326</v>
      </c>
      <c r="F224" s="24" t="n">
        <v>3</v>
      </c>
    </row>
    <row r="225" customFormat="false" ht="15.75" hidden="false" customHeight="false" outlineLevel="0" collapsed="false">
      <c r="A225" s="19" t="n">
        <v>223</v>
      </c>
      <c r="B225" s="19" t="s">
        <v>228</v>
      </c>
      <c r="C225" s="19" t="s">
        <v>201</v>
      </c>
      <c r="D225" s="22" t="str">
        <f aca="false">HYPERLINK("https://discord.com/channels/1040938900039929917/1203490009341100092","ссылка")</f>
        <v>ссылка</v>
      </c>
      <c r="E225" s="43" t="n">
        <v>45326</v>
      </c>
      <c r="F225" s="24" t="n">
        <v>3</v>
      </c>
    </row>
    <row r="226" customFormat="false" ht="15.75" hidden="false" customHeight="false" outlineLevel="0" collapsed="false">
      <c r="A226" s="19" t="n">
        <v>224</v>
      </c>
      <c r="B226" s="19" t="s">
        <v>336</v>
      </c>
      <c r="C226" s="19" t="s">
        <v>205</v>
      </c>
      <c r="D226" s="41" t="str">
        <f aca="false">HYPERLINK("https://discord.com/channels/1040938900039929917/1183790617545953401/1204145543559774258","ссылка")</f>
        <v>ссылка</v>
      </c>
      <c r="E226" s="43" t="n">
        <v>45327</v>
      </c>
      <c r="F226" s="24" t="n">
        <v>2</v>
      </c>
    </row>
    <row r="227" customFormat="false" ht="15.75" hidden="false" customHeight="false" outlineLevel="0" collapsed="false">
      <c r="A227" s="19" t="n">
        <v>225</v>
      </c>
      <c r="B227" s="19" t="s">
        <v>336</v>
      </c>
      <c r="C227" s="19" t="s">
        <v>6</v>
      </c>
      <c r="D227" s="41" t="str">
        <f aca="false">HYPERLINK("https://discord.com/channels/1040938900039929917/1183790617545953401/1204145543559774258","ссылка")</f>
        <v>ссылка</v>
      </c>
      <c r="E227" s="43" t="n">
        <v>45327</v>
      </c>
      <c r="F227" s="24" t="n">
        <v>2</v>
      </c>
    </row>
    <row r="228" customFormat="false" ht="15.75" hidden="false" customHeight="false" outlineLevel="0" collapsed="false">
      <c r="A228" s="19" t="n">
        <v>226</v>
      </c>
      <c r="B228" s="19" t="s">
        <v>95</v>
      </c>
      <c r="C228" s="19" t="s">
        <v>228</v>
      </c>
      <c r="D228" s="41" t="str">
        <f aca="false">HYPERLINK("https://discord.com/channels/1040938900039929917/1183790617545953401/1204550124215214092","ссылка")</f>
        <v>ссылка</v>
      </c>
      <c r="E228" s="43" t="n">
        <v>45329</v>
      </c>
      <c r="F228" s="24" t="n">
        <v>2</v>
      </c>
    </row>
    <row r="229" customFormat="false" ht="15.75" hidden="false" customHeight="false" outlineLevel="0" collapsed="false">
      <c r="A229" s="19" t="n">
        <v>227</v>
      </c>
      <c r="B229" s="19" t="s">
        <v>336</v>
      </c>
      <c r="C229" s="19" t="s">
        <v>370</v>
      </c>
      <c r="D229" s="41" t="str">
        <f aca="false">HYPERLINK("https://discord.com/channels/1040938900039929917/1183790617545953401/1204145543559774258","ссылка")</f>
        <v>ссылка</v>
      </c>
      <c r="E229" s="43" t="n">
        <v>45327</v>
      </c>
      <c r="F229" s="24" t="n">
        <v>2</v>
      </c>
    </row>
    <row r="230" customFormat="false" ht="15.75" hidden="false" customHeight="false" outlineLevel="0" collapsed="false">
      <c r="A230" s="19" t="n">
        <v>228</v>
      </c>
      <c r="B230" s="19" t="s">
        <v>255</v>
      </c>
      <c r="C230" s="19" t="s">
        <v>228</v>
      </c>
      <c r="D230" s="41" t="str">
        <f aca="false">HYPERLINK("https://discord.com/channels/1040938900039929917/1183790617545953401/1204845972346376212","ссылка")</f>
        <v>ссылка</v>
      </c>
      <c r="E230" s="43" t="n">
        <v>45329</v>
      </c>
      <c r="F230" s="24" t="n">
        <v>1</v>
      </c>
    </row>
    <row r="231" customFormat="false" ht="15.75" hidden="false" customHeight="false" outlineLevel="0" collapsed="false">
      <c r="A231" s="19" t="n">
        <v>229</v>
      </c>
      <c r="B231" s="19" t="s">
        <v>228</v>
      </c>
      <c r="C231" s="19" t="s">
        <v>236</v>
      </c>
      <c r="D231" s="41" t="str">
        <f aca="false">HYPERLINK("https://discord.com/channels/1040938900039929917/1183790617545953401/1204846240848805888","ссылка")</f>
        <v>ссылка</v>
      </c>
      <c r="E231" s="43" t="n">
        <v>45329</v>
      </c>
      <c r="F231" s="24" t="n">
        <v>2</v>
      </c>
    </row>
    <row r="232" customFormat="false" ht="15.75" hidden="false" customHeight="false" outlineLevel="0" collapsed="false">
      <c r="A232" s="19" t="n">
        <v>230</v>
      </c>
      <c r="B232" s="19" t="s">
        <v>100</v>
      </c>
      <c r="C232" s="19" t="s">
        <v>6</v>
      </c>
      <c r="D232" s="41" t="str">
        <f aca="false">HYPERLINK("https://discord.com/channels/1040938900039929917/1183790617545953401/1203264296956461076","ссылка")</f>
        <v>ссылка</v>
      </c>
      <c r="E232" s="43" t="n">
        <v>45325</v>
      </c>
      <c r="F232" s="24" t="n">
        <v>1</v>
      </c>
      <c r="Z232" s="19" t="s">
        <v>998</v>
      </c>
    </row>
    <row r="233" customFormat="false" ht="15.75" hidden="false" customHeight="false" outlineLevel="0" collapsed="false">
      <c r="A233" s="19" t="n">
        <v>231</v>
      </c>
      <c r="B233" s="19" t="s">
        <v>100</v>
      </c>
      <c r="C233" s="19" t="s">
        <v>302</v>
      </c>
      <c r="D233" s="41" t="str">
        <f aca="false">HYPERLINK("https://discord.com/channels/1040938900039929917/1183790617545953401/1203264296956461076","ссылка")</f>
        <v>ссылка</v>
      </c>
      <c r="E233" s="43" t="n">
        <v>45325</v>
      </c>
      <c r="F233" s="24" t="n">
        <v>1</v>
      </c>
    </row>
    <row r="234" customFormat="false" ht="15.75" hidden="false" customHeight="false" outlineLevel="0" collapsed="false">
      <c r="A234" s="19" t="n">
        <v>232</v>
      </c>
      <c r="B234" s="19" t="s">
        <v>137</v>
      </c>
      <c r="C234" s="19" t="s">
        <v>157</v>
      </c>
      <c r="D234" s="41" t="str">
        <f aca="false">HYPERLINK("https://discord.com/channels/1040938900039929917/1183790617545953401/1204881481609252905","ссылка")</f>
        <v>ссылка</v>
      </c>
      <c r="E234" s="43" t="n">
        <v>45330</v>
      </c>
      <c r="F234" s="24" t="n">
        <v>-1</v>
      </c>
    </row>
    <row r="235" customFormat="false" ht="15.75" hidden="false" customHeight="false" outlineLevel="0" collapsed="false">
      <c r="A235" s="19" t="n">
        <v>233</v>
      </c>
      <c r="B235" s="19" t="s">
        <v>47</v>
      </c>
      <c r="C235" s="19" t="s">
        <v>157</v>
      </c>
      <c r="D235" s="41" t="str">
        <f aca="false">HYPERLINK("https://discord.com/channels/1040938900039929917/1183790617545953401/1205558163529539615","ссылка")</f>
        <v>ссылка</v>
      </c>
      <c r="E235" s="43" t="n">
        <v>45331</v>
      </c>
      <c r="F235" s="24" t="n">
        <v>1</v>
      </c>
    </row>
    <row r="236" customFormat="false" ht="15.75" hidden="false" customHeight="false" outlineLevel="0" collapsed="false">
      <c r="A236" s="19" t="n">
        <v>234</v>
      </c>
      <c r="B236" s="19" t="s">
        <v>20</v>
      </c>
      <c r="C236" s="19" t="s">
        <v>363</v>
      </c>
      <c r="D236" s="41" t="str">
        <f aca="false">HYPERLINK("https://discord.com/channels/1040938900039929917/1183790617545953401/1205621757290094633","ссылка")</f>
        <v>ссылка</v>
      </c>
      <c r="E236" s="43" t="n">
        <v>45332</v>
      </c>
      <c r="F236" s="24" t="n">
        <v>1</v>
      </c>
    </row>
    <row r="237" customFormat="false" ht="15.75" hidden="false" customHeight="false" outlineLevel="0" collapsed="false">
      <c r="A237" s="19" t="n">
        <v>235</v>
      </c>
      <c r="B237" s="19" t="s">
        <v>20</v>
      </c>
      <c r="C237" s="19" t="s">
        <v>20</v>
      </c>
      <c r="D237" s="41" t="str">
        <f aca="false">HYPERLINK("https://discord.com/channels/1040938900039929917/1183790617545953401/1205621757290094633","ссылка")</f>
        <v>ссылка</v>
      </c>
      <c r="E237" s="43" t="n">
        <v>45332</v>
      </c>
      <c r="F237" s="24" t="n">
        <v>1</v>
      </c>
    </row>
    <row r="238" customFormat="false" ht="15.75" hidden="false" customHeight="false" outlineLevel="0" collapsed="false">
      <c r="A238" s="19" t="n">
        <v>236</v>
      </c>
      <c r="B238" s="19" t="s">
        <v>20</v>
      </c>
      <c r="C238" s="19" t="s">
        <v>122</v>
      </c>
      <c r="D238" s="41" t="str">
        <f aca="false">HYPERLINK("https://discord.com/channels/1040938900039929917/1183790617545953401/1205621757290094633","ссылка")</f>
        <v>ссылка</v>
      </c>
      <c r="E238" s="43" t="n">
        <v>45332</v>
      </c>
      <c r="F238" s="24" t="n">
        <v>1</v>
      </c>
    </row>
    <row r="239" customFormat="false" ht="15.75" hidden="false" customHeight="false" outlineLevel="0" collapsed="false">
      <c r="A239" s="19" t="n">
        <v>237</v>
      </c>
      <c r="B239" s="19" t="s">
        <v>205</v>
      </c>
      <c r="C239" s="19" t="s">
        <v>157</v>
      </c>
      <c r="D239" s="41" t="str">
        <f aca="false">HYPERLINK("https://discord.com/channels/1040938900039929917/1205624130439876629","ссылка")</f>
        <v>ссылка</v>
      </c>
      <c r="E239" s="43" t="n">
        <v>45332</v>
      </c>
      <c r="F239" s="24" t="n">
        <v>-7</v>
      </c>
    </row>
    <row r="240" customFormat="false" ht="15.75" hidden="false" customHeight="false" outlineLevel="0" collapsed="false">
      <c r="A240" s="19" t="n">
        <v>238</v>
      </c>
      <c r="B240" s="19" t="s">
        <v>88</v>
      </c>
      <c r="C240" s="19" t="s">
        <v>999</v>
      </c>
      <c r="D240" s="24" t="s">
        <v>982</v>
      </c>
      <c r="E240" s="43" t="n">
        <v>45334</v>
      </c>
      <c r="F240" s="24" t="n">
        <v>0</v>
      </c>
    </row>
    <row r="241" customFormat="false" ht="15.75" hidden="false" customHeight="false" outlineLevel="0" collapsed="false">
      <c r="A241" s="19" t="n">
        <v>239</v>
      </c>
      <c r="B241" s="19" t="s">
        <v>88</v>
      </c>
      <c r="C241" s="19" t="s">
        <v>378</v>
      </c>
      <c r="D241" s="24" t="s">
        <v>982</v>
      </c>
      <c r="E241" s="43" t="n">
        <v>45334</v>
      </c>
      <c r="F241" s="24" t="n">
        <v>0</v>
      </c>
    </row>
    <row r="242" customFormat="false" ht="15.75" hidden="false" customHeight="false" outlineLevel="0" collapsed="false">
      <c r="A242" s="19" t="n">
        <v>240</v>
      </c>
      <c r="B242" s="19" t="s">
        <v>88</v>
      </c>
      <c r="C242" s="19" t="s">
        <v>382</v>
      </c>
      <c r="D242" s="24" t="s">
        <v>982</v>
      </c>
      <c r="E242" s="43" t="n">
        <v>45335</v>
      </c>
      <c r="F242" s="24" t="n">
        <v>0</v>
      </c>
    </row>
    <row r="243" customFormat="false" ht="15.75" hidden="false" customHeight="false" outlineLevel="0" collapsed="false">
      <c r="A243" s="19" t="n">
        <v>241</v>
      </c>
      <c r="B243" s="19" t="s">
        <v>88</v>
      </c>
      <c r="C243" s="19" t="s">
        <v>384</v>
      </c>
      <c r="D243" s="24" t="s">
        <v>982</v>
      </c>
      <c r="E243" s="43" t="n">
        <v>45335</v>
      </c>
      <c r="F243" s="24" t="n">
        <v>0</v>
      </c>
      <c r="G243" s="19" t="s">
        <v>1000</v>
      </c>
    </row>
    <row r="244" customFormat="false" ht="15.75" hidden="false" customHeight="false" outlineLevel="0" collapsed="false">
      <c r="A244" s="19" t="n">
        <v>242</v>
      </c>
      <c r="B244" s="19" t="s">
        <v>88</v>
      </c>
      <c r="C244" s="19" t="s">
        <v>205</v>
      </c>
      <c r="D244" s="41" t="str">
        <f aca="false">HYPERLINK("https://discord.com/channels/1040938900039929917/1183790617545953401/1206726760192938024","ссылка")</f>
        <v>ссылка</v>
      </c>
      <c r="E244" s="43" t="n">
        <v>45335</v>
      </c>
      <c r="F244" s="24" t="n">
        <v>2</v>
      </c>
      <c r="G244" s="19" t="s">
        <v>1001</v>
      </c>
    </row>
    <row r="245" customFormat="false" ht="15.75" hidden="false" customHeight="false" outlineLevel="0" collapsed="false">
      <c r="A245" s="19" t="n">
        <v>243</v>
      </c>
      <c r="B245" s="19" t="s">
        <v>88</v>
      </c>
      <c r="C245" s="19" t="s">
        <v>385</v>
      </c>
      <c r="D245" s="41" t="str">
        <f aca="false">HYPERLINK("https://discord.com/channels/1040938900039929917/1183790617545953401/1206726760192938024","ссылка")</f>
        <v>ссылка</v>
      </c>
      <c r="E245" s="43" t="n">
        <v>45335</v>
      </c>
      <c r="F245" s="24" t="n">
        <v>2</v>
      </c>
    </row>
    <row r="246" customFormat="false" ht="15.75" hidden="false" customHeight="false" outlineLevel="0" collapsed="false">
      <c r="A246" s="19" t="n">
        <v>244</v>
      </c>
      <c r="B246" s="19" t="s">
        <v>88</v>
      </c>
      <c r="C246" s="19" t="s">
        <v>189</v>
      </c>
      <c r="D246" s="41" t="str">
        <f aca="false">HYPERLINK("https://discord.com/channels/1040938900039929917/1183790617545953401/1206726760192938024","ссылка")</f>
        <v>ссылка</v>
      </c>
      <c r="E246" s="43" t="n">
        <v>45335</v>
      </c>
      <c r="F246" s="24" t="n">
        <v>2</v>
      </c>
    </row>
    <row r="247" customFormat="false" ht="15.75" hidden="false" customHeight="false" outlineLevel="0" collapsed="false">
      <c r="A247" s="19" t="n">
        <v>245</v>
      </c>
      <c r="B247" s="19" t="s">
        <v>363</v>
      </c>
      <c r="C247" s="19" t="s">
        <v>88</v>
      </c>
      <c r="D247" s="41" t="str">
        <f aca="false">HYPERLINK("https://discord.com/channels/1040938900039929917/1183790617545953401/1205620307059023913","ссылка")</f>
        <v>ссылка</v>
      </c>
      <c r="E247" s="43" t="n">
        <v>45332</v>
      </c>
      <c r="F247" s="24" t="n">
        <v>4</v>
      </c>
    </row>
    <row r="248" customFormat="false" ht="15.75" hidden="false" customHeight="false" outlineLevel="0" collapsed="false">
      <c r="A248" s="19" t="n">
        <v>246</v>
      </c>
      <c r="B248" s="19" t="s">
        <v>363</v>
      </c>
      <c r="C248" s="19" t="s">
        <v>122</v>
      </c>
      <c r="D248" s="41" t="str">
        <f aca="false">HYPERLINK("https://discord.com/channels/1040938900039929917/1183790617545953401/1205620307059023913","ссылка")</f>
        <v>ссылка</v>
      </c>
      <c r="E248" s="43" t="n">
        <v>45332</v>
      </c>
      <c r="F248" s="24" t="n">
        <v>2</v>
      </c>
    </row>
    <row r="249" customFormat="false" ht="15.75" hidden="false" customHeight="false" outlineLevel="0" collapsed="false">
      <c r="A249" s="19" t="n">
        <v>247</v>
      </c>
      <c r="B249" s="19" t="s">
        <v>363</v>
      </c>
      <c r="C249" s="19" t="s">
        <v>20</v>
      </c>
      <c r="D249" s="41" t="str">
        <f aca="false">HYPERLINK("https://discord.com/channels/1040938900039929917/1183790617545953401/1205620307059023913","ссылка")</f>
        <v>ссылка</v>
      </c>
      <c r="E249" s="43" t="n">
        <v>45332</v>
      </c>
      <c r="F249" s="24" t="n">
        <v>2</v>
      </c>
    </row>
    <row r="250" customFormat="false" ht="15.75" hidden="false" customHeight="false" outlineLevel="0" collapsed="false">
      <c r="A250" s="19" t="n">
        <v>248</v>
      </c>
      <c r="B250" s="19" t="s">
        <v>205</v>
      </c>
      <c r="C250" s="19" t="s">
        <v>88</v>
      </c>
      <c r="D250" s="22" t="str">
        <f aca="false">HYPERLINK("https://discord.com/channels/1040938900039929917/1206668462827765842","ссылка")</f>
        <v>ссылка</v>
      </c>
      <c r="E250" s="43" t="n">
        <v>45334</v>
      </c>
      <c r="F250" s="24" t="n">
        <v>4</v>
      </c>
      <c r="G250" s="19" t="s">
        <v>1002</v>
      </c>
    </row>
    <row r="251" customFormat="false" ht="15.75" hidden="false" customHeight="false" outlineLevel="0" collapsed="false">
      <c r="A251" s="19" t="n">
        <v>249</v>
      </c>
      <c r="B251" s="19" t="s">
        <v>88</v>
      </c>
      <c r="C251" s="19" t="s">
        <v>387</v>
      </c>
      <c r="D251" s="24" t="s">
        <v>1003</v>
      </c>
      <c r="E251" s="43" t="n">
        <v>45337</v>
      </c>
      <c r="F251" s="24" t="n">
        <v>10</v>
      </c>
    </row>
    <row r="252" customFormat="false" ht="15.75" hidden="false" customHeight="false" outlineLevel="0" collapsed="false">
      <c r="A252" s="19" t="n">
        <v>250</v>
      </c>
      <c r="B252" s="19" t="s">
        <v>236</v>
      </c>
      <c r="C252" s="19" t="s">
        <v>343</v>
      </c>
      <c r="D252" s="22" t="str">
        <f aca="false">HYPERLINK("https://discord.com/channels/1040938900039929917/1183790617545953401/1206671841733906445","ссылка")</f>
        <v>ссылка</v>
      </c>
      <c r="E252" s="43" t="n">
        <v>45334</v>
      </c>
      <c r="F252" s="24" t="n">
        <v>-3</v>
      </c>
    </row>
    <row r="253" customFormat="false" ht="15.75" hidden="false" customHeight="false" outlineLevel="0" collapsed="false">
      <c r="A253" s="19" t="n">
        <v>251</v>
      </c>
      <c r="B253" s="19" t="s">
        <v>109</v>
      </c>
      <c r="C253" s="19" t="s">
        <v>323</v>
      </c>
      <c r="D253" s="22" t="str">
        <f aca="false">HYPERLINK("https://discord.com/channels/1040938900039929917/1208113959899496558","ссылка")</f>
        <v>ссылка</v>
      </c>
      <c r="E253" s="43" t="n">
        <v>45338</v>
      </c>
      <c r="F253" s="24" t="n">
        <v>2</v>
      </c>
      <c r="G253" s="19" t="s">
        <v>1004</v>
      </c>
    </row>
    <row r="254" customFormat="false" ht="15.75" hidden="false" customHeight="false" outlineLevel="0" collapsed="false">
      <c r="A254" s="19" t="n">
        <v>252</v>
      </c>
      <c r="B254" s="19" t="s">
        <v>100</v>
      </c>
      <c r="C254" s="19" t="s">
        <v>983</v>
      </c>
      <c r="D254" s="22" t="str">
        <f aca="false">HYPERLINK("https://discord.com/channels/1040938900039929917/1207710463786229910","ссылка")</f>
        <v>ссылка</v>
      </c>
      <c r="E254" s="43" t="n">
        <v>45337</v>
      </c>
      <c r="F254" s="24" t="n">
        <v>3</v>
      </c>
    </row>
    <row r="255" customFormat="false" ht="15.75" hidden="false" customHeight="false" outlineLevel="0" collapsed="false">
      <c r="A255" s="19" t="n">
        <v>253</v>
      </c>
      <c r="B255" s="19" t="s">
        <v>100</v>
      </c>
      <c r="C255" s="19" t="s">
        <v>205</v>
      </c>
      <c r="D255" s="22" t="str">
        <f aca="false">HYPERLINK("https://discord.com/channels/1040938900039929917/1207773837526306907", "ссылка")</f>
        <v>ссылка</v>
      </c>
      <c r="E255" s="43" t="n">
        <v>45337</v>
      </c>
      <c r="F255" s="24" t="n">
        <v>5</v>
      </c>
    </row>
    <row r="256" customFormat="false" ht="15.75" hidden="false" customHeight="false" outlineLevel="0" collapsed="false">
      <c r="A256" s="19" t="n">
        <v>254</v>
      </c>
      <c r="B256" s="19" t="s">
        <v>100</v>
      </c>
      <c r="C256" s="19" t="s">
        <v>365</v>
      </c>
      <c r="D256" s="22" t="str">
        <f aca="false">HYPERLINK("https://discord.com/channels/1040938900039929917/1207702870556680293", "ссылка")</f>
        <v>ссылка</v>
      </c>
      <c r="E256" s="43" t="n">
        <v>45337</v>
      </c>
      <c r="F256" s="24" t="n">
        <v>2</v>
      </c>
    </row>
    <row r="257" customFormat="false" ht="15.75" hidden="false" customHeight="false" outlineLevel="0" collapsed="false">
      <c r="A257" s="19" t="n">
        <v>255</v>
      </c>
      <c r="B257" s="19" t="s">
        <v>100</v>
      </c>
      <c r="C257" s="19" t="s">
        <v>64</v>
      </c>
      <c r="D257" s="22" t="str">
        <f aca="false">HYPERLINK("https://discord.com/channels/1040938900039929917/1207713626404691968", "ссылка")</f>
        <v>ссылка</v>
      </c>
      <c r="E257" s="43" t="n">
        <v>45337</v>
      </c>
      <c r="F257" s="24" t="n">
        <v>2</v>
      </c>
    </row>
    <row r="258" customFormat="false" ht="15.75" hidden="false" customHeight="false" outlineLevel="0" collapsed="false">
      <c r="A258" s="19" t="n">
        <v>256</v>
      </c>
      <c r="B258" s="19" t="s">
        <v>178</v>
      </c>
      <c r="C258" s="19" t="s">
        <v>236</v>
      </c>
      <c r="D258" s="22" t="str">
        <f aca="false">HYPERLINK("https://discord.com/channels/1040938900039929917/1208336996250951700", "ссылка")</f>
        <v>ссылка</v>
      </c>
      <c r="E258" s="43" t="n">
        <v>45338</v>
      </c>
      <c r="F258" s="24" t="n">
        <v>2</v>
      </c>
    </row>
    <row r="259" customFormat="false" ht="15.75" hidden="false" customHeight="false" outlineLevel="0" collapsed="false">
      <c r="A259" s="19" t="n">
        <v>257</v>
      </c>
      <c r="B259" s="19" t="s">
        <v>100</v>
      </c>
      <c r="C259" s="19" t="s">
        <v>95</v>
      </c>
      <c r="D259" s="22" t="str">
        <f aca="false">HYPERLINK("https://discord.com/channels/1040938900039929917/1207805215903055952", "ссылка")</f>
        <v>ссылка</v>
      </c>
      <c r="E259" s="43" t="n">
        <v>45342</v>
      </c>
      <c r="F259" s="24" t="n">
        <v>1</v>
      </c>
    </row>
    <row r="260" customFormat="false" ht="15.75" hidden="false" customHeight="false" outlineLevel="0" collapsed="false">
      <c r="A260" s="19" t="n">
        <v>258</v>
      </c>
      <c r="B260" s="19" t="s">
        <v>100</v>
      </c>
      <c r="C260" s="19" t="s">
        <v>363</v>
      </c>
      <c r="D260" s="22" t="str">
        <f aca="false">HYPERLINK("https://discord.com/channels/1040938900039929917/1207964409750757406", "ссылка")</f>
        <v>ссылка</v>
      </c>
      <c r="E260" s="43" t="n">
        <v>45342</v>
      </c>
      <c r="F260" s="24" t="n">
        <v>2</v>
      </c>
    </row>
    <row r="261" customFormat="false" ht="15.75" hidden="false" customHeight="false" outlineLevel="0" collapsed="false">
      <c r="A261" s="19" t="n">
        <v>259</v>
      </c>
      <c r="B261" s="19" t="s">
        <v>100</v>
      </c>
      <c r="C261" s="19" t="s">
        <v>288</v>
      </c>
      <c r="D261" s="22" t="str">
        <f aca="false">HYPERLINK("https://discord.com/channels/1040938900039929917/1207807349050441748", "ссылка")</f>
        <v>ссылка</v>
      </c>
      <c r="E261" s="43" t="n">
        <v>45342</v>
      </c>
      <c r="F261" s="24" t="n">
        <v>1</v>
      </c>
    </row>
    <row r="262" customFormat="false" ht="15.75" hidden="false" customHeight="false" outlineLevel="0" collapsed="false">
      <c r="A262" s="19" t="n">
        <v>260</v>
      </c>
      <c r="B262" s="19" t="s">
        <v>100</v>
      </c>
      <c r="C262" s="19" t="s">
        <v>26</v>
      </c>
      <c r="D262" s="22" t="str">
        <f aca="false">HYPERLINK("https://discord.com/channels/1040938900039929917/1208151688658034809", "ссылка")</f>
        <v>ссылка</v>
      </c>
      <c r="E262" s="43" t="n">
        <v>45342</v>
      </c>
      <c r="F262" s="24" t="n">
        <v>1</v>
      </c>
    </row>
    <row r="263" customFormat="false" ht="15.75" hidden="false" customHeight="false" outlineLevel="0" collapsed="false">
      <c r="A263" s="19" t="n">
        <v>261</v>
      </c>
      <c r="B263" s="19" t="s">
        <v>100</v>
      </c>
      <c r="C263" s="19" t="s">
        <v>13</v>
      </c>
      <c r="D263" s="22" t="str">
        <f aca="false">HYPERLINK("https://discord.com/channels/1040938900039929917/1208743518575788072", "ссылка")</f>
        <v>ссылка</v>
      </c>
      <c r="E263" s="43" t="n">
        <v>45340</v>
      </c>
      <c r="F263" s="24" t="n">
        <v>5</v>
      </c>
    </row>
    <row r="264" customFormat="false" ht="15.75" hidden="false" customHeight="false" outlineLevel="0" collapsed="false">
      <c r="A264" s="19" t="n">
        <v>262</v>
      </c>
      <c r="B264" s="19" t="s">
        <v>100</v>
      </c>
      <c r="C264" s="19" t="s">
        <v>30</v>
      </c>
      <c r="D264" s="22" t="str">
        <f aca="false">HYPERLINK("https://discord.com/channels/1040938900039929917/1208562332972884060", "ссылка")</f>
        <v>ссылка</v>
      </c>
      <c r="E264" s="43" t="n">
        <v>45340</v>
      </c>
      <c r="F264" s="24" t="n">
        <v>4</v>
      </c>
    </row>
    <row r="265" customFormat="false" ht="15.75" hidden="false" customHeight="false" outlineLevel="0" collapsed="false">
      <c r="A265" s="19" t="n">
        <v>263</v>
      </c>
      <c r="B265" s="19" t="s">
        <v>88</v>
      </c>
      <c r="C265" s="19" t="s">
        <v>395</v>
      </c>
      <c r="D265" s="24" t="s">
        <v>1003</v>
      </c>
      <c r="E265" s="43" t="n">
        <v>45343</v>
      </c>
      <c r="F265" s="24" t="n">
        <v>10</v>
      </c>
    </row>
    <row r="266" customFormat="false" ht="15.75" hidden="false" customHeight="false" outlineLevel="0" collapsed="false">
      <c r="A266" s="19" t="n">
        <v>264</v>
      </c>
      <c r="B266" s="19" t="s">
        <v>88</v>
      </c>
      <c r="C266" s="19" t="s">
        <v>1005</v>
      </c>
      <c r="D266" s="24" t="s">
        <v>1003</v>
      </c>
      <c r="E266" s="43" t="n">
        <v>45343</v>
      </c>
      <c r="F266" s="24" t="n">
        <v>10</v>
      </c>
    </row>
    <row r="267" customFormat="false" ht="15.75" hidden="false" customHeight="false" outlineLevel="0" collapsed="false">
      <c r="A267" s="19" t="n">
        <v>265</v>
      </c>
      <c r="B267" s="19" t="s">
        <v>88</v>
      </c>
      <c r="C267" s="19" t="s">
        <v>7</v>
      </c>
      <c r="D267" s="24" t="s">
        <v>1006</v>
      </c>
      <c r="E267" s="43" t="n">
        <v>45345</v>
      </c>
      <c r="F267" s="24" t="n">
        <v>18</v>
      </c>
    </row>
    <row r="268" customFormat="false" ht="15.75" hidden="false" customHeight="false" outlineLevel="0" collapsed="false">
      <c r="A268" s="19" t="n">
        <v>266</v>
      </c>
      <c r="B268" s="19" t="s">
        <v>249</v>
      </c>
      <c r="C268" s="19" t="s">
        <v>157</v>
      </c>
      <c r="D268" s="22" t="str">
        <f aca="false">HYPERLINK("https://discord.com/channels/1040938900039929917/1208866028155576330", "ссылка")</f>
        <v>ссылка</v>
      </c>
      <c r="E268" s="43" t="n">
        <v>45340</v>
      </c>
      <c r="F268" s="24" t="n">
        <v>-3</v>
      </c>
    </row>
    <row r="269" customFormat="false" ht="15.75" hidden="false" customHeight="false" outlineLevel="0" collapsed="false">
      <c r="A269" s="19" t="n">
        <v>267</v>
      </c>
      <c r="B269" s="19" t="s">
        <v>88</v>
      </c>
      <c r="C269" s="19" t="s">
        <v>399</v>
      </c>
      <c r="D269" s="24" t="s">
        <v>1003</v>
      </c>
      <c r="E269" s="43" t="n">
        <v>45345</v>
      </c>
      <c r="F269" s="24" t="n">
        <v>10</v>
      </c>
    </row>
    <row r="270" customFormat="false" ht="15.75" hidden="false" customHeight="false" outlineLevel="0" collapsed="false">
      <c r="A270" s="19" t="n">
        <v>268</v>
      </c>
      <c r="B270" s="19" t="s">
        <v>88</v>
      </c>
      <c r="C270" s="19" t="s">
        <v>403</v>
      </c>
      <c r="D270" s="24" t="s">
        <v>1003</v>
      </c>
      <c r="E270" s="43" t="n">
        <v>45346</v>
      </c>
      <c r="F270" s="24" t="n">
        <v>10</v>
      </c>
    </row>
    <row r="271" customFormat="false" ht="15.75" hidden="false" customHeight="false" outlineLevel="0" collapsed="false">
      <c r="A271" s="19" t="n">
        <v>269</v>
      </c>
      <c r="B271" s="19" t="s">
        <v>205</v>
      </c>
      <c r="C271" s="19" t="s">
        <v>26</v>
      </c>
      <c r="D271" s="22" t="str">
        <f aca="false">HYPERLINK("https://discord.com/channels/1040938900039929917/1210174031878430720", "ссылка")</f>
        <v>ссылка</v>
      </c>
      <c r="E271" s="43" t="n">
        <v>45344</v>
      </c>
      <c r="F271" s="24" t="n">
        <v>1</v>
      </c>
    </row>
    <row r="272" customFormat="false" ht="15.75" hidden="false" customHeight="false" outlineLevel="0" collapsed="false">
      <c r="A272" s="19" t="n">
        <v>270</v>
      </c>
      <c r="B272" s="19" t="s">
        <v>26</v>
      </c>
      <c r="C272" s="19" t="s">
        <v>118</v>
      </c>
      <c r="D272" s="22" t="str">
        <f aca="false">HYPERLINK("https://discord.com/channels/1040938900039929917/1209768521731411978", "ссылка")</f>
        <v>ссылка</v>
      </c>
      <c r="E272" s="43" t="n">
        <v>45343</v>
      </c>
      <c r="F272" s="24" t="n">
        <v>2</v>
      </c>
    </row>
    <row r="273" customFormat="false" ht="15.75" hidden="false" customHeight="false" outlineLevel="0" collapsed="false">
      <c r="A273" s="19" t="n">
        <v>271</v>
      </c>
      <c r="B273" s="19" t="s">
        <v>205</v>
      </c>
      <c r="C273" s="19" t="s">
        <v>151</v>
      </c>
      <c r="D273" s="22" t="str">
        <f aca="false">HYPERLINK("https://discord.com/channels/1040938900039929917/1212136328351850616", "ссылка")</f>
        <v>ссылка</v>
      </c>
      <c r="E273" s="43" t="n">
        <v>45350</v>
      </c>
      <c r="F273" s="24" t="n">
        <v>1</v>
      </c>
    </row>
    <row r="274" customFormat="false" ht="15.75" hidden="false" customHeight="false" outlineLevel="0" collapsed="false">
      <c r="A274" s="19" t="n">
        <v>272</v>
      </c>
      <c r="B274" s="19" t="s">
        <v>100</v>
      </c>
      <c r="C274" s="19" t="s">
        <v>43</v>
      </c>
      <c r="D274" s="22" t="str">
        <f aca="false">HYPERLINK("https://discord.com/channels/1040938900039929917/1212295337847554058", "ссылка")</f>
        <v>ссылка</v>
      </c>
      <c r="E274" s="43" t="n">
        <v>45353</v>
      </c>
      <c r="F274" s="24" t="n">
        <v>4</v>
      </c>
    </row>
    <row r="275" customFormat="false" ht="15.75" hidden="false" customHeight="false" outlineLevel="0" collapsed="false">
      <c r="A275" s="19" t="n">
        <v>273</v>
      </c>
      <c r="B275" s="19" t="s">
        <v>118</v>
      </c>
      <c r="C275" s="19" t="s">
        <v>26</v>
      </c>
      <c r="D275" s="22" t="str">
        <f aca="false">HYPERLINK("https://discord.com/channels/1040938900039929917/1209782985281376356", "ссылка")</f>
        <v>ссылка</v>
      </c>
      <c r="E275" s="43" t="n">
        <v>45343</v>
      </c>
      <c r="F275" s="24" t="n">
        <v>2</v>
      </c>
    </row>
    <row r="276" customFormat="false" ht="15.75" hidden="false" customHeight="false" outlineLevel="0" collapsed="false">
      <c r="A276" s="19" t="n">
        <v>274</v>
      </c>
      <c r="B276" s="19" t="s">
        <v>118</v>
      </c>
      <c r="C276" s="19" t="s">
        <v>30</v>
      </c>
      <c r="D276" s="22" t="str">
        <f aca="false">HYPERLINK("https://discord.com/channels/1040938900039929917/1209782985281376356", "ссылка")</f>
        <v>ссылка</v>
      </c>
      <c r="E276" s="43" t="n">
        <v>45343</v>
      </c>
      <c r="F276" s="24" t="n">
        <v>2</v>
      </c>
    </row>
    <row r="277" customFormat="false" ht="15.75" hidden="false" customHeight="false" outlineLevel="0" collapsed="false">
      <c r="A277" s="19" t="n">
        <v>275</v>
      </c>
      <c r="B277" s="19" t="s">
        <v>7</v>
      </c>
      <c r="C277" s="19" t="s">
        <v>172</v>
      </c>
      <c r="D277" s="22" t="str">
        <f aca="false">HYPERLINK("https://discord.com/channels/1040938900039929917/1213543717122744400", "ссылка")</f>
        <v>ссылка</v>
      </c>
      <c r="E277" s="43" t="n">
        <v>45353</v>
      </c>
      <c r="F277" s="24" t="n">
        <v>-5</v>
      </c>
    </row>
    <row r="278" customFormat="false" ht="15.75" hidden="false" customHeight="false" outlineLevel="0" collapsed="false">
      <c r="A278" s="19" t="n">
        <v>276</v>
      </c>
      <c r="B278" s="19" t="s">
        <v>88</v>
      </c>
      <c r="C278" s="19" t="s">
        <v>422</v>
      </c>
      <c r="D278" s="24" t="s">
        <v>1003</v>
      </c>
      <c r="E278" s="43" t="n">
        <v>45363</v>
      </c>
      <c r="F278" s="24" t="n">
        <v>10</v>
      </c>
    </row>
    <row r="279" customFormat="false" ht="15.75" hidden="false" customHeight="false" outlineLevel="0" collapsed="false">
      <c r="A279" s="19" t="n">
        <v>277</v>
      </c>
      <c r="B279" s="19" t="s">
        <v>88</v>
      </c>
      <c r="C279" s="19" t="s">
        <v>426</v>
      </c>
      <c r="D279" s="24" t="s">
        <v>1003</v>
      </c>
      <c r="E279" s="43" t="n">
        <v>45365</v>
      </c>
      <c r="F279" s="24" t="n">
        <v>10</v>
      </c>
    </row>
    <row r="280" customFormat="false" ht="15.75" hidden="false" customHeight="false" outlineLevel="0" collapsed="false">
      <c r="A280" s="19" t="n">
        <v>278</v>
      </c>
      <c r="B280" s="19" t="s">
        <v>178</v>
      </c>
      <c r="C280" s="19" t="s">
        <v>205</v>
      </c>
      <c r="D280" s="22" t="str">
        <f aca="false">HYPERLINK("https://discord.com/channels/1040938900039929917/1216183711469404261", "ссылка")</f>
        <v>ссылка</v>
      </c>
      <c r="E280" s="43" t="n">
        <v>45361</v>
      </c>
      <c r="F280" s="24" t="n">
        <v>2</v>
      </c>
    </row>
    <row r="281" customFormat="false" ht="15.75" hidden="false" customHeight="false" outlineLevel="0" collapsed="false">
      <c r="A281" s="19" t="n">
        <v>279</v>
      </c>
      <c r="B281" s="19" t="s">
        <v>88</v>
      </c>
      <c r="C281" s="19" t="s">
        <v>428</v>
      </c>
      <c r="D281" s="24" t="s">
        <v>4</v>
      </c>
      <c r="E281" s="43" t="n">
        <v>45367</v>
      </c>
      <c r="F281" s="24" t="n">
        <v>-15</v>
      </c>
    </row>
    <row r="282" customFormat="false" ht="15.75" hidden="false" customHeight="false" outlineLevel="0" collapsed="false">
      <c r="A282" s="19" t="n">
        <v>280</v>
      </c>
      <c r="B282" s="19" t="s">
        <v>88</v>
      </c>
      <c r="C282" s="19" t="s">
        <v>430</v>
      </c>
      <c r="D282" s="24" t="s">
        <v>1003</v>
      </c>
      <c r="E282" s="43" t="n">
        <v>45368</v>
      </c>
      <c r="F282" s="24" t="n">
        <v>10</v>
      </c>
    </row>
    <row r="283" customFormat="false" ht="15.75" hidden="false" customHeight="false" outlineLevel="0" collapsed="false">
      <c r="A283" s="19" t="n">
        <v>281</v>
      </c>
      <c r="B283" s="19" t="s">
        <v>11</v>
      </c>
      <c r="C283" s="19" t="s">
        <v>26</v>
      </c>
      <c r="D283" s="22" t="str">
        <f aca="false">HYPERLINK("https://discord.com/channels/1040938900039929917/1214268228491153459", "ссылка")</f>
        <v>ссылка</v>
      </c>
      <c r="E283" s="43" t="n">
        <v>45355</v>
      </c>
      <c r="F283" s="24" t="n">
        <v>2</v>
      </c>
    </row>
    <row r="284" customFormat="false" ht="15.75" hidden="false" customHeight="false" outlineLevel="0" collapsed="false">
      <c r="A284" s="19" t="n">
        <v>282</v>
      </c>
      <c r="B284" s="19" t="s">
        <v>88</v>
      </c>
      <c r="C284" s="19" t="s">
        <v>431</v>
      </c>
      <c r="D284" s="24" t="s">
        <v>1003</v>
      </c>
      <c r="E284" s="43" t="n">
        <v>45368</v>
      </c>
      <c r="F284" s="24" t="n">
        <v>10</v>
      </c>
    </row>
    <row r="285" customFormat="false" ht="15.75" hidden="false" customHeight="false" outlineLevel="0" collapsed="false">
      <c r="A285" s="19" t="n">
        <v>283</v>
      </c>
      <c r="B285" s="19" t="s">
        <v>107</v>
      </c>
      <c r="C285" s="19" t="s">
        <v>205</v>
      </c>
      <c r="D285" s="22" t="str">
        <f aca="false">HYPERLINK("https://discord.com/channels/1040938900039929917/1217580067484467220", "ссылка")</f>
        <v>ссылка</v>
      </c>
      <c r="E285" s="43" t="n">
        <v>45365</v>
      </c>
      <c r="F285" s="24" t="n">
        <v>1</v>
      </c>
    </row>
    <row r="286" customFormat="false" ht="15.75" hidden="false" customHeight="false" outlineLevel="0" collapsed="false">
      <c r="A286" s="19" t="n">
        <v>284</v>
      </c>
      <c r="B286" s="19" t="s">
        <v>88</v>
      </c>
      <c r="C286" s="19" t="s">
        <v>438</v>
      </c>
      <c r="D286" s="24" t="s">
        <v>1003</v>
      </c>
      <c r="E286" s="43" t="n">
        <v>45371</v>
      </c>
      <c r="F286" s="24" t="n">
        <v>10</v>
      </c>
    </row>
    <row r="287" customFormat="false" ht="15.75" hidden="false" customHeight="false" outlineLevel="0" collapsed="false">
      <c r="A287" s="19" t="n">
        <v>285</v>
      </c>
      <c r="B287" s="19" t="s">
        <v>88</v>
      </c>
      <c r="C287" s="19" t="s">
        <v>1007</v>
      </c>
      <c r="D287" s="24" t="s">
        <v>1003</v>
      </c>
      <c r="E287" s="43" t="n">
        <v>45373</v>
      </c>
      <c r="F287" s="24" t="n">
        <v>10</v>
      </c>
    </row>
    <row r="288" customFormat="false" ht="15.75" hidden="false" customHeight="false" outlineLevel="0" collapsed="false">
      <c r="A288" s="19" t="n">
        <v>286</v>
      </c>
      <c r="B288" s="19" t="s">
        <v>88</v>
      </c>
      <c r="C288" s="19" t="s">
        <v>448</v>
      </c>
      <c r="D288" s="24" t="s">
        <v>1003</v>
      </c>
      <c r="E288" s="43" t="n">
        <v>45375</v>
      </c>
      <c r="F288" s="24" t="n">
        <v>10</v>
      </c>
    </row>
    <row r="289" customFormat="false" ht="15.75" hidden="false" customHeight="false" outlineLevel="0" collapsed="false">
      <c r="A289" s="19" t="n">
        <v>287</v>
      </c>
      <c r="B289" s="19" t="s">
        <v>178</v>
      </c>
      <c r="C289" s="19" t="s">
        <v>336</v>
      </c>
      <c r="D289" s="22" t="str">
        <f aca="false">HYPERLINK("https://discord.com/channels/1040938900039929917/1216159035217149952", "ссылка")</f>
        <v>ссылка</v>
      </c>
      <c r="E289" s="43" t="n">
        <v>45361</v>
      </c>
      <c r="F289" s="24" t="n">
        <v>2</v>
      </c>
    </row>
    <row r="290" customFormat="false" ht="15.75" hidden="false" customHeight="false" outlineLevel="0" collapsed="false">
      <c r="A290" s="19" t="n">
        <v>288</v>
      </c>
      <c r="B290" s="19" t="s">
        <v>178</v>
      </c>
      <c r="C290" s="19" t="s">
        <v>139</v>
      </c>
      <c r="D290" s="22" t="str">
        <f aca="false">HYPERLINK("https://discord.com/channels/1040938900039929917/1216150402287013988", "ссылка")</f>
        <v>ссылка</v>
      </c>
      <c r="E290" s="43" t="n">
        <v>45361</v>
      </c>
      <c r="F290" s="24" t="n">
        <v>-5</v>
      </c>
    </row>
    <row r="291" customFormat="false" ht="15.75" hidden="false" customHeight="false" outlineLevel="0" collapsed="false">
      <c r="A291" s="19" t="n">
        <v>289</v>
      </c>
      <c r="B291" s="19" t="s">
        <v>88</v>
      </c>
      <c r="C291" s="19" t="s">
        <v>450</v>
      </c>
      <c r="D291" s="24" t="s">
        <v>4</v>
      </c>
      <c r="E291" s="43" t="n">
        <v>45376</v>
      </c>
      <c r="F291" s="24" t="n">
        <v>-15</v>
      </c>
    </row>
    <row r="292" customFormat="false" ht="15.75" hidden="false" customHeight="false" outlineLevel="0" collapsed="false">
      <c r="A292" s="19" t="n">
        <v>290</v>
      </c>
      <c r="B292" s="19" t="s">
        <v>88</v>
      </c>
      <c r="C292" s="19" t="s">
        <v>451</v>
      </c>
      <c r="D292" s="24" t="s">
        <v>1003</v>
      </c>
      <c r="E292" s="43" t="n">
        <v>45376</v>
      </c>
      <c r="F292" s="24" t="n">
        <v>10</v>
      </c>
    </row>
    <row r="293" customFormat="false" ht="15.75" hidden="false" customHeight="false" outlineLevel="0" collapsed="false">
      <c r="A293" s="19" t="n">
        <v>291</v>
      </c>
      <c r="B293" s="19" t="s">
        <v>88</v>
      </c>
      <c r="C293" s="19" t="s">
        <v>454</v>
      </c>
      <c r="D293" s="24" t="s">
        <v>1003</v>
      </c>
      <c r="E293" s="43" t="n">
        <v>45377</v>
      </c>
      <c r="F293" s="24" t="n">
        <v>10</v>
      </c>
    </row>
    <row r="294" customFormat="false" ht="15.75" hidden="false" customHeight="false" outlineLevel="0" collapsed="false">
      <c r="A294" s="19" t="n">
        <v>292</v>
      </c>
      <c r="B294" s="19" t="s">
        <v>88</v>
      </c>
      <c r="C294" s="19" t="s">
        <v>456</v>
      </c>
      <c r="D294" s="24" t="s">
        <v>1003</v>
      </c>
      <c r="E294" s="43" t="n">
        <v>45378</v>
      </c>
      <c r="F294" s="24" t="n">
        <v>10</v>
      </c>
    </row>
    <row r="295" customFormat="false" ht="15.75" hidden="false" customHeight="false" outlineLevel="0" collapsed="false">
      <c r="A295" s="19" t="n">
        <v>293</v>
      </c>
      <c r="B295" s="19" t="s">
        <v>88</v>
      </c>
      <c r="C295" s="19" t="s">
        <v>461</v>
      </c>
      <c r="D295" s="24" t="s">
        <v>4</v>
      </c>
      <c r="E295" s="43" t="n">
        <v>45379</v>
      </c>
      <c r="F295" s="24" t="n">
        <v>-15</v>
      </c>
    </row>
    <row r="296" customFormat="false" ht="15.75" hidden="false" customHeight="false" outlineLevel="0" collapsed="false">
      <c r="A296" s="19" t="n">
        <v>294</v>
      </c>
      <c r="B296" s="19" t="s">
        <v>88</v>
      </c>
      <c r="C296" s="19" t="s">
        <v>465</v>
      </c>
      <c r="D296" s="24" t="s">
        <v>1003</v>
      </c>
      <c r="E296" s="43" t="n">
        <v>45380</v>
      </c>
      <c r="F296" s="24" t="n">
        <v>10</v>
      </c>
    </row>
    <row r="297" customFormat="false" ht="15.75" hidden="false" customHeight="false" outlineLevel="0" collapsed="false">
      <c r="A297" s="19" t="n">
        <v>295</v>
      </c>
      <c r="B297" s="19" t="s">
        <v>203</v>
      </c>
      <c r="C297" s="19" t="s">
        <v>26</v>
      </c>
      <c r="D297" s="22" t="str">
        <f aca="false">HYPERLINK("https://discord.com/channels/1040938900039929917/1222906815952584755", "ссылка")</f>
        <v>ссылка</v>
      </c>
      <c r="E297" s="43" t="n">
        <v>45379</v>
      </c>
      <c r="F297" s="24" t="n">
        <v>-3</v>
      </c>
    </row>
    <row r="298" customFormat="false" ht="15.75" hidden="false" customHeight="false" outlineLevel="0" collapsed="false">
      <c r="A298" s="19" t="n">
        <v>296</v>
      </c>
      <c r="B298" s="19" t="s">
        <v>88</v>
      </c>
      <c r="C298" s="19" t="s">
        <v>473</v>
      </c>
      <c r="D298" s="24" t="s">
        <v>1003</v>
      </c>
      <c r="E298" s="43" t="n">
        <v>45382</v>
      </c>
      <c r="F298" s="24" t="n">
        <v>10</v>
      </c>
    </row>
    <row r="299" customFormat="false" ht="15.75" hidden="false" customHeight="false" outlineLevel="0" collapsed="false">
      <c r="A299" s="19" t="n">
        <v>297</v>
      </c>
      <c r="B299" s="19" t="s">
        <v>343</v>
      </c>
      <c r="C299" s="19" t="s">
        <v>59</v>
      </c>
      <c r="D299" s="22" t="str">
        <f aca="false">HYPERLINK("https://discord.com/channels/1040938900039929917/1222641120031543296", "ссылка")</f>
        <v>ссылка</v>
      </c>
      <c r="E299" s="43" t="n">
        <v>45380</v>
      </c>
      <c r="F299" s="24" t="n">
        <v>-2</v>
      </c>
    </row>
    <row r="300" customFormat="false" ht="15.75" hidden="false" customHeight="false" outlineLevel="0" collapsed="false">
      <c r="A300" s="19" t="n">
        <v>298</v>
      </c>
      <c r="B300" s="19" t="s">
        <v>88</v>
      </c>
      <c r="C300" s="19" t="s">
        <v>481</v>
      </c>
      <c r="D300" s="24" t="s">
        <v>1003</v>
      </c>
      <c r="E300" s="43" t="n">
        <v>45384</v>
      </c>
      <c r="F300" s="24" t="n">
        <v>10</v>
      </c>
    </row>
    <row r="301" customFormat="false" ht="15.75" hidden="false" customHeight="false" outlineLevel="0" collapsed="false">
      <c r="A301" s="19" t="n">
        <v>299</v>
      </c>
      <c r="B301" s="19" t="s">
        <v>11</v>
      </c>
      <c r="C301" s="19" t="s">
        <v>483</v>
      </c>
      <c r="D301" s="24" t="s">
        <v>4</v>
      </c>
      <c r="E301" s="43" t="n">
        <v>45384</v>
      </c>
      <c r="F301" s="24" t="n">
        <v>-15</v>
      </c>
    </row>
    <row r="302" customFormat="false" ht="15.75" hidden="false" customHeight="false" outlineLevel="0" collapsed="false">
      <c r="A302" s="19" t="n">
        <v>300</v>
      </c>
      <c r="B302" s="19" t="s">
        <v>88</v>
      </c>
      <c r="C302" s="19" t="s">
        <v>486</v>
      </c>
      <c r="D302" s="24" t="s">
        <v>4</v>
      </c>
      <c r="E302" s="43" t="n">
        <v>45385</v>
      </c>
      <c r="F302" s="24" t="n">
        <v>-15</v>
      </c>
    </row>
    <row r="303" customFormat="false" ht="15.75" hidden="false" customHeight="false" outlineLevel="0" collapsed="false">
      <c r="A303" s="19" t="n">
        <v>301</v>
      </c>
      <c r="B303" s="19" t="s">
        <v>11</v>
      </c>
      <c r="C303" s="19" t="s">
        <v>488</v>
      </c>
      <c r="D303" s="24" t="s">
        <v>4</v>
      </c>
      <c r="E303" s="43" t="n">
        <v>45385</v>
      </c>
      <c r="F303" s="24" t="n">
        <v>-15</v>
      </c>
    </row>
    <row r="304" customFormat="false" ht="15.75" hidden="false" customHeight="false" outlineLevel="0" collapsed="false">
      <c r="A304" s="19" t="n">
        <v>302</v>
      </c>
      <c r="B304" s="19" t="s">
        <v>100</v>
      </c>
      <c r="C304" s="19" t="s">
        <v>1007</v>
      </c>
      <c r="D304" s="22" t="str">
        <f aca="false">HYPERLINK("https://discord.com/channels/1040938900039929917/1224243810138062899", "ссылка")</f>
        <v>ссылка</v>
      </c>
      <c r="E304" s="43" t="n">
        <v>45383</v>
      </c>
      <c r="F304" s="24" t="n">
        <f aca="false">2</f>
        <v>2</v>
      </c>
    </row>
    <row r="305" customFormat="false" ht="15.75" hidden="false" customHeight="false" outlineLevel="0" collapsed="false">
      <c r="A305" s="19" t="n">
        <v>303</v>
      </c>
      <c r="B305" s="19" t="s">
        <v>100</v>
      </c>
      <c r="C305" s="19" t="s">
        <v>430</v>
      </c>
      <c r="D305" s="22" t="str">
        <f aca="false">HYPERLINK("https://discord.com/channels/1040938900039929917/1224267394285834261", "ссылка")</f>
        <v>ссылка</v>
      </c>
      <c r="E305" s="43" t="n">
        <v>45383</v>
      </c>
      <c r="F305" s="24" t="n">
        <v>3</v>
      </c>
    </row>
    <row r="306" customFormat="false" ht="15.75" hidden="false" customHeight="false" outlineLevel="0" collapsed="false">
      <c r="A306" s="19" t="n">
        <v>304</v>
      </c>
      <c r="B306" s="19" t="s">
        <v>100</v>
      </c>
      <c r="C306" s="19" t="s">
        <v>268</v>
      </c>
      <c r="D306" s="22" t="str">
        <f aca="false">HYPERLINK("https://discord.com/channels/1040938900039929917/1224298455346708533", "ссылка")</f>
        <v>ссылка</v>
      </c>
      <c r="E306" s="43" t="n">
        <v>45383</v>
      </c>
      <c r="F306" s="24" t="n">
        <v>1</v>
      </c>
    </row>
    <row r="307" customFormat="false" ht="15.75" hidden="false" customHeight="false" outlineLevel="0" collapsed="false">
      <c r="A307" s="19" t="n">
        <v>305</v>
      </c>
      <c r="B307" s="19" t="s">
        <v>100</v>
      </c>
      <c r="C307" s="19" t="s">
        <v>172</v>
      </c>
      <c r="D307" s="22" t="str">
        <f aca="false">HYPERLINK("https://discord.com/channels/1040938900039929917/1224291104439144548", "ссылка")</f>
        <v>ссылка</v>
      </c>
      <c r="E307" s="43" t="n">
        <v>45383</v>
      </c>
      <c r="F307" s="24" t="n">
        <v>1</v>
      </c>
    </row>
    <row r="308" customFormat="false" ht="15.75" hidden="false" customHeight="false" outlineLevel="0" collapsed="false">
      <c r="A308" s="19" t="n">
        <v>306</v>
      </c>
      <c r="B308" s="19" t="s">
        <v>100</v>
      </c>
      <c r="C308" s="19" t="s">
        <v>422</v>
      </c>
      <c r="D308" s="22" t="str">
        <f aca="false">HYPERLINK("https://discord.com/channels/1040938900039929917/1224381108259520772", "ссылка")</f>
        <v>ссылка</v>
      </c>
      <c r="E308" s="43" t="n">
        <v>45383</v>
      </c>
      <c r="F308" s="24" t="n">
        <v>3</v>
      </c>
    </row>
    <row r="309" customFormat="false" ht="15.75" hidden="false" customHeight="false" outlineLevel="0" collapsed="false">
      <c r="A309" s="19" t="n">
        <v>307</v>
      </c>
      <c r="B309" s="19" t="s">
        <v>100</v>
      </c>
      <c r="C309" s="19" t="s">
        <v>30</v>
      </c>
      <c r="D309" s="22" t="str">
        <f aca="false">HYPERLINK("https://discord.com/channels/1040938900039929917/1224756029024370738","ссылка")</f>
        <v>ссылка</v>
      </c>
      <c r="E309" s="43" t="n">
        <v>45384</v>
      </c>
      <c r="F309" s="24" t="n">
        <v>1</v>
      </c>
    </row>
    <row r="310" customFormat="false" ht="15.75" hidden="false" customHeight="false" outlineLevel="0" collapsed="false">
      <c r="A310" s="19" t="n">
        <v>308</v>
      </c>
      <c r="B310" s="19" t="s">
        <v>100</v>
      </c>
      <c r="C310" s="19" t="s">
        <v>288</v>
      </c>
      <c r="D310" s="22" t="str">
        <f aca="false">HYPERLINK("https://discord.com/channels/1040938900039929917/1225061028232953886", "ссылка")</f>
        <v>ссылка</v>
      </c>
      <c r="E310" s="43" t="n">
        <v>45385</v>
      </c>
      <c r="F310" s="24" t="n">
        <v>1</v>
      </c>
    </row>
    <row r="311" customFormat="false" ht="15.75" hidden="false" customHeight="false" outlineLevel="0" collapsed="false">
      <c r="A311" s="19" t="n">
        <v>309</v>
      </c>
      <c r="B311" s="19" t="s">
        <v>100</v>
      </c>
      <c r="C311" s="19" t="s">
        <v>465</v>
      </c>
      <c r="D311" s="22" t="str">
        <f aca="false">HYPERLINK("https://discord.com/channels/1040938900039929917/1225385057322139669", "ссылка")</f>
        <v>ссылка</v>
      </c>
      <c r="E311" s="43" t="n">
        <v>45386</v>
      </c>
      <c r="F311" s="24" t="n">
        <v>2</v>
      </c>
    </row>
    <row r="312" customFormat="false" ht="15.75" hidden="false" customHeight="false" outlineLevel="0" collapsed="false">
      <c r="A312" s="19" t="n">
        <v>310</v>
      </c>
      <c r="B312" s="19" t="s">
        <v>100</v>
      </c>
      <c r="C312" s="19" t="s">
        <v>448</v>
      </c>
      <c r="D312" s="22" t="str">
        <f aca="false">HYPERLINK("https://discord.com/channels/1040938900039929917/1225402080005455912", "ссылка")</f>
        <v>ссылка</v>
      </c>
      <c r="E312" s="43" t="n">
        <v>45386</v>
      </c>
      <c r="F312" s="24" t="n">
        <v>2</v>
      </c>
    </row>
    <row r="313" customFormat="false" ht="15.75" hidden="false" customHeight="false" outlineLevel="0" collapsed="false">
      <c r="A313" s="19" t="n">
        <v>311</v>
      </c>
      <c r="B313" s="19" t="s">
        <v>100</v>
      </c>
      <c r="C313" s="19" t="s">
        <v>481</v>
      </c>
      <c r="D313" s="22" t="str">
        <f aca="false">HYPERLINK("https://discord.com/channels/1040938900039929917/1225547736988778516", "ссылка")</f>
        <v>ссылка</v>
      </c>
      <c r="E313" s="43" t="n">
        <v>45386</v>
      </c>
      <c r="F313" s="24" t="n">
        <v>2</v>
      </c>
    </row>
    <row r="314" customFormat="false" ht="15.75" hidden="false" customHeight="false" outlineLevel="0" collapsed="false">
      <c r="A314" s="19" t="n">
        <v>312</v>
      </c>
      <c r="B314" s="19" t="s">
        <v>100</v>
      </c>
      <c r="C314" s="19" t="s">
        <v>125</v>
      </c>
      <c r="D314" s="22" t="str">
        <f aca="false">HYPERLINK("https://discord.com/channels/1040938900039929917/1225600292251369602", "ссылка")</f>
        <v>ссылка</v>
      </c>
      <c r="E314" s="43" t="n">
        <v>45387</v>
      </c>
      <c r="F314" s="24" t="n">
        <v>3</v>
      </c>
    </row>
    <row r="315" customFormat="false" ht="15.75" hidden="false" customHeight="false" outlineLevel="0" collapsed="false">
      <c r="A315" s="19" t="n">
        <v>313</v>
      </c>
      <c r="B315" s="19" t="s">
        <v>88</v>
      </c>
      <c r="C315" s="19" t="s">
        <v>494</v>
      </c>
      <c r="D315" s="24" t="s">
        <v>1003</v>
      </c>
      <c r="E315" s="43" t="n">
        <v>45391</v>
      </c>
      <c r="F315" s="24" t="n">
        <v>10</v>
      </c>
    </row>
    <row r="316" customFormat="false" ht="15.75" hidden="false" customHeight="false" outlineLevel="0" collapsed="false">
      <c r="A316" s="19" t="n">
        <v>314</v>
      </c>
      <c r="B316" s="19" t="s">
        <v>51</v>
      </c>
      <c r="C316" s="19" t="s">
        <v>125</v>
      </c>
      <c r="D316" s="22" t="str">
        <f aca="false">HYPERLINK("https://discord.com/channels/1040938900039929917/1224836713537343502", "ссылка")</f>
        <v>ссылка</v>
      </c>
      <c r="E316" s="43" t="n">
        <v>45385</v>
      </c>
      <c r="F316" s="24" t="n">
        <v>1</v>
      </c>
    </row>
    <row r="317" customFormat="false" ht="15.75" hidden="false" customHeight="false" outlineLevel="0" collapsed="false">
      <c r="A317" s="19" t="n">
        <v>315</v>
      </c>
      <c r="B317" s="19" t="s">
        <v>30</v>
      </c>
      <c r="C317" s="19" t="s">
        <v>448</v>
      </c>
      <c r="D317" s="22" t="str">
        <f aca="false">HYPERLINK("https://discord.com/channels/1040938900039929917/1223360084919455865", "ссылка")</f>
        <v>ссылка</v>
      </c>
      <c r="E317" s="43" t="n">
        <v>45380</v>
      </c>
      <c r="F317" s="24" t="n">
        <v>1</v>
      </c>
    </row>
    <row r="318" customFormat="false" ht="15.75" hidden="false" customHeight="false" outlineLevel="0" collapsed="false">
      <c r="A318" s="19" t="n">
        <v>316</v>
      </c>
      <c r="B318" s="19" t="s">
        <v>88</v>
      </c>
      <c r="C318" s="19" t="s">
        <v>500</v>
      </c>
      <c r="D318" s="24" t="s">
        <v>1003</v>
      </c>
      <c r="E318" s="43" t="n">
        <v>45391</v>
      </c>
      <c r="F318" s="24" t="n">
        <v>10</v>
      </c>
    </row>
    <row r="319" customFormat="false" ht="15.75" hidden="false" customHeight="false" outlineLevel="0" collapsed="false">
      <c r="A319" s="19" t="n">
        <v>317</v>
      </c>
      <c r="B319" s="19" t="s">
        <v>88</v>
      </c>
      <c r="C319" s="19" t="s">
        <v>507</v>
      </c>
      <c r="D319" s="24" t="s">
        <v>1003</v>
      </c>
      <c r="E319" s="43" t="n">
        <v>45393</v>
      </c>
      <c r="F319" s="24" t="n">
        <v>10</v>
      </c>
    </row>
    <row r="320" customFormat="false" ht="15.75" hidden="false" customHeight="false" outlineLevel="0" collapsed="false">
      <c r="A320" s="19" t="n">
        <v>318</v>
      </c>
      <c r="B320" s="19" t="s">
        <v>30</v>
      </c>
      <c r="C320" s="19" t="s">
        <v>343</v>
      </c>
      <c r="D320" s="22" t="str">
        <f aca="false">HYPERLINK("https://discord.com/channels/1040938900039929917/1226558487610523648", "ссылка")</f>
        <v>ссылка</v>
      </c>
      <c r="E320" s="43" t="n">
        <v>45391</v>
      </c>
      <c r="F320" s="24" t="n">
        <v>-7</v>
      </c>
    </row>
    <row r="321" customFormat="false" ht="15.75" hidden="false" customHeight="false" outlineLevel="0" collapsed="false">
      <c r="A321" s="19" t="n">
        <v>319</v>
      </c>
      <c r="B321" s="19" t="s">
        <v>100</v>
      </c>
      <c r="C321" s="19" t="s">
        <v>483</v>
      </c>
      <c r="D321" s="22" t="str">
        <f aca="false">HYPERLINK("https://discord.com/channels/1040938900039929917/1226623365868032031", "ссылка")</f>
        <v>ссылка</v>
      </c>
      <c r="E321" s="43" t="n">
        <v>45389</v>
      </c>
      <c r="F321" s="24" t="n">
        <v>2</v>
      </c>
    </row>
    <row r="322" customFormat="false" ht="15.75" hidden="false" customHeight="false" outlineLevel="0" collapsed="false">
      <c r="A322" s="19" t="n">
        <v>320</v>
      </c>
      <c r="B322" s="19" t="s">
        <v>255</v>
      </c>
      <c r="C322" s="19" t="s">
        <v>257</v>
      </c>
      <c r="D322" s="22" t="str">
        <f aca="false">HYPERLINK("https://discord.com/channels/1040938900039929917/1225877517064339556", "ссылка")</f>
        <v>ссылка</v>
      </c>
      <c r="E322" s="43" t="n">
        <v>45387</v>
      </c>
      <c r="F322" s="24" t="n">
        <v>2</v>
      </c>
    </row>
    <row r="323" customFormat="false" ht="15.75" hidden="false" customHeight="false" outlineLevel="0" collapsed="false">
      <c r="A323" s="19" t="n">
        <v>321</v>
      </c>
      <c r="B323" s="19" t="s">
        <v>88</v>
      </c>
      <c r="C323" s="19" t="s">
        <v>321</v>
      </c>
      <c r="D323" s="22" t="str">
        <f aca="false">HYPERLINK("https://discord.com/channels/1040938900039929917/1225522261042266123","ссылка")</f>
        <v>ссылка</v>
      </c>
      <c r="E323" s="43" t="n">
        <v>45386</v>
      </c>
      <c r="F323" s="24" t="n">
        <v>2</v>
      </c>
    </row>
    <row r="324" customFormat="false" ht="15.75" hidden="false" customHeight="false" outlineLevel="0" collapsed="false">
      <c r="A324" s="19" t="n">
        <v>322</v>
      </c>
      <c r="B324" s="19" t="s">
        <v>88</v>
      </c>
      <c r="C324" s="19" t="s">
        <v>450</v>
      </c>
      <c r="D324" s="22" t="str">
        <f aca="false">HYPERLINK("https://discord.com/channels/1040938900039929917/1225522261042266123","ссылка")</f>
        <v>ссылка</v>
      </c>
      <c r="E324" s="43" t="n">
        <v>45386</v>
      </c>
      <c r="F324" s="24" t="n">
        <v>1</v>
      </c>
    </row>
    <row r="325" customFormat="false" ht="15.75" hidden="false" customHeight="false" outlineLevel="0" collapsed="false">
      <c r="A325" s="19" t="n">
        <v>323</v>
      </c>
      <c r="B325" s="19" t="s">
        <v>100</v>
      </c>
      <c r="C325" s="19" t="s">
        <v>494</v>
      </c>
      <c r="D325" s="22" t="str">
        <f aca="false">HYPERLINK("https://discord.com/channels/1040938900039929917/1227356151071637565", "ссылка")</f>
        <v>ссылка</v>
      </c>
      <c r="E325" s="43" t="n">
        <v>45391</v>
      </c>
      <c r="F325" s="24" t="n">
        <v>1</v>
      </c>
    </row>
    <row r="326" customFormat="false" ht="15.75" hidden="false" customHeight="false" outlineLevel="0" collapsed="false">
      <c r="A326" s="19" t="n">
        <v>324</v>
      </c>
      <c r="B326" s="19" t="s">
        <v>100</v>
      </c>
      <c r="C326" s="19" t="s">
        <v>270</v>
      </c>
      <c r="D326" s="22" t="str">
        <f aca="false">HYPERLINK("https://discord.com/channels/1040938900039929917/1227147914321727498", "ссылка")</f>
        <v>ссылка</v>
      </c>
      <c r="E326" s="43" t="n">
        <v>45391</v>
      </c>
      <c r="F326" s="24" t="n">
        <v>2</v>
      </c>
    </row>
    <row r="327" customFormat="false" ht="15.75" hidden="false" customHeight="false" outlineLevel="0" collapsed="false">
      <c r="A327" s="19" t="n">
        <v>325</v>
      </c>
      <c r="B327" s="19" t="s">
        <v>448</v>
      </c>
      <c r="C327" s="19" t="s">
        <v>374</v>
      </c>
      <c r="D327" s="22" t="str">
        <f aca="false">HYPERLINK("https://discord.com/channels/1040938900039929917/1227576637600567357", "ссылка")</f>
        <v>ссылка</v>
      </c>
      <c r="E327" s="43" t="n">
        <v>45392</v>
      </c>
      <c r="F327" s="24" t="n">
        <v>2</v>
      </c>
    </row>
    <row r="328" customFormat="false" ht="15.75" hidden="false" customHeight="false" outlineLevel="0" collapsed="false">
      <c r="A328" s="19" t="n">
        <v>326</v>
      </c>
      <c r="B328" s="19" t="s">
        <v>448</v>
      </c>
      <c r="C328" s="19" t="s">
        <v>151</v>
      </c>
      <c r="D328" s="22" t="str">
        <f aca="false">HYPERLINK("https://discord.com/channels/1040938900039929917/1227576637600567357", "ссылка")</f>
        <v>ссылка</v>
      </c>
      <c r="E328" s="43" t="n">
        <v>45392</v>
      </c>
      <c r="F328" s="24" t="n">
        <v>2</v>
      </c>
    </row>
    <row r="329" customFormat="false" ht="15.75" hidden="false" customHeight="false" outlineLevel="0" collapsed="false">
      <c r="A329" s="19" t="n">
        <v>327</v>
      </c>
      <c r="B329" s="19" t="s">
        <v>374</v>
      </c>
      <c r="C329" s="19" t="s">
        <v>448</v>
      </c>
      <c r="D329" s="22" t="str">
        <f aca="false">HYPERLINK("https://discord.com/channels/1040938900039929917/1227401005201752114", "ссылка")</f>
        <v>ссылка</v>
      </c>
      <c r="E329" s="43" t="n">
        <v>45392</v>
      </c>
      <c r="F329" s="24" t="n">
        <v>1</v>
      </c>
    </row>
    <row r="330" customFormat="false" ht="15.75" hidden="false" customHeight="false" outlineLevel="0" collapsed="false">
      <c r="A330" s="19" t="n">
        <v>328</v>
      </c>
      <c r="B330" s="19" t="s">
        <v>100</v>
      </c>
      <c r="C330" s="19" t="s">
        <v>495</v>
      </c>
      <c r="D330" s="22" t="str">
        <f aca="false">HYPERLINK("https://discord.com/channels/1040938900039929917/1228292432043442176", "ссылка")</f>
        <v>ссылка</v>
      </c>
      <c r="E330" s="43" t="n">
        <v>45394</v>
      </c>
      <c r="F330" s="24" t="n">
        <v>3</v>
      </c>
    </row>
    <row r="331" customFormat="false" ht="15.75" hidden="false" customHeight="false" outlineLevel="0" collapsed="false">
      <c r="A331" s="19" t="n">
        <v>329</v>
      </c>
      <c r="B331" s="19" t="s">
        <v>125</v>
      </c>
      <c r="C331" s="19" t="s">
        <v>122</v>
      </c>
      <c r="D331" s="22" t="str">
        <f aca="false">HYPERLINK("https://discord.com/channels/1040938900039929917/1228977154079854655", "ссылка")</f>
        <v>ссылка</v>
      </c>
      <c r="E331" s="43" t="n">
        <v>45396</v>
      </c>
      <c r="F331" s="24" t="n">
        <v>2</v>
      </c>
    </row>
    <row r="332" customFormat="false" ht="15.75" hidden="false" customHeight="false" outlineLevel="0" collapsed="false">
      <c r="A332" s="19" t="n">
        <v>330</v>
      </c>
      <c r="B332" s="19" t="s">
        <v>88</v>
      </c>
      <c r="C332" s="19" t="s">
        <v>518</v>
      </c>
      <c r="D332" s="24" t="s">
        <v>1003</v>
      </c>
      <c r="E332" s="43" t="n">
        <v>45399</v>
      </c>
      <c r="F332" s="24" t="n">
        <v>10</v>
      </c>
    </row>
    <row r="333" customFormat="false" ht="15.75" hidden="false" customHeight="false" outlineLevel="0" collapsed="false">
      <c r="A333" s="19" t="n">
        <v>331</v>
      </c>
      <c r="B333" s="19" t="s">
        <v>88</v>
      </c>
      <c r="C333" s="57" t="s">
        <v>524</v>
      </c>
      <c r="D333" s="24" t="s">
        <v>1003</v>
      </c>
      <c r="E333" s="43" t="n">
        <v>45401</v>
      </c>
      <c r="F333" s="24" t="n">
        <v>10</v>
      </c>
    </row>
    <row r="334" customFormat="false" ht="15.75" hidden="false" customHeight="false" outlineLevel="0" collapsed="false">
      <c r="A334" s="19" t="n">
        <v>332</v>
      </c>
      <c r="B334" s="19" t="s">
        <v>88</v>
      </c>
      <c r="C334" s="19" t="s">
        <v>526</v>
      </c>
      <c r="D334" s="24" t="s">
        <v>1003</v>
      </c>
      <c r="E334" s="43" t="n">
        <v>45402</v>
      </c>
      <c r="F334" s="24" t="n">
        <v>10</v>
      </c>
    </row>
    <row r="335" customFormat="false" ht="15.75" hidden="false" customHeight="false" outlineLevel="0" collapsed="false">
      <c r="A335" s="19" t="n">
        <v>333</v>
      </c>
      <c r="B335" s="19" t="s">
        <v>88</v>
      </c>
      <c r="C335" s="19" t="s">
        <v>528</v>
      </c>
      <c r="D335" s="24" t="s">
        <v>1003</v>
      </c>
      <c r="E335" s="43" t="n">
        <v>45402</v>
      </c>
      <c r="F335" s="24" t="n">
        <v>10</v>
      </c>
    </row>
    <row r="336" customFormat="false" ht="15.75" hidden="false" customHeight="false" outlineLevel="0" collapsed="false">
      <c r="A336" s="19" t="n">
        <v>334</v>
      </c>
      <c r="B336" s="19" t="s">
        <v>100</v>
      </c>
      <c r="C336" s="19" t="s">
        <v>463</v>
      </c>
      <c r="D336" s="22" t="str">
        <f aca="false">HYPERLINK("https://discord.com/channels/1040938900039929917/1229121461348732978", "ссылка")</f>
        <v>ссылка</v>
      </c>
      <c r="E336" s="43" t="n">
        <v>45396</v>
      </c>
      <c r="F336" s="24" t="n">
        <v>5</v>
      </c>
    </row>
    <row r="337" customFormat="false" ht="15.75" hidden="false" customHeight="false" outlineLevel="0" collapsed="false">
      <c r="A337" s="19" t="n">
        <v>335</v>
      </c>
      <c r="B337" s="19" t="s">
        <v>100</v>
      </c>
      <c r="C337" s="19" t="s">
        <v>16</v>
      </c>
      <c r="D337" s="22" t="str">
        <f aca="false">HYPERLINK("https://discord.com/channels/1040938900039929917/1229504666006585514", "ссылка")</f>
        <v>ссылка</v>
      </c>
      <c r="E337" s="43" t="n">
        <v>45397</v>
      </c>
      <c r="F337" s="24" t="n">
        <v>4</v>
      </c>
    </row>
    <row r="338" customFormat="false" ht="15.75" hidden="false" customHeight="false" outlineLevel="0" collapsed="false">
      <c r="A338" s="19" t="n">
        <v>336</v>
      </c>
      <c r="B338" s="19" t="s">
        <v>983</v>
      </c>
      <c r="C338" s="19" t="s">
        <v>151</v>
      </c>
      <c r="D338" s="22" t="str">
        <f aca="false">HYPERLINK("https://discord.com/channels/1040938900039929917/1228391210704703541", "ссылка")</f>
        <v>ссылка</v>
      </c>
      <c r="E338" s="43" t="n">
        <v>45394</v>
      </c>
      <c r="F338" s="24" t="n">
        <v>2</v>
      </c>
    </row>
    <row r="339" customFormat="false" ht="15.75" hidden="false" customHeight="false" outlineLevel="0" collapsed="false">
      <c r="A339" s="19" t="n">
        <v>337</v>
      </c>
      <c r="B339" s="19" t="s">
        <v>88</v>
      </c>
      <c r="C339" s="19" t="s">
        <v>532</v>
      </c>
      <c r="D339" s="24" t="s">
        <v>1003</v>
      </c>
      <c r="E339" s="43" t="n">
        <v>45404</v>
      </c>
      <c r="F339" s="24" t="n">
        <v>10</v>
      </c>
    </row>
    <row r="340" customFormat="false" ht="15.75" hidden="false" customHeight="false" outlineLevel="0" collapsed="false">
      <c r="A340" s="19" t="n">
        <v>338</v>
      </c>
      <c r="B340" s="19" t="s">
        <v>490</v>
      </c>
      <c r="C340" s="19" t="s">
        <v>450</v>
      </c>
      <c r="D340" s="22" t="str">
        <f aca="false">HYPERLINK("https://discord.com/channels/1040938900039929917/1230580314821234738", "ссылка")</f>
        <v>ссылка</v>
      </c>
      <c r="E340" s="43" t="n">
        <v>45400</v>
      </c>
      <c r="F340" s="24" t="n">
        <v>2</v>
      </c>
    </row>
    <row r="341" customFormat="false" ht="15.75" hidden="false" customHeight="false" outlineLevel="0" collapsed="false">
      <c r="A341" s="19" t="n">
        <v>339</v>
      </c>
      <c r="B341" s="19" t="s">
        <v>88</v>
      </c>
      <c r="C341" s="19" t="s">
        <v>538</v>
      </c>
      <c r="D341" s="24" t="s">
        <v>1003</v>
      </c>
      <c r="E341" s="43" t="n">
        <v>45405</v>
      </c>
      <c r="F341" s="24" t="n">
        <v>10</v>
      </c>
    </row>
    <row r="342" customFormat="false" ht="15.75" hidden="false" customHeight="false" outlineLevel="0" collapsed="false">
      <c r="A342" s="19" t="n">
        <v>340</v>
      </c>
      <c r="B342" s="19" t="s">
        <v>88</v>
      </c>
      <c r="C342" s="19" t="s">
        <v>540</v>
      </c>
      <c r="D342" s="24" t="s">
        <v>1003</v>
      </c>
      <c r="E342" s="43" t="n">
        <v>45406</v>
      </c>
      <c r="F342" s="24" t="n">
        <v>10</v>
      </c>
    </row>
    <row r="343" customFormat="false" ht="15.75" hidden="false" customHeight="false" outlineLevel="0" collapsed="false">
      <c r="A343" s="19" t="n">
        <v>341</v>
      </c>
      <c r="B343" s="19" t="s">
        <v>88</v>
      </c>
      <c r="C343" s="19" t="s">
        <v>548</v>
      </c>
      <c r="D343" s="24" t="s">
        <v>4</v>
      </c>
      <c r="E343" s="43" t="n">
        <v>45407</v>
      </c>
      <c r="F343" s="24" t="n">
        <v>-15</v>
      </c>
    </row>
    <row r="344" customFormat="false" ht="15.75" hidden="false" customHeight="false" outlineLevel="0" collapsed="false">
      <c r="A344" s="19" t="n">
        <v>342</v>
      </c>
      <c r="B344" s="19" t="s">
        <v>88</v>
      </c>
      <c r="C344" s="19" t="s">
        <v>473</v>
      </c>
      <c r="D344" s="24" t="s">
        <v>1008</v>
      </c>
      <c r="E344" s="43" t="n">
        <v>45409</v>
      </c>
      <c r="F344" s="24" t="n">
        <v>20</v>
      </c>
    </row>
    <row r="345" customFormat="false" ht="15.75" hidden="false" customHeight="false" outlineLevel="0" collapsed="false">
      <c r="A345" s="19" t="n">
        <v>343</v>
      </c>
      <c r="B345" s="19" t="s">
        <v>88</v>
      </c>
      <c r="C345" s="19" t="s">
        <v>438</v>
      </c>
      <c r="D345" s="24" t="s">
        <v>1008</v>
      </c>
      <c r="E345" s="43" t="n">
        <v>45409</v>
      </c>
      <c r="F345" s="24" t="n">
        <v>10</v>
      </c>
    </row>
    <row r="346" customFormat="false" ht="15.75" hidden="false" customHeight="false" outlineLevel="0" collapsed="false">
      <c r="A346" s="19" t="n">
        <v>344</v>
      </c>
      <c r="B346" s="19" t="s">
        <v>88</v>
      </c>
      <c r="C346" s="19" t="s">
        <v>488</v>
      </c>
      <c r="D346" s="24" t="s">
        <v>1008</v>
      </c>
      <c r="E346" s="43" t="n">
        <v>45409</v>
      </c>
      <c r="F346" s="24" t="n">
        <v>10</v>
      </c>
    </row>
    <row r="347" customFormat="false" ht="15.75" hidden="false" customHeight="false" outlineLevel="0" collapsed="false">
      <c r="A347" s="19" t="n">
        <v>345</v>
      </c>
      <c r="B347" s="19" t="s">
        <v>88</v>
      </c>
      <c r="C347" s="19" t="s">
        <v>554</v>
      </c>
      <c r="D347" s="24" t="s">
        <v>1003</v>
      </c>
      <c r="E347" s="43" t="n">
        <v>45411</v>
      </c>
      <c r="F347" s="24" t="n">
        <v>10</v>
      </c>
    </row>
    <row r="348" customFormat="false" ht="15.75" hidden="false" customHeight="false" outlineLevel="0" collapsed="false">
      <c r="A348" s="19" t="n">
        <v>346</v>
      </c>
      <c r="B348" s="19" t="s">
        <v>88</v>
      </c>
      <c r="C348" s="19" t="s">
        <v>564</v>
      </c>
      <c r="D348" s="24" t="s">
        <v>4</v>
      </c>
      <c r="E348" s="43" t="n">
        <v>45411</v>
      </c>
      <c r="F348" s="24" t="n">
        <v>-15</v>
      </c>
    </row>
    <row r="349" customFormat="false" ht="15.75" hidden="false" customHeight="false" outlineLevel="0" collapsed="false">
      <c r="A349" s="19" t="n">
        <v>347</v>
      </c>
      <c r="B349" s="19" t="s">
        <v>88</v>
      </c>
      <c r="C349" s="19" t="s">
        <v>559</v>
      </c>
      <c r="D349" s="24" t="s">
        <v>1003</v>
      </c>
      <c r="E349" s="43" t="n">
        <v>45411</v>
      </c>
      <c r="F349" s="24" t="n">
        <v>10</v>
      </c>
    </row>
    <row r="350" customFormat="false" ht="15.75" hidden="false" customHeight="false" outlineLevel="0" collapsed="false">
      <c r="A350" s="19" t="n">
        <v>348</v>
      </c>
      <c r="B350" s="19" t="s">
        <v>88</v>
      </c>
      <c r="C350" s="19" t="s">
        <v>566</v>
      </c>
      <c r="D350" s="24" t="s">
        <v>4</v>
      </c>
      <c r="E350" s="43" t="n">
        <v>45411</v>
      </c>
      <c r="F350" s="24" t="n">
        <v>-15</v>
      </c>
    </row>
    <row r="351" customFormat="false" ht="15.75" hidden="false" customHeight="false" outlineLevel="0" collapsed="false">
      <c r="A351" s="19" t="n">
        <v>349</v>
      </c>
      <c r="B351" s="19" t="s">
        <v>88</v>
      </c>
      <c r="C351" s="19" t="s">
        <v>573</v>
      </c>
      <c r="D351" s="24" t="s">
        <v>1003</v>
      </c>
      <c r="E351" s="43" t="n">
        <v>45414</v>
      </c>
      <c r="F351" s="24" t="n">
        <v>10</v>
      </c>
    </row>
    <row r="352" customFormat="false" ht="15.75" hidden="false" customHeight="false" outlineLevel="0" collapsed="false">
      <c r="A352" s="19" t="n">
        <v>350</v>
      </c>
      <c r="B352" s="19" t="s">
        <v>88</v>
      </c>
      <c r="C352" s="19" t="s">
        <v>575</v>
      </c>
      <c r="D352" s="24" t="s">
        <v>4</v>
      </c>
      <c r="E352" s="43" t="n">
        <v>45414</v>
      </c>
      <c r="F352" s="24" t="n">
        <v>-15</v>
      </c>
    </row>
    <row r="353" customFormat="false" ht="15.75" hidden="false" customHeight="false" outlineLevel="0" collapsed="false">
      <c r="A353" s="19" t="n">
        <v>351</v>
      </c>
      <c r="B353" s="19" t="s">
        <v>288</v>
      </c>
      <c r="C353" s="19" t="s">
        <v>88</v>
      </c>
      <c r="D353" s="22" t="str">
        <f aca="false">HYPERLINK("https://discord.com/channels/1040938900039929917/1235211745153388634", "ссылка")</f>
        <v>ссылка</v>
      </c>
      <c r="E353" s="43" t="n">
        <v>45413</v>
      </c>
      <c r="F353" s="24" t="n">
        <v>1</v>
      </c>
    </row>
    <row r="354" customFormat="false" ht="15.75" hidden="false" customHeight="false" outlineLevel="0" collapsed="false">
      <c r="A354" s="19" t="n">
        <v>352</v>
      </c>
      <c r="B354" s="19" t="s">
        <v>88</v>
      </c>
      <c r="C354" s="19" t="s">
        <v>288</v>
      </c>
      <c r="D354" s="22" t="str">
        <f aca="false">HYPERLINK("https://discord.com/channels/1040938900039929917/1235019564283330701", "ссылка")</f>
        <v>ссылка</v>
      </c>
      <c r="E354" s="43" t="n">
        <v>45413</v>
      </c>
      <c r="F354" s="24" t="n">
        <v>1</v>
      </c>
    </row>
    <row r="355" customFormat="false" ht="15.75" hidden="false" customHeight="false" outlineLevel="0" collapsed="false">
      <c r="A355" s="19" t="n">
        <v>353</v>
      </c>
      <c r="B355" s="19" t="s">
        <v>88</v>
      </c>
      <c r="C355" s="19" t="s">
        <v>1005</v>
      </c>
      <c r="D355" s="22" t="str">
        <f aca="false">HYPERLINK("https://discord.com/channels/1040938900039929917/1235019564283330701", "ссылка")</f>
        <v>ссылка</v>
      </c>
      <c r="E355" s="43" t="n">
        <v>45413</v>
      </c>
      <c r="F355" s="24" t="n">
        <v>2</v>
      </c>
    </row>
    <row r="356" customFormat="false" ht="15.75" hidden="false" customHeight="false" outlineLevel="0" collapsed="false">
      <c r="A356" s="19" t="n">
        <v>354</v>
      </c>
      <c r="B356" s="19" t="s">
        <v>88</v>
      </c>
      <c r="C356" s="19" t="s">
        <v>228</v>
      </c>
      <c r="D356" s="22" t="str">
        <f aca="false">HYPERLINK("https://discord.com/channels/1040938900039929917/1235019564283330701", "ссылка")</f>
        <v>ссылка</v>
      </c>
      <c r="E356" s="43" t="n">
        <v>45413</v>
      </c>
      <c r="F356" s="24" t="n">
        <v>1</v>
      </c>
    </row>
    <row r="357" customFormat="false" ht="15.75" hidden="false" customHeight="false" outlineLevel="0" collapsed="false">
      <c r="A357" s="19" t="n">
        <v>355</v>
      </c>
      <c r="B357" s="19" t="s">
        <v>228</v>
      </c>
      <c r="C357" s="19" t="s">
        <v>1005</v>
      </c>
      <c r="D357" s="22" t="str">
        <f aca="false">HYPERLINK("https://discord.com/channels/1040938900039929917/1234659700595884032", "ссылка")</f>
        <v>ссылка</v>
      </c>
      <c r="E357" s="43" t="n">
        <v>45412</v>
      </c>
      <c r="F357" s="24" t="n">
        <v>2</v>
      </c>
    </row>
    <row r="358" customFormat="false" ht="15.75" hidden="false" customHeight="false" outlineLevel="0" collapsed="false">
      <c r="A358" s="19" t="n">
        <v>356</v>
      </c>
      <c r="B358" s="19" t="s">
        <v>30</v>
      </c>
      <c r="C358" s="19" t="s">
        <v>228</v>
      </c>
      <c r="D358" s="22" t="str">
        <f aca="false">HYPERLINK("https://discord.com/channels/1040938900039929917/1234514215360790558", "ссылка")</f>
        <v>ссылка</v>
      </c>
      <c r="E358" s="43" t="n">
        <v>45411</v>
      </c>
      <c r="F358" s="24" t="n">
        <v>1</v>
      </c>
    </row>
    <row r="359" customFormat="false" ht="15.75" hidden="false" customHeight="false" outlineLevel="0" collapsed="false">
      <c r="A359" s="19" t="n">
        <v>357</v>
      </c>
      <c r="B359" s="19" t="s">
        <v>363</v>
      </c>
      <c r="C359" s="19" t="s">
        <v>122</v>
      </c>
      <c r="D359" s="22" t="str">
        <f aca="false">HYPERLINK("https://discord.com/channels/1040938900039929917/1234601436118257765", "ссылка")</f>
        <v>ссылка</v>
      </c>
      <c r="E359" s="43" t="n">
        <v>45412</v>
      </c>
      <c r="F359" s="24" t="n">
        <v>2</v>
      </c>
    </row>
    <row r="360" customFormat="false" ht="15.75" hidden="false" customHeight="false" outlineLevel="0" collapsed="false">
      <c r="A360" s="19" t="n">
        <v>358</v>
      </c>
      <c r="B360" s="19" t="s">
        <v>326</v>
      </c>
      <c r="C360" s="19" t="s">
        <v>151</v>
      </c>
      <c r="D360" s="22" t="str">
        <f aca="false">HYPERLINK("https://discord.com/channels/1040938900039929917/1235116606351478837", "ссылка")</f>
        <v>ссылка</v>
      </c>
      <c r="E360" s="43" t="n">
        <v>45413</v>
      </c>
      <c r="F360" s="24" t="n">
        <v>3</v>
      </c>
    </row>
    <row r="361" customFormat="false" ht="15.75" hidden="false" customHeight="false" outlineLevel="0" collapsed="false">
      <c r="A361" s="19" t="n">
        <v>359</v>
      </c>
      <c r="B361" s="19" t="s">
        <v>88</v>
      </c>
      <c r="C361" s="19" t="s">
        <v>582</v>
      </c>
      <c r="D361" s="24" t="s">
        <v>1003</v>
      </c>
      <c r="E361" s="43" t="n">
        <v>45417</v>
      </c>
      <c r="F361" s="24" t="n">
        <v>10</v>
      </c>
    </row>
    <row r="362" customFormat="false" ht="15.75" hidden="false" customHeight="false" outlineLevel="0" collapsed="false">
      <c r="A362" s="19" t="n">
        <v>360</v>
      </c>
      <c r="B362" s="19" t="s">
        <v>88</v>
      </c>
      <c r="C362" s="19" t="s">
        <v>591</v>
      </c>
      <c r="D362" s="24" t="s">
        <v>1003</v>
      </c>
      <c r="E362" s="43" t="n">
        <v>45417</v>
      </c>
      <c r="F362" s="24" t="n">
        <v>10</v>
      </c>
    </row>
    <row r="363" customFormat="false" ht="15.75" hidden="false" customHeight="false" outlineLevel="0" collapsed="false">
      <c r="A363" s="19" t="n">
        <v>361</v>
      </c>
      <c r="B363" s="19" t="s">
        <v>88</v>
      </c>
      <c r="C363" s="19" t="s">
        <v>522</v>
      </c>
      <c r="D363" s="24" t="s">
        <v>1003</v>
      </c>
      <c r="E363" s="43" t="n">
        <v>45419</v>
      </c>
      <c r="F363" s="24" t="n">
        <v>10</v>
      </c>
    </row>
    <row r="364" customFormat="false" ht="15.75" hidden="false" customHeight="false" outlineLevel="0" collapsed="false">
      <c r="A364" s="19" t="n">
        <v>362</v>
      </c>
      <c r="B364" s="19" t="s">
        <v>88</v>
      </c>
      <c r="C364" s="19" t="s">
        <v>605</v>
      </c>
      <c r="D364" s="24" t="s">
        <v>1003</v>
      </c>
      <c r="E364" s="43" t="n">
        <v>45421</v>
      </c>
      <c r="F364" s="24" t="n">
        <v>10</v>
      </c>
    </row>
    <row r="365" customFormat="false" ht="15.75" hidden="false" customHeight="false" outlineLevel="0" collapsed="false">
      <c r="A365" s="19" t="n">
        <v>363</v>
      </c>
      <c r="B365" s="19" t="s">
        <v>332</v>
      </c>
      <c r="C365" s="19" t="s">
        <v>26</v>
      </c>
      <c r="D365" s="22" t="str">
        <f aca="false">HYPERLINK("https://discord.com/channels/1040938900039929917/1235199132637859841", "ссылка")</f>
        <v>ссылка</v>
      </c>
      <c r="E365" s="43" t="n">
        <v>45421</v>
      </c>
      <c r="F365" s="24" t="n">
        <v>2</v>
      </c>
    </row>
    <row r="366" customFormat="false" ht="15.75" hidden="false" customHeight="false" outlineLevel="0" collapsed="false">
      <c r="A366" s="19" t="n">
        <v>364</v>
      </c>
      <c r="B366" s="19" t="s">
        <v>417</v>
      </c>
      <c r="C366" s="19" t="s">
        <v>490</v>
      </c>
      <c r="D366" s="22" t="str">
        <f aca="false">HYPERLINK("https://discord.com/channels/1040938900039929917/1236646828716462140", "ссылка")</f>
        <v>ссылка</v>
      </c>
      <c r="E366" s="43" t="n">
        <v>45421</v>
      </c>
      <c r="F366" s="24" t="n">
        <v>-3</v>
      </c>
    </row>
    <row r="367" customFormat="false" ht="15.75" hidden="false" customHeight="false" outlineLevel="0" collapsed="false">
      <c r="A367" s="19" t="n">
        <v>365</v>
      </c>
      <c r="B367" s="19" t="s">
        <v>88</v>
      </c>
      <c r="C367" s="19" t="s">
        <v>609</v>
      </c>
      <c r="D367" s="24" t="s">
        <v>1003</v>
      </c>
      <c r="E367" s="43" t="n">
        <v>45422</v>
      </c>
      <c r="F367" s="24" t="n">
        <v>10</v>
      </c>
    </row>
    <row r="368" customFormat="false" ht="15.75" hidden="false" customHeight="false" outlineLevel="0" collapsed="false">
      <c r="A368" s="19" t="n">
        <v>366</v>
      </c>
      <c r="B368" s="19" t="s">
        <v>26</v>
      </c>
      <c r="C368" s="19" t="s">
        <v>88</v>
      </c>
      <c r="D368" s="22" t="str">
        <f aca="false">HYPERLINK("https://discord.com/channels/1040938900039929917/1238154867315314738", "ссылка")</f>
        <v>ссылка</v>
      </c>
      <c r="E368" s="43" t="n">
        <v>45421</v>
      </c>
      <c r="F368" s="24" t="n">
        <v>2</v>
      </c>
    </row>
    <row r="369" customFormat="false" ht="15.75" hidden="false" customHeight="false" outlineLevel="0" collapsed="false">
      <c r="A369" s="19" t="n">
        <v>367</v>
      </c>
      <c r="B369" s="19" t="s">
        <v>266</v>
      </c>
      <c r="C369" s="19" t="s">
        <v>122</v>
      </c>
      <c r="D369" s="22" t="str">
        <f aca="false">HYPERLINK("https://discord.com/channels/1040938900039929917/1236434838811181076", "ссылка")</f>
        <v>ссылка</v>
      </c>
      <c r="E369" s="43" t="n">
        <v>45420</v>
      </c>
      <c r="F369" s="24" t="n">
        <v>2</v>
      </c>
    </row>
    <row r="370" customFormat="false" ht="15.75" hidden="false" customHeight="false" outlineLevel="0" collapsed="false">
      <c r="A370" s="19" t="n">
        <v>368</v>
      </c>
      <c r="B370" s="19" t="s">
        <v>266</v>
      </c>
      <c r="C370" s="19" t="s">
        <v>450</v>
      </c>
      <c r="D370" s="22" t="str">
        <f aca="false">HYPERLINK("https://discord.com/channels/1040938900039929917/1238967208072450099", "ссылка")</f>
        <v>ссылка</v>
      </c>
      <c r="E370" s="43" t="n">
        <v>45426</v>
      </c>
      <c r="F370" s="24" t="n">
        <v>6</v>
      </c>
    </row>
    <row r="371" customFormat="false" ht="15.75" hidden="false" customHeight="false" outlineLevel="0" collapsed="false">
      <c r="A371" s="19" t="n">
        <v>369</v>
      </c>
      <c r="B371" s="19" t="s">
        <v>266</v>
      </c>
      <c r="C371" s="19" t="s">
        <v>475</v>
      </c>
      <c r="D371" s="22" t="str">
        <f aca="false">HYPERLINK("https://discord.com/channels/1040938900039929917/1238967208072450099", "ссылка")</f>
        <v>ссылка</v>
      </c>
      <c r="E371" s="43" t="n">
        <v>45426</v>
      </c>
      <c r="F371" s="24" t="n">
        <v>1</v>
      </c>
    </row>
    <row r="372" customFormat="false" ht="15.75" hidden="false" customHeight="false" outlineLevel="0" collapsed="false">
      <c r="A372" s="19" t="n">
        <v>370</v>
      </c>
      <c r="B372" s="19" t="s">
        <v>609</v>
      </c>
      <c r="C372" s="19" t="s">
        <v>631</v>
      </c>
      <c r="D372" s="24" t="s">
        <v>4</v>
      </c>
      <c r="E372" s="43" t="n">
        <v>45427</v>
      </c>
      <c r="F372" s="24" t="n">
        <v>-15</v>
      </c>
    </row>
    <row r="373" customFormat="false" ht="15.75" hidden="false" customHeight="false" outlineLevel="0" collapsed="false">
      <c r="A373" s="19" t="n">
        <v>371</v>
      </c>
      <c r="B373" s="19" t="s">
        <v>538</v>
      </c>
      <c r="C373" s="19" t="s">
        <v>1005</v>
      </c>
      <c r="D373" s="22" t="str">
        <f aca="false">HYPERLINK("https://discord.com/channels/1040938900039929917/1238967208072450099", "ссылка")</f>
        <v>ссылка</v>
      </c>
      <c r="E373" s="43" t="n">
        <v>45421</v>
      </c>
      <c r="F373" s="24" t="n">
        <v>1</v>
      </c>
    </row>
    <row r="374" customFormat="false" ht="15.75" hidden="false" customHeight="false" outlineLevel="0" collapsed="false">
      <c r="A374" s="19" t="n">
        <v>372</v>
      </c>
      <c r="B374" s="19" t="s">
        <v>100</v>
      </c>
      <c r="C374" s="19" t="s">
        <v>417</v>
      </c>
      <c r="D374" s="22" t="str">
        <f aca="false">HYPERLINK("https://discord.com/channels/1040938900039929917/1235357725597241354", "ссылка")</f>
        <v>ссылка</v>
      </c>
      <c r="E374" s="43" t="n">
        <v>45414</v>
      </c>
      <c r="F374" s="24" t="n">
        <v>2</v>
      </c>
    </row>
    <row r="375" customFormat="false" ht="15.75" hidden="false" customHeight="false" outlineLevel="0" collapsed="false">
      <c r="A375" s="19" t="n">
        <v>373</v>
      </c>
      <c r="B375" s="19" t="s">
        <v>412</v>
      </c>
      <c r="C375" s="19" t="s">
        <v>522</v>
      </c>
      <c r="D375" s="22" t="str">
        <f aca="false">HYPERLINK("https://discord.com/channels/1040938900039929917/1240020555445309591", "ссылка")</f>
        <v>ссылка</v>
      </c>
      <c r="E375" s="58" t="n">
        <v>45426</v>
      </c>
      <c r="F375" s="24" t="n">
        <v>-12</v>
      </c>
    </row>
    <row r="376" customFormat="false" ht="15.75" hidden="false" customHeight="false" outlineLevel="0" collapsed="false">
      <c r="A376" s="19" t="n">
        <v>374</v>
      </c>
      <c r="B376" s="19" t="s">
        <v>88</v>
      </c>
      <c r="C376" s="19" t="s">
        <v>635</v>
      </c>
      <c r="D376" s="24" t="s">
        <v>1009</v>
      </c>
      <c r="E376" s="43" t="n">
        <v>45432</v>
      </c>
      <c r="F376" s="24" t="n">
        <v>-15</v>
      </c>
    </row>
    <row r="377" customFormat="false" ht="15.75" hidden="false" customHeight="false" outlineLevel="0" collapsed="false">
      <c r="A377" s="19" t="n">
        <v>375</v>
      </c>
      <c r="B377" s="19" t="s">
        <v>255</v>
      </c>
      <c r="C377" s="19" t="s">
        <v>454</v>
      </c>
      <c r="D377" s="22" t="str">
        <f aca="false">HYPERLINK("https://discord.com/channels/1040938900039929917/1238398544063496212", "ссылка")</f>
        <v>ссылка</v>
      </c>
      <c r="E377" s="43" t="n">
        <v>45422</v>
      </c>
      <c r="F377" s="24" t="n">
        <v>1</v>
      </c>
    </row>
    <row r="378" customFormat="false" ht="15.75" hidden="false" customHeight="false" outlineLevel="0" collapsed="false">
      <c r="A378" s="19" t="n">
        <v>376</v>
      </c>
      <c r="B378" s="19" t="s">
        <v>450</v>
      </c>
      <c r="C378" s="19" t="s">
        <v>363</v>
      </c>
      <c r="D378" s="22" t="str">
        <f aca="false">HYPERLINK("https://discord.com/channels/1040938900039929917/1242559674356596847", "ссылка")</f>
        <v>ссылка</v>
      </c>
      <c r="E378" s="43" t="n">
        <v>45437</v>
      </c>
      <c r="F378" s="24" t="n">
        <v>3</v>
      </c>
    </row>
    <row r="379" customFormat="false" ht="15.75" hidden="false" customHeight="false" outlineLevel="0" collapsed="false">
      <c r="A379" s="19" t="n">
        <v>377</v>
      </c>
      <c r="B379" s="19" t="s">
        <v>438</v>
      </c>
      <c r="C379" s="19" t="s">
        <v>522</v>
      </c>
      <c r="D379" s="22" t="str">
        <f aca="false">HYPERLINK("https://discord.com/channels/1040938900039929917/1242515289002868827", "ссылка")</f>
        <v>ссылка</v>
      </c>
      <c r="E379" s="43" t="n">
        <v>45437</v>
      </c>
      <c r="F379" s="24" t="n">
        <v>1</v>
      </c>
    </row>
    <row r="380" customFormat="false" ht="15.75" hidden="false" customHeight="false" outlineLevel="0" collapsed="false">
      <c r="A380" s="19" t="n">
        <v>378</v>
      </c>
      <c r="B380" s="19" t="s">
        <v>438</v>
      </c>
      <c r="C380" s="19" t="s">
        <v>495</v>
      </c>
      <c r="D380" s="22" t="str">
        <f aca="false">HYPERLINK("https://discord.com/channels/1040938900039929917/1242515289002868827", "ссылка")</f>
        <v>ссылка</v>
      </c>
      <c r="E380" s="43" t="n">
        <v>45437</v>
      </c>
      <c r="F380" s="24" t="n">
        <v>1</v>
      </c>
    </row>
    <row r="381" customFormat="false" ht="15.75" hidden="false" customHeight="false" outlineLevel="0" collapsed="false">
      <c r="A381" s="19" t="n">
        <v>379</v>
      </c>
      <c r="B381" s="19" t="s">
        <v>438</v>
      </c>
      <c r="C381" s="19" t="s">
        <v>266</v>
      </c>
      <c r="D381" s="22" t="str">
        <f aca="false">HYPERLINK("https://discord.com/channels/1040938900039929917/1243082570720350289", "ссылка")</f>
        <v>ссылка</v>
      </c>
      <c r="E381" s="43" t="n">
        <v>45437</v>
      </c>
      <c r="F381" s="24" t="n">
        <v>1</v>
      </c>
    </row>
    <row r="382" customFormat="false" ht="15.75" hidden="false" customHeight="false" outlineLevel="0" collapsed="false">
      <c r="A382" s="19" t="n">
        <v>380</v>
      </c>
      <c r="B382" s="19" t="s">
        <v>1010</v>
      </c>
      <c r="C382" s="19" t="s">
        <v>139</v>
      </c>
      <c r="D382" s="22" t="str">
        <f aca="false">HYPERLINK("https://discord.com/channels/1040938900039929917/1241132119733043271", "ссылка")</f>
        <v>ссылка</v>
      </c>
      <c r="E382" s="43" t="n">
        <v>45430</v>
      </c>
      <c r="F382" s="24" t="n">
        <v>3</v>
      </c>
    </row>
    <row r="383" customFormat="false" ht="15.75" hidden="false" customHeight="false" outlineLevel="0" collapsed="false">
      <c r="A383" s="19" t="n">
        <v>381</v>
      </c>
      <c r="B383" s="19" t="s">
        <v>122</v>
      </c>
      <c r="C383" s="19" t="s">
        <v>319</v>
      </c>
      <c r="D383" s="22" t="str">
        <f aca="false">HYPERLINK("https://discord.com/channels/1040938900039929917/1238577446291509268", "ссылка")</f>
        <v>ссылка</v>
      </c>
      <c r="E383" s="43" t="n">
        <v>45422</v>
      </c>
      <c r="F383" s="24" t="n">
        <v>-10</v>
      </c>
    </row>
    <row r="384" customFormat="false" ht="15.75" hidden="false" customHeight="false" outlineLevel="0" collapsed="false">
      <c r="A384" s="19" t="n">
        <v>382</v>
      </c>
      <c r="B384" s="19" t="s">
        <v>88</v>
      </c>
      <c r="C384" s="19" t="s">
        <v>428</v>
      </c>
      <c r="D384" s="22" t="str">
        <f aca="false">HYPERLINK("https://discord.com/channels/1040938900039929917/1238870767781937255", "ссылка")</f>
        <v>ссылка</v>
      </c>
      <c r="E384" s="43" t="n">
        <v>45423</v>
      </c>
      <c r="F384" s="24" t="n">
        <v>3</v>
      </c>
    </row>
    <row r="385" customFormat="false" ht="15.75" hidden="false" customHeight="false" outlineLevel="0" collapsed="false">
      <c r="A385" s="19" t="n">
        <v>383</v>
      </c>
      <c r="B385" s="19" t="s">
        <v>88</v>
      </c>
      <c r="C385" s="19" t="s">
        <v>139</v>
      </c>
      <c r="D385" s="22" t="str">
        <f aca="false">HYPERLINK("https://discord.com/channels/1040938900039929917/1238870767781937255", "ссылка")</f>
        <v>ссылка</v>
      </c>
      <c r="E385" s="43" t="n">
        <v>45423</v>
      </c>
      <c r="F385" s="24" t="n">
        <v>3</v>
      </c>
    </row>
    <row r="386" customFormat="false" ht="15.75" hidden="false" customHeight="false" outlineLevel="0" collapsed="false">
      <c r="A386" s="19" t="n">
        <v>384</v>
      </c>
      <c r="B386" s="19" t="s">
        <v>88</v>
      </c>
      <c r="C386" s="19" t="s">
        <v>653</v>
      </c>
      <c r="D386" s="24" t="s">
        <v>1011</v>
      </c>
      <c r="E386" s="43" t="n">
        <v>45439</v>
      </c>
      <c r="F386" s="24" t="n">
        <v>-15</v>
      </c>
    </row>
    <row r="387" customFormat="false" ht="15.75" hidden="false" customHeight="false" outlineLevel="0" collapsed="false">
      <c r="A387" s="19" t="n">
        <v>385</v>
      </c>
      <c r="B387" s="19" t="s">
        <v>88</v>
      </c>
      <c r="C387" s="19" t="s">
        <v>473</v>
      </c>
      <c r="D387" s="22" t="str">
        <f aca="false">HYPERLINK("https://discord.com/channels/1040938900039929917/1242587960453628034", "ссылка")</f>
        <v>ссылка</v>
      </c>
      <c r="E387" s="43" t="n">
        <v>45434</v>
      </c>
      <c r="F387" s="24" t="n">
        <v>7</v>
      </c>
    </row>
    <row r="388" customFormat="false" ht="15.75" hidden="false" customHeight="false" outlineLevel="0" collapsed="false">
      <c r="A388" s="19" t="n">
        <v>386</v>
      </c>
      <c r="B388" s="19" t="s">
        <v>473</v>
      </c>
      <c r="C388" s="19" t="s">
        <v>88</v>
      </c>
      <c r="D388" s="22" t="str">
        <f aca="false">HYPERLINK("https://discord.com/channels/1040938900039929917/1243106019723448320", "ссылка")</f>
        <v>ссылка</v>
      </c>
      <c r="E388" s="43" t="n">
        <v>45435</v>
      </c>
      <c r="F388" s="24" t="n">
        <v>3</v>
      </c>
    </row>
    <row r="389" customFormat="false" ht="15.75" hidden="false" customHeight="false" outlineLevel="0" collapsed="false">
      <c r="A389" s="19" t="n">
        <v>387</v>
      </c>
      <c r="B389" s="19" t="s">
        <v>431</v>
      </c>
      <c r="C389" s="19" t="s">
        <v>643</v>
      </c>
      <c r="D389" s="22" t="str">
        <f aca="false">HYPERLINK("https://discord.com/channels/1040938900039929917/1245411552102973521", "ссылка")</f>
        <v>ссылка</v>
      </c>
      <c r="E389" s="43" t="n">
        <v>45443</v>
      </c>
      <c r="F389" s="24" t="n">
        <v>-10</v>
      </c>
    </row>
    <row r="390" customFormat="false" ht="15.75" hidden="false" customHeight="false" outlineLevel="0" collapsed="false">
      <c r="A390" s="19" t="n">
        <v>388</v>
      </c>
      <c r="B390" s="19" t="s">
        <v>417</v>
      </c>
      <c r="C390" s="19" t="s">
        <v>443</v>
      </c>
      <c r="D390" s="22" t="str">
        <f aca="false">HYPERLINK("https://discord.com/channels/1040938900039929917/1245475464898678794", "ссылка")</f>
        <v>ссылка</v>
      </c>
      <c r="E390" s="43" t="n">
        <v>45442</v>
      </c>
      <c r="F390" s="24" t="n">
        <v>-3</v>
      </c>
    </row>
    <row r="391" customFormat="false" ht="15.75" hidden="false" customHeight="false" outlineLevel="0" collapsed="false">
      <c r="A391" s="19" t="n">
        <v>389</v>
      </c>
      <c r="B391" s="19" t="s">
        <v>16</v>
      </c>
      <c r="C391" s="19" t="s">
        <v>665</v>
      </c>
      <c r="D391" s="24" t="s">
        <v>1012</v>
      </c>
      <c r="E391" s="43" t="n">
        <v>45444</v>
      </c>
      <c r="F391" s="24" t="n">
        <v>-15</v>
      </c>
    </row>
    <row r="392" customFormat="false" ht="15.75" hidden="false" customHeight="false" outlineLevel="0" collapsed="false">
      <c r="A392" s="19" t="n">
        <v>390</v>
      </c>
      <c r="B392" s="19" t="s">
        <v>88</v>
      </c>
      <c r="C392" s="19" t="s">
        <v>671</v>
      </c>
      <c r="D392" s="24" t="s">
        <v>1003</v>
      </c>
      <c r="E392" s="43" t="n">
        <v>45445</v>
      </c>
      <c r="F392" s="24" t="n">
        <v>10</v>
      </c>
    </row>
    <row r="393" customFormat="false" ht="15.75" hidden="false" customHeight="false" outlineLevel="0" collapsed="false">
      <c r="A393" s="19" t="n">
        <v>391</v>
      </c>
      <c r="B393" s="19" t="s">
        <v>88</v>
      </c>
      <c r="C393" s="19" t="s">
        <v>673</v>
      </c>
      <c r="D393" s="24" t="s">
        <v>1003</v>
      </c>
      <c r="E393" s="43" t="n">
        <v>45445</v>
      </c>
      <c r="F393" s="24" t="n">
        <v>10</v>
      </c>
    </row>
    <row r="394" customFormat="false" ht="15.75" hidden="false" customHeight="false" outlineLevel="0" collapsed="false">
      <c r="A394" s="19" t="n">
        <v>392</v>
      </c>
      <c r="B394" s="19" t="s">
        <v>16</v>
      </c>
      <c r="C394" s="19" t="s">
        <v>495</v>
      </c>
      <c r="D394" s="22" t="str">
        <f aca="false">HYPERLINK("https://discord.com/channels/1040938900039929917/1246837088310132808/1246850235477790863", "ссылка")</f>
        <v>ссылка</v>
      </c>
      <c r="E394" s="43" t="n">
        <v>45446</v>
      </c>
      <c r="F394" s="24" t="n">
        <v>-1</v>
      </c>
    </row>
    <row r="395" customFormat="false" ht="15.75" hidden="false" customHeight="false" outlineLevel="0" collapsed="false">
      <c r="A395" s="19" t="n">
        <v>393</v>
      </c>
      <c r="B395" s="19" t="s">
        <v>16</v>
      </c>
      <c r="C395" s="19" t="s">
        <v>490</v>
      </c>
      <c r="D395" s="22" t="str">
        <f aca="false">HYPERLINK("https://discord.com/channels/1040938900039929917/1246837088310132808/1246847918539804765", "ссылка")</f>
        <v>ссылка</v>
      </c>
      <c r="E395" s="43" t="n">
        <v>45446</v>
      </c>
      <c r="F395" s="24" t="n">
        <v>-1</v>
      </c>
    </row>
    <row r="396" customFormat="false" ht="15.75" hidden="false" customHeight="false" outlineLevel="0" collapsed="false">
      <c r="A396" s="19" t="n">
        <v>394</v>
      </c>
      <c r="B396" s="19" t="s">
        <v>16</v>
      </c>
      <c r="C396" s="19" t="s">
        <v>473</v>
      </c>
      <c r="D396" s="22" t="str">
        <f aca="false">HYPERLINK("https://discord.com/channels/1040938900039929917/1246837088310132808/1246864752626368608", "ссылка")</f>
        <v>ссылка</v>
      </c>
      <c r="E396" s="43" t="n">
        <v>45446</v>
      </c>
      <c r="F396" s="24" t="n">
        <v>0</v>
      </c>
    </row>
    <row r="397" customFormat="false" ht="15.75" hidden="false" customHeight="false" outlineLevel="0" collapsed="false">
      <c r="A397" s="19" t="n">
        <v>395</v>
      </c>
      <c r="B397" s="19" t="s">
        <v>16</v>
      </c>
      <c r="C397" s="19" t="s">
        <v>475</v>
      </c>
      <c r="D397" s="22" t="str">
        <f aca="false">HYPERLINK("https://discord.com/channels/1040938900039929917/1246837088310132808/1246868913501765715", "ссылка")</f>
        <v>ссылка</v>
      </c>
      <c r="E397" s="43" t="n">
        <v>45446</v>
      </c>
      <c r="F397" s="24" t="n">
        <v>-2</v>
      </c>
    </row>
    <row r="398" customFormat="false" ht="15.75" hidden="false" customHeight="false" outlineLevel="0" collapsed="false">
      <c r="A398" s="19" t="n">
        <v>396</v>
      </c>
      <c r="B398" s="19" t="s">
        <v>16</v>
      </c>
      <c r="C398" s="19" t="s">
        <v>255</v>
      </c>
      <c r="D398" s="22" t="str">
        <f aca="false">HYPERLINK("https://discord.com/channels/1040938900039929917/1246837088310132808/1246879879971213426", "ссылка")</f>
        <v>ссылка</v>
      </c>
      <c r="E398" s="43" t="n">
        <v>45446</v>
      </c>
      <c r="F398" s="24" t="n">
        <v>-3</v>
      </c>
    </row>
    <row r="399" customFormat="false" ht="15.75" hidden="false" customHeight="false" outlineLevel="0" collapsed="false">
      <c r="A399" s="19" t="n">
        <v>397</v>
      </c>
      <c r="B399" s="19" t="s">
        <v>16</v>
      </c>
      <c r="C399" s="57" t="s">
        <v>524</v>
      </c>
      <c r="D399" s="22" t="str">
        <f aca="false">HYPERLINK("https://discord.com/channels/1040938900039929917/1246884481504116847", "ссылка")</f>
        <v>ссылка</v>
      </c>
      <c r="E399" s="43" t="n">
        <v>45447</v>
      </c>
      <c r="F399" s="24" t="n">
        <v>3</v>
      </c>
    </row>
    <row r="400" customFormat="false" ht="15.75" hidden="false" customHeight="false" outlineLevel="0" collapsed="false">
      <c r="A400" s="19" t="n">
        <v>398</v>
      </c>
      <c r="B400" s="19" t="s">
        <v>228</v>
      </c>
      <c r="C400" s="19" t="s">
        <v>645</v>
      </c>
      <c r="D400" s="22" t="str">
        <f aca="false">HYPERLINK("https://discord.com/channels/1040938900039929917/1245469448266059857", "ссылка")</f>
        <v>ссылка</v>
      </c>
      <c r="E400" s="43" t="n">
        <v>45448</v>
      </c>
      <c r="F400" s="24" t="n">
        <v>-2</v>
      </c>
    </row>
    <row r="401" customFormat="false" ht="15.75" hidden="false" customHeight="false" outlineLevel="0" collapsed="false">
      <c r="A401" s="19" t="n">
        <v>399</v>
      </c>
      <c r="B401" s="19" t="s">
        <v>228</v>
      </c>
      <c r="C401" s="19" t="s">
        <v>443</v>
      </c>
      <c r="D401" s="22" t="str">
        <f aca="false">HYPERLINK("https://discord.com/channels/1040938900039929917/1245469448266059857", "ссылка")</f>
        <v>ссылка</v>
      </c>
      <c r="E401" s="43" t="n">
        <v>45448</v>
      </c>
      <c r="F401" s="24" t="n">
        <v>-2</v>
      </c>
    </row>
    <row r="402" customFormat="false" ht="15.75" hidden="false" customHeight="false" outlineLevel="0" collapsed="false">
      <c r="A402" s="19" t="n">
        <v>400</v>
      </c>
      <c r="B402" s="19" t="s">
        <v>16</v>
      </c>
      <c r="C402" s="19" t="s">
        <v>591</v>
      </c>
      <c r="D402" s="22" t="str">
        <f aca="false">HYPERLINK("https://discord.com/channels/1040938900039929917/1247548127376838720", "ссылка")</f>
        <v>ссылка</v>
      </c>
      <c r="E402" s="43" t="n">
        <v>45449</v>
      </c>
      <c r="F402" s="24" t="n">
        <v>-4</v>
      </c>
    </row>
    <row r="403" customFormat="false" ht="15.75" hidden="false" customHeight="false" outlineLevel="0" collapsed="false">
      <c r="A403" s="19" t="n">
        <v>401</v>
      </c>
      <c r="B403" s="19" t="s">
        <v>16</v>
      </c>
      <c r="C403" s="19" t="s">
        <v>332</v>
      </c>
      <c r="D403" s="22" t="str">
        <f aca="false">HYPERLINK("https://discord.com/channels/1040938900039929917/1247552471933521971", "ссылка")</f>
        <v>ссылка</v>
      </c>
      <c r="E403" s="43" t="n">
        <v>45449</v>
      </c>
      <c r="F403" s="24" t="n">
        <v>3</v>
      </c>
    </row>
    <row r="404" customFormat="false" ht="15.75" hidden="false" customHeight="false" outlineLevel="0" collapsed="false">
      <c r="A404" s="19" t="n">
        <v>402</v>
      </c>
      <c r="B404" s="19" t="s">
        <v>16</v>
      </c>
      <c r="C404" s="19" t="s">
        <v>609</v>
      </c>
      <c r="D404" s="22" t="str">
        <f aca="false">HYPERLINK("https://discord.com/channels/1040938900039929917/1246209488076279858", "ссылка")</f>
        <v>ссылка</v>
      </c>
      <c r="E404" s="43" t="n">
        <v>45449</v>
      </c>
      <c r="F404" s="24" t="n">
        <v>5</v>
      </c>
    </row>
    <row r="405" customFormat="false" ht="15.75" hidden="false" customHeight="false" outlineLevel="0" collapsed="false">
      <c r="A405" s="19" t="n">
        <v>403</v>
      </c>
      <c r="B405" s="19" t="s">
        <v>16</v>
      </c>
      <c r="C405" s="19" t="s">
        <v>125</v>
      </c>
      <c r="D405" s="22" t="str">
        <f aca="false">HYPERLINK("https://discord.com/channels/1040938900039929917/1246209488076279858", "ссылка")</f>
        <v>ссылка</v>
      </c>
      <c r="E405" s="43" t="n">
        <v>45449</v>
      </c>
      <c r="F405" s="24" t="n">
        <v>4</v>
      </c>
    </row>
    <row r="406" customFormat="false" ht="15.75" hidden="false" customHeight="false" outlineLevel="0" collapsed="false">
      <c r="A406" s="19" t="n">
        <v>404</v>
      </c>
      <c r="B406" s="19" t="s">
        <v>16</v>
      </c>
      <c r="C406" s="19" t="s">
        <v>495</v>
      </c>
      <c r="D406" s="22" t="str">
        <f aca="false">HYPERLINK("https://discord.com/channels/1040938900039929917/1246832329465532496", "ссылка")</f>
        <v>ссылка</v>
      </c>
      <c r="E406" s="43" t="n">
        <v>45449</v>
      </c>
      <c r="F406" s="24" t="n">
        <v>5</v>
      </c>
    </row>
    <row r="407" customFormat="false" ht="15.75" hidden="false" customHeight="false" outlineLevel="0" collapsed="false">
      <c r="A407" s="19" t="n">
        <v>405</v>
      </c>
      <c r="B407" s="19" t="s">
        <v>16</v>
      </c>
      <c r="C407" s="19" t="s">
        <v>577</v>
      </c>
      <c r="D407" s="22" t="str">
        <f aca="false">HYPERLINK("https://discord.com/channels/1040938900039929917/1246832329465532496", "ссылка")</f>
        <v>ссылка</v>
      </c>
      <c r="E407" s="43" t="n">
        <v>45449</v>
      </c>
      <c r="F407" s="24" t="n">
        <v>5</v>
      </c>
    </row>
    <row r="408" customFormat="false" ht="15.75" hidden="false" customHeight="false" outlineLevel="0" collapsed="false">
      <c r="A408" s="19" t="n">
        <v>406</v>
      </c>
      <c r="B408" s="19" t="s">
        <v>16</v>
      </c>
      <c r="C408" s="19" t="s">
        <v>417</v>
      </c>
      <c r="D408" s="22" t="str">
        <f aca="false">HYPERLINK("https://discord.com/channels/1040938900039929917/1246554244618911897", "ссылка")</f>
        <v>ссылка</v>
      </c>
      <c r="E408" s="43" t="n">
        <v>45450</v>
      </c>
      <c r="F408" s="24" t="n">
        <v>3</v>
      </c>
    </row>
    <row r="409" customFormat="false" ht="15.75" hidden="false" customHeight="false" outlineLevel="0" collapsed="false">
      <c r="A409" s="19" t="n">
        <v>407</v>
      </c>
      <c r="B409" s="19" t="s">
        <v>473</v>
      </c>
      <c r="C409" s="19" t="s">
        <v>125</v>
      </c>
      <c r="D409" s="22" t="str">
        <f aca="false">HYPERLINK("https://discord.com/channels/1040938900039929917/1247057678337966192", "ссылка")</f>
        <v>ссылка</v>
      </c>
      <c r="E409" s="43" t="n">
        <v>45450</v>
      </c>
      <c r="F409" s="24" t="n">
        <v>5</v>
      </c>
    </row>
    <row r="410" customFormat="false" ht="15.75" hidden="false" customHeight="false" outlineLevel="0" collapsed="false">
      <c r="A410" s="19" t="n">
        <v>408</v>
      </c>
      <c r="B410" s="19" t="s">
        <v>473</v>
      </c>
      <c r="C410" s="19" t="s">
        <v>495</v>
      </c>
      <c r="D410" s="22" t="str">
        <f aca="false">HYPERLINK("https://discord.com/channels/1040938900039929917/1247057678337966192", "ссылка")</f>
        <v>ссылка</v>
      </c>
      <c r="E410" s="43" t="n">
        <v>45450</v>
      </c>
      <c r="F410" s="24" t="n">
        <v>4</v>
      </c>
    </row>
    <row r="411" customFormat="false" ht="15.75" hidden="false" customHeight="false" outlineLevel="0" collapsed="false">
      <c r="A411" s="19" t="n">
        <v>409</v>
      </c>
      <c r="B411" s="19" t="s">
        <v>473</v>
      </c>
      <c r="C411" s="19" t="s">
        <v>255</v>
      </c>
      <c r="D411" s="22" t="str">
        <f aca="false">HYPERLINK("https://discord.com/channels/1040938900039929917/1247057678337966192", "ссылка")</f>
        <v>ссылка</v>
      </c>
      <c r="E411" s="43" t="n">
        <v>45450</v>
      </c>
      <c r="F411" s="24" t="n">
        <v>4</v>
      </c>
    </row>
    <row r="412" customFormat="false" ht="15.75" hidden="false" customHeight="false" outlineLevel="0" collapsed="false">
      <c r="A412" s="19" t="n">
        <v>410</v>
      </c>
      <c r="B412" s="19" t="s">
        <v>473</v>
      </c>
      <c r="C412" s="19" t="s">
        <v>490</v>
      </c>
      <c r="D412" s="22" t="str">
        <f aca="false">HYPERLINK("https://discord.com/channels/1040938900039929917/1247057678337966192", "ссылка")</f>
        <v>ссылка</v>
      </c>
      <c r="E412" s="43" t="n">
        <v>45450</v>
      </c>
      <c r="F412" s="24" t="n">
        <v>5</v>
      </c>
    </row>
    <row r="413" customFormat="false" ht="15.75" hidden="false" customHeight="false" outlineLevel="0" collapsed="false">
      <c r="A413" s="19" t="n">
        <v>411</v>
      </c>
      <c r="B413" s="19" t="s">
        <v>473</v>
      </c>
      <c r="C413" s="19" t="s">
        <v>422</v>
      </c>
      <c r="D413" s="22" t="str">
        <f aca="false">HYPERLINK("https://discord.com/channels/1040938900039929917/1247057678337966192", "ссылка")</f>
        <v>ссылка</v>
      </c>
      <c r="E413" s="43" t="n">
        <v>45450</v>
      </c>
      <c r="F413" s="24" t="n">
        <v>4</v>
      </c>
    </row>
    <row r="414" customFormat="false" ht="15.75" hidden="false" customHeight="false" outlineLevel="0" collapsed="false">
      <c r="A414" s="19" t="n">
        <v>412</v>
      </c>
      <c r="B414" s="19" t="s">
        <v>475</v>
      </c>
      <c r="C414" s="19" t="s">
        <v>214</v>
      </c>
      <c r="D414" s="22" t="str">
        <f aca="false">HYPERLINK("https://discord.com/channels/1040938900039929917/1247571326202548324", "ссылка")</f>
        <v>ссылка</v>
      </c>
      <c r="E414" s="43" t="n">
        <v>45450</v>
      </c>
      <c r="F414" s="24" t="n">
        <v>2</v>
      </c>
    </row>
    <row r="415" customFormat="false" ht="15.75" hidden="false" customHeight="false" outlineLevel="0" collapsed="false">
      <c r="A415" s="19" t="n">
        <v>413</v>
      </c>
      <c r="B415" s="19" t="s">
        <v>88</v>
      </c>
      <c r="C415" s="19" t="s">
        <v>683</v>
      </c>
      <c r="D415" s="24" t="s">
        <v>1003</v>
      </c>
      <c r="E415" s="43" t="n">
        <v>45451</v>
      </c>
      <c r="F415" s="24" t="n">
        <v>10</v>
      </c>
    </row>
    <row r="416" customFormat="false" ht="15.75" hidden="false" customHeight="false" outlineLevel="0" collapsed="false">
      <c r="A416" s="19" t="n">
        <v>414</v>
      </c>
      <c r="B416" s="19" t="s">
        <v>255</v>
      </c>
      <c r="C416" s="19" t="s">
        <v>473</v>
      </c>
      <c r="D416" s="22" t="str">
        <f aca="false">HYPERLINK("https://discord.com/channels/1040938900039929917/1247904254640001138", "ссылка")</f>
        <v>ссылка</v>
      </c>
      <c r="E416" s="43" t="n">
        <v>45451</v>
      </c>
      <c r="F416" s="24" t="n">
        <v>5</v>
      </c>
    </row>
    <row r="417" customFormat="false" ht="15.75" hidden="false" customHeight="false" outlineLevel="0" collapsed="false">
      <c r="A417" s="19" t="n">
        <v>415</v>
      </c>
      <c r="B417" s="19" t="s">
        <v>100</v>
      </c>
      <c r="C417" s="19" t="s">
        <v>495</v>
      </c>
      <c r="D417" s="22" t="str">
        <f aca="false">HYPERLINK("https://discord.com/channels/1040938900039929917/1245468142227161088", "ссылка")</f>
        <v>ссылка</v>
      </c>
      <c r="E417" s="43" t="n">
        <v>45441</v>
      </c>
      <c r="F417" s="24" t="n">
        <v>3</v>
      </c>
    </row>
    <row r="418" customFormat="false" ht="15.75" hidden="false" customHeight="false" outlineLevel="0" collapsed="false">
      <c r="A418" s="19" t="n">
        <v>416</v>
      </c>
      <c r="B418" s="19" t="s">
        <v>30</v>
      </c>
      <c r="C418" s="19" t="s">
        <v>228</v>
      </c>
      <c r="D418" s="22" t="str">
        <f aca="false">HYPERLINK("https://discord.com/channels/1040938900039929917/1248013086359556178", "ссылка")</f>
        <v>ссылка</v>
      </c>
      <c r="E418" s="43" t="n">
        <v>45448</v>
      </c>
      <c r="F418" s="24" t="n">
        <v>5</v>
      </c>
    </row>
    <row r="419" customFormat="false" ht="15.75" hidden="false" customHeight="false" outlineLevel="0" collapsed="false">
      <c r="A419" s="19" t="n">
        <v>417</v>
      </c>
      <c r="B419" s="19" t="s">
        <v>30</v>
      </c>
      <c r="C419" s="19" t="s">
        <v>577</v>
      </c>
      <c r="D419" s="22" t="str">
        <f aca="false">HYPERLINK("https://discord.com/channels/1040938900039929917/1248013086359556178", "ссылка")</f>
        <v>ссылка</v>
      </c>
      <c r="E419" s="43" t="n">
        <v>45448</v>
      </c>
      <c r="F419" s="24" t="n">
        <v>3</v>
      </c>
    </row>
    <row r="420" customFormat="false" ht="15.75" hidden="false" customHeight="false" outlineLevel="0" collapsed="false">
      <c r="A420" s="19" t="n">
        <v>418</v>
      </c>
      <c r="B420" s="19" t="s">
        <v>30</v>
      </c>
      <c r="C420" s="19" t="s">
        <v>363</v>
      </c>
      <c r="D420" s="22" t="str">
        <f aca="false">HYPERLINK("https://discord.com/channels/1040938900039929917/1248013086359556178", "ссылка")</f>
        <v>ссылка</v>
      </c>
      <c r="E420" s="43" t="n">
        <v>45448</v>
      </c>
      <c r="F420" s="24" t="n">
        <v>3</v>
      </c>
    </row>
    <row r="421" customFormat="false" ht="15.75" hidden="false" customHeight="false" outlineLevel="0" collapsed="false">
      <c r="A421" s="19" t="n">
        <v>419</v>
      </c>
      <c r="B421" s="19" t="s">
        <v>30</v>
      </c>
      <c r="C421" s="19" t="s">
        <v>282</v>
      </c>
      <c r="D421" s="22" t="str">
        <f aca="false">HYPERLINK("https://discord.com/channels/1040938900039929917/1248013086359556178", "ссылка")</f>
        <v>ссылка</v>
      </c>
      <c r="E421" s="43" t="n">
        <v>45448</v>
      </c>
      <c r="F421" s="24" t="n">
        <v>2</v>
      </c>
    </row>
    <row r="422" customFormat="false" ht="15.75" hidden="false" customHeight="false" outlineLevel="0" collapsed="false">
      <c r="A422" s="19" t="n">
        <v>420</v>
      </c>
      <c r="B422" s="19" t="s">
        <v>264</v>
      </c>
      <c r="C422" s="19" t="s">
        <v>522</v>
      </c>
      <c r="D422" s="22" t="str">
        <f aca="false">HYPERLINK("https://discord.com/channels/1040938900039929917/1245821251239284747", "ссылка")</f>
        <v>ссылка</v>
      </c>
      <c r="E422" s="43" t="n">
        <v>45442</v>
      </c>
      <c r="F422" s="24" t="n">
        <v>5</v>
      </c>
    </row>
    <row r="423" customFormat="false" ht="15.75" hidden="false" customHeight="false" outlineLevel="0" collapsed="false">
      <c r="A423" s="19" t="n">
        <v>421</v>
      </c>
      <c r="B423" s="19" t="s">
        <v>488</v>
      </c>
      <c r="C423" s="19" t="s">
        <v>183</v>
      </c>
      <c r="D423" s="22" t="str">
        <f aca="false">HYPERLINK("https://discord.com/channels/1040938900039929917/1248041730058620999", "ссылка")</f>
        <v>ссылка</v>
      </c>
      <c r="E423" s="43" t="n">
        <v>45449</v>
      </c>
      <c r="F423" s="24" t="n">
        <v>-3</v>
      </c>
    </row>
    <row r="424" customFormat="false" ht="15.75" hidden="false" customHeight="false" outlineLevel="0" collapsed="false">
      <c r="A424" s="19" t="n">
        <v>422</v>
      </c>
      <c r="B424" s="19" t="s">
        <v>30</v>
      </c>
      <c r="C424" s="19" t="s">
        <v>228</v>
      </c>
      <c r="D424" s="22" t="str">
        <f aca="false">HYPERLINK("https://discord.com/channels/1040938900039929917/1248191646193942549", "ссылка")</f>
        <v>ссылка</v>
      </c>
      <c r="E424" s="43" t="n">
        <v>45449</v>
      </c>
      <c r="F424" s="24" t="n">
        <v>4</v>
      </c>
    </row>
    <row r="425" customFormat="false" ht="15.75" hidden="false" customHeight="false" outlineLevel="0" collapsed="false">
      <c r="A425" s="19" t="n">
        <v>423</v>
      </c>
      <c r="B425" s="19" t="s">
        <v>88</v>
      </c>
      <c r="C425" s="19" t="s">
        <v>151</v>
      </c>
      <c r="D425" s="22" t="str">
        <f aca="false">HYPERLINK("https://discord.com/channels/1040938900039929917/1248719882640425114", "ссылка")</f>
        <v>ссылка</v>
      </c>
      <c r="E425" s="43" t="n">
        <v>45450</v>
      </c>
      <c r="F425" s="24" t="n">
        <v>2</v>
      </c>
    </row>
    <row r="426" customFormat="false" ht="15.75" hidden="false" customHeight="false" outlineLevel="0" collapsed="false">
      <c r="A426" s="19" t="n">
        <v>424</v>
      </c>
      <c r="B426" s="19" t="s">
        <v>131</v>
      </c>
      <c r="C426" s="19" t="s">
        <v>266</v>
      </c>
      <c r="D426" s="22" t="str">
        <f aca="false">HYPERLINK("https://discord.com/channels/1040938900039929917/1248719901489889401", "ссылка")</f>
        <v>ссылка</v>
      </c>
      <c r="E426" s="43" t="n">
        <v>45450</v>
      </c>
      <c r="F426" s="24" t="n">
        <v>3</v>
      </c>
    </row>
    <row r="427" customFormat="false" ht="15.75" hidden="false" customHeight="false" outlineLevel="0" collapsed="false">
      <c r="A427" s="19" t="n">
        <v>425</v>
      </c>
      <c r="B427" s="19" t="s">
        <v>131</v>
      </c>
      <c r="C427" s="19" t="s">
        <v>647</v>
      </c>
      <c r="D427" s="22" t="str">
        <f aca="false">HYPERLINK("https://discord.com/channels/1040938900039929917/1248719901489889401", "ссылка")</f>
        <v>ссылка</v>
      </c>
      <c r="E427" s="43" t="n">
        <v>45450</v>
      </c>
      <c r="F427" s="24" t="n">
        <v>3</v>
      </c>
    </row>
    <row r="428" customFormat="false" ht="15.75" hidden="false" customHeight="false" outlineLevel="0" collapsed="false">
      <c r="A428" s="19" t="n">
        <v>426</v>
      </c>
      <c r="B428" s="19" t="s">
        <v>131</v>
      </c>
      <c r="C428" s="19" t="s">
        <v>673</v>
      </c>
      <c r="D428" s="22" t="str">
        <f aca="false">HYPERLINK("https://discord.com/channels/1040938900039929917/1248719901489889401", "ссылка")</f>
        <v>ссылка</v>
      </c>
      <c r="E428" s="43" t="n">
        <v>45450</v>
      </c>
      <c r="F428" s="24" t="n">
        <v>3</v>
      </c>
    </row>
    <row r="429" customFormat="false" ht="15.75" hidden="false" customHeight="false" outlineLevel="0" collapsed="false">
      <c r="A429" s="19" t="n">
        <v>427</v>
      </c>
      <c r="B429" s="19" t="s">
        <v>236</v>
      </c>
      <c r="C429" s="19" t="s">
        <v>178</v>
      </c>
      <c r="D429" s="22" t="str">
        <f aca="false">HYPERLINK("https://discord.com/channels/1040938900039929917/1248773619388125276", "ссылка")</f>
        <v>ссылка</v>
      </c>
      <c r="E429" s="43" t="n">
        <v>45451</v>
      </c>
      <c r="F429" s="24" t="n">
        <v>2</v>
      </c>
    </row>
    <row r="430" customFormat="false" ht="15.75" hidden="false" customHeight="false" outlineLevel="0" collapsed="false">
      <c r="A430" s="19" t="n">
        <v>428</v>
      </c>
      <c r="B430" s="19" t="s">
        <v>236</v>
      </c>
      <c r="C430" s="19" t="s">
        <v>125</v>
      </c>
      <c r="D430" s="22" t="str">
        <f aca="false">HYPERLINK("https://discord.com/channels/1040938900039929917/1248773619388125276", "ссылка")</f>
        <v>ссылка</v>
      </c>
      <c r="E430" s="43" t="n">
        <v>45451</v>
      </c>
      <c r="F430" s="24" t="n">
        <v>2</v>
      </c>
    </row>
    <row r="431" customFormat="false" ht="15.75" hidden="false" customHeight="false" outlineLevel="0" collapsed="false">
      <c r="A431" s="19" t="n">
        <v>429</v>
      </c>
      <c r="B431" s="19" t="s">
        <v>332</v>
      </c>
      <c r="C431" s="19" t="s">
        <v>434</v>
      </c>
      <c r="D431" s="22" t="str">
        <f aca="false">HYPERLINK("https://discord.com/channels/1040938900039929917/1247618749947842631", "ссылка")</f>
        <v>ссылка</v>
      </c>
      <c r="E431" s="43" t="n">
        <v>45447</v>
      </c>
      <c r="F431" s="24" t="n">
        <v>3</v>
      </c>
    </row>
    <row r="432" customFormat="false" ht="15.75" hidden="false" customHeight="false" outlineLevel="0" collapsed="false">
      <c r="A432" s="19" t="n">
        <v>430</v>
      </c>
      <c r="B432" s="19" t="s">
        <v>332</v>
      </c>
      <c r="C432" s="19" t="s">
        <v>30</v>
      </c>
      <c r="D432" s="22" t="str">
        <f aca="false">HYPERLINK("https://discord.com/channels/1040938900039929917/1247618749947842631", "ссылка")</f>
        <v>ссылка</v>
      </c>
      <c r="E432" s="43" t="n">
        <v>45447</v>
      </c>
      <c r="F432" s="24" t="n">
        <v>3</v>
      </c>
    </row>
    <row r="433" customFormat="false" ht="15.75" hidden="false" customHeight="false" outlineLevel="0" collapsed="false">
      <c r="A433" s="19" t="n">
        <v>431</v>
      </c>
      <c r="B433" s="19" t="s">
        <v>332</v>
      </c>
      <c r="C433" s="19" t="s">
        <v>671</v>
      </c>
      <c r="D433" s="22" t="str">
        <f aca="false">HYPERLINK("https://discord.com/channels/1040938900039929917/1247618749947842631", "ссылка")</f>
        <v>ссылка</v>
      </c>
      <c r="E433" s="43" t="n">
        <v>45447</v>
      </c>
      <c r="F433" s="24" t="n">
        <v>3</v>
      </c>
    </row>
    <row r="434" customFormat="false" ht="15.75" hidden="false" customHeight="false" outlineLevel="0" collapsed="false">
      <c r="A434" s="19" t="n">
        <v>432</v>
      </c>
      <c r="B434" s="19" t="s">
        <v>310</v>
      </c>
      <c r="C434" s="19" t="s">
        <v>282</v>
      </c>
      <c r="D434" s="22" t="str">
        <f aca="false">HYPERLINK("https://discord.com/channels/1040938900039929917/1247998200565072003", "ссылка")</f>
        <v>ссылка</v>
      </c>
      <c r="E434" s="43" t="n">
        <v>45448</v>
      </c>
      <c r="F434" s="24" t="n">
        <v>3</v>
      </c>
    </row>
    <row r="435" customFormat="false" ht="15.75" hidden="false" customHeight="false" outlineLevel="0" collapsed="false">
      <c r="A435" s="19" t="n">
        <v>433</v>
      </c>
      <c r="B435" s="19" t="s">
        <v>310</v>
      </c>
      <c r="C435" s="19" t="s">
        <v>655</v>
      </c>
      <c r="D435" s="22" t="str">
        <f aca="false">HYPERLINK("https://discord.com/channels/1040938900039929917/1247998200565072003", "ссылка")</f>
        <v>ссылка</v>
      </c>
      <c r="E435" s="43" t="n">
        <v>45448</v>
      </c>
      <c r="F435" s="24" t="n">
        <v>3</v>
      </c>
    </row>
    <row r="436" customFormat="false" ht="15.75" hidden="false" customHeight="false" outlineLevel="0" collapsed="false">
      <c r="A436" s="19" t="n">
        <v>434</v>
      </c>
      <c r="B436" s="19" t="s">
        <v>434</v>
      </c>
      <c r="C436" s="19" t="s">
        <v>139</v>
      </c>
      <c r="D436" s="22" t="str">
        <f aca="false">HYPERLINK("https://discord.com/channels/1040938900039929917/1246202763650666507", "ссылка")</f>
        <v>ссылка</v>
      </c>
      <c r="E436" s="43" t="n">
        <v>45443</v>
      </c>
      <c r="F436" s="24" t="n">
        <v>3</v>
      </c>
    </row>
    <row r="437" customFormat="false" ht="15.75" hidden="false" customHeight="false" outlineLevel="0" collapsed="false">
      <c r="A437" s="19" t="n">
        <v>435</v>
      </c>
      <c r="B437" s="19" t="s">
        <v>88</v>
      </c>
      <c r="C437" s="19" t="s">
        <v>655</v>
      </c>
      <c r="D437" s="22" t="str">
        <f aca="false">HYPERLINK("https://discord.com/channels/1040938900039929917/1247977760597610576", "ссылка")</f>
        <v>ссылка</v>
      </c>
      <c r="E437" s="43" t="n">
        <v>45448</v>
      </c>
      <c r="F437" s="24" t="n">
        <v>2</v>
      </c>
    </row>
    <row r="438" customFormat="false" ht="15.75" hidden="false" customHeight="false" outlineLevel="0" collapsed="false">
      <c r="A438" s="19" t="n">
        <v>436</v>
      </c>
      <c r="B438" s="19" t="s">
        <v>88</v>
      </c>
      <c r="C438" s="19" t="s">
        <v>30</v>
      </c>
      <c r="D438" s="22" t="str">
        <f aca="false">HYPERLINK("https://discord.com/channels/1040938900039929917/1247977760597610576", "ссылка")</f>
        <v>ссылка</v>
      </c>
      <c r="E438" s="43" t="n">
        <v>45448</v>
      </c>
      <c r="F438" s="24" t="n">
        <v>2</v>
      </c>
    </row>
    <row r="439" customFormat="false" ht="15.75" hidden="false" customHeight="false" outlineLevel="0" collapsed="false">
      <c r="A439" s="19" t="n">
        <v>437</v>
      </c>
      <c r="B439" s="19" t="s">
        <v>88</v>
      </c>
      <c r="C439" s="19" t="s">
        <v>428</v>
      </c>
      <c r="D439" s="22" t="str">
        <f aca="false">HYPERLINK("https://discord.com/channels/1040938900039929917/1247977760597610576", "ссылка")</f>
        <v>ссылка</v>
      </c>
      <c r="E439" s="43" t="n">
        <v>45448</v>
      </c>
      <c r="F439" s="24" t="n">
        <v>1</v>
      </c>
    </row>
    <row r="440" customFormat="false" ht="15.75" hidden="false" customHeight="false" outlineLevel="0" collapsed="false">
      <c r="A440" s="19" t="n">
        <v>438</v>
      </c>
      <c r="B440" s="19" t="s">
        <v>88</v>
      </c>
      <c r="C440" s="19" t="s">
        <v>618</v>
      </c>
      <c r="D440" s="22" t="str">
        <f aca="false">HYPERLINK("https://discord.com/channels/1040938900039929917/1247977760597610576", "ссылка")</f>
        <v>ссылка</v>
      </c>
      <c r="E440" s="43" t="n">
        <v>45448</v>
      </c>
      <c r="F440" s="24" t="n">
        <v>3</v>
      </c>
    </row>
    <row r="441" customFormat="false" ht="15.75" hidden="false" customHeight="false" outlineLevel="0" collapsed="false">
      <c r="A441" s="19" t="n">
        <v>439</v>
      </c>
      <c r="B441" s="19" t="s">
        <v>228</v>
      </c>
      <c r="C441" s="19" t="s">
        <v>30</v>
      </c>
      <c r="D441" s="22" t="str">
        <f aca="false">HYPERLINK("https://discord.com/channels/1040938900039929917/1248100866599293059", "ссылка")</f>
        <v>ссылка</v>
      </c>
      <c r="E441" s="43" t="n">
        <v>45449</v>
      </c>
      <c r="F441" s="24" t="n">
        <v>4</v>
      </c>
    </row>
    <row r="442" customFormat="false" ht="15.75" hidden="false" customHeight="false" outlineLevel="0" collapsed="false">
      <c r="A442" s="19" t="n">
        <v>440</v>
      </c>
      <c r="B442" s="19" t="s">
        <v>495</v>
      </c>
      <c r="C442" s="19" t="s">
        <v>332</v>
      </c>
      <c r="D442" s="22" t="str">
        <f aca="false">HYPERLINK("https://discord.com/channels/1040938900039929917/1247931413177569334", "ссылка")</f>
        <v>ссылка</v>
      </c>
      <c r="E442" s="43" t="n">
        <v>45448</v>
      </c>
      <c r="F442" s="24" t="n">
        <v>2</v>
      </c>
    </row>
    <row r="443" customFormat="false" ht="15.75" hidden="false" customHeight="false" outlineLevel="0" collapsed="false">
      <c r="A443" s="19" t="n">
        <v>441</v>
      </c>
      <c r="B443" s="19" t="s">
        <v>671</v>
      </c>
      <c r="C443" s="19" t="s">
        <v>609</v>
      </c>
      <c r="D443" s="22" t="str">
        <f aca="false">HYPERLINK("https://discord.com/channels/1040938900039929917/1247574646468116551", "ссылка")</f>
        <v>ссылка</v>
      </c>
      <c r="E443" s="43" t="n">
        <v>45447</v>
      </c>
      <c r="F443" s="24" t="n">
        <v>3</v>
      </c>
    </row>
    <row r="444" customFormat="false" ht="15.75" hidden="false" customHeight="false" outlineLevel="0" collapsed="false">
      <c r="A444" s="19" t="n">
        <v>442</v>
      </c>
      <c r="B444" s="19" t="s">
        <v>397</v>
      </c>
      <c r="C444" s="19" t="s">
        <v>310</v>
      </c>
      <c r="D444" s="22" t="str">
        <f aca="false">HYPERLINK("https://discord.com/channels/1040938900039929917/1249039713726238720", "ссылка")</f>
        <v>ссылка</v>
      </c>
      <c r="E444" s="43" t="n">
        <v>45451</v>
      </c>
      <c r="F444" s="24" t="n">
        <v>5</v>
      </c>
    </row>
    <row r="445" customFormat="false" ht="15.75" hidden="false" customHeight="false" outlineLevel="0" collapsed="false">
      <c r="A445" s="19" t="n">
        <v>443</v>
      </c>
      <c r="B445" s="19" t="s">
        <v>30</v>
      </c>
      <c r="C445" s="19" t="s">
        <v>122</v>
      </c>
      <c r="D445" s="22" t="str">
        <f aca="false">HYPERLINK("https://discord.com/channels/1040938900039929917/1249112857480527942", "ссылка")</f>
        <v>ссылка</v>
      </c>
      <c r="E445" s="43" t="n">
        <v>45452</v>
      </c>
      <c r="F445" s="24" t="n">
        <v>3</v>
      </c>
    </row>
    <row r="446" customFormat="false" ht="15.75" hidden="false" customHeight="false" outlineLevel="0" collapsed="false">
      <c r="A446" s="19" t="n">
        <v>444</v>
      </c>
      <c r="B446" s="19" t="s">
        <v>30</v>
      </c>
      <c r="C446" s="19" t="s">
        <v>310</v>
      </c>
      <c r="D446" s="22" t="str">
        <f aca="false">HYPERLINK("https://discord.com/channels/1040938900039929917/1249112857480527942", "ссылка")</f>
        <v>ссылка</v>
      </c>
      <c r="E446" s="43" t="n">
        <v>45452</v>
      </c>
      <c r="F446" s="24" t="n">
        <v>1</v>
      </c>
    </row>
    <row r="447" customFormat="false" ht="15.75" hidden="false" customHeight="false" outlineLevel="0" collapsed="false">
      <c r="A447" s="19" t="n">
        <v>445</v>
      </c>
      <c r="B447" s="19" t="s">
        <v>30</v>
      </c>
      <c r="C447" s="19" t="s">
        <v>228</v>
      </c>
      <c r="D447" s="22" t="str">
        <f aca="false">HYPERLINK("https://discord.com/channels/1040938900039929917/1249112857480527942", "ссылка")</f>
        <v>ссылка</v>
      </c>
      <c r="E447" s="43" t="n">
        <v>45452</v>
      </c>
      <c r="F447" s="24" t="n">
        <v>1</v>
      </c>
    </row>
    <row r="448" customFormat="false" ht="15.75" hidden="false" customHeight="false" outlineLevel="0" collapsed="false">
      <c r="A448" s="19" t="n">
        <v>446</v>
      </c>
      <c r="B448" s="19" t="s">
        <v>30</v>
      </c>
      <c r="C448" s="19" t="s">
        <v>151</v>
      </c>
      <c r="D448" s="22" t="str">
        <f aca="false">HYPERLINK("https://discord.com/channels/1040938900039929917/1249112857480527942", "ссылка")</f>
        <v>ссылка</v>
      </c>
      <c r="E448" s="43" t="n">
        <v>45452</v>
      </c>
      <c r="F448" s="24" t="n">
        <v>3</v>
      </c>
    </row>
    <row r="449" customFormat="false" ht="15.75" hidden="false" customHeight="false" outlineLevel="0" collapsed="false">
      <c r="A449" s="19" t="n">
        <v>447</v>
      </c>
      <c r="B449" s="19" t="s">
        <v>228</v>
      </c>
      <c r="C449" s="19" t="s">
        <v>30</v>
      </c>
      <c r="D449" s="22" t="str">
        <f aca="false">HYPERLINK("https://discord.com/channels/1040938900039929917/1249111118970884196", "ссылка")</f>
        <v>ссылка</v>
      </c>
      <c r="E449" s="43" t="n">
        <v>45452</v>
      </c>
      <c r="F449" s="24" t="n">
        <v>5</v>
      </c>
    </row>
    <row r="450" customFormat="false" ht="15.75" hidden="false" customHeight="false" outlineLevel="0" collapsed="false">
      <c r="A450" s="19" t="n">
        <v>448</v>
      </c>
      <c r="B450" s="19" t="s">
        <v>88</v>
      </c>
      <c r="C450" s="19" t="s">
        <v>692</v>
      </c>
      <c r="D450" s="24" t="s">
        <v>1003</v>
      </c>
      <c r="E450" s="43" t="n">
        <v>45454</v>
      </c>
      <c r="F450" s="24" t="n">
        <v>10</v>
      </c>
    </row>
    <row r="451" customFormat="false" ht="15.75" hidden="false" customHeight="false" outlineLevel="0" collapsed="false">
      <c r="A451" s="19" t="n">
        <v>449</v>
      </c>
      <c r="B451" s="19" t="s">
        <v>88</v>
      </c>
      <c r="C451" s="19" t="s">
        <v>698</v>
      </c>
      <c r="D451" s="24" t="s">
        <v>1003</v>
      </c>
      <c r="E451" s="43" t="n">
        <v>45457</v>
      </c>
      <c r="F451" s="24" t="n">
        <v>10</v>
      </c>
    </row>
    <row r="452" customFormat="false" ht="15.75" hidden="false" customHeight="false" outlineLevel="0" collapsed="false">
      <c r="A452" s="19" t="n">
        <v>450</v>
      </c>
      <c r="B452" s="19" t="s">
        <v>16</v>
      </c>
      <c r="C452" s="19" t="s">
        <v>522</v>
      </c>
      <c r="D452" s="22" t="str">
        <f aca="false">HYPERLINK("https://discord.com/channels/1040938900039929917/1249108363023876217", "ссылка")</f>
        <v>ссылка</v>
      </c>
      <c r="E452" s="43" t="n">
        <v>45457</v>
      </c>
      <c r="F452" s="24" t="n">
        <v>-5</v>
      </c>
    </row>
    <row r="453" customFormat="false" ht="15.75" hidden="false" customHeight="false" outlineLevel="0" collapsed="false">
      <c r="A453" s="19" t="n">
        <v>451</v>
      </c>
      <c r="B453" s="19" t="s">
        <v>16</v>
      </c>
      <c r="C453" s="19" t="s">
        <v>609</v>
      </c>
      <c r="D453" s="22" t="str">
        <f aca="false">HYPERLINK("https://discord.com/channels/1040938900039929917/1249473493460975676", "ссылка")</f>
        <v>ссылка</v>
      </c>
      <c r="E453" s="43" t="n">
        <v>45457</v>
      </c>
      <c r="F453" s="24" t="n">
        <v>3</v>
      </c>
    </row>
    <row r="454" customFormat="false" ht="15.75" hidden="false" customHeight="false" outlineLevel="0" collapsed="false">
      <c r="A454" s="19" t="n">
        <v>452</v>
      </c>
      <c r="B454" s="19" t="s">
        <v>16</v>
      </c>
      <c r="C454" s="19" t="s">
        <v>431</v>
      </c>
      <c r="D454" s="22" t="str">
        <f aca="false">HYPERLINK("https://discord.com/channels/1040938900039929917/1249072550701695047", "ссылка")</f>
        <v>ссылка</v>
      </c>
      <c r="E454" s="43" t="n">
        <v>45457</v>
      </c>
      <c r="F454" s="24" t="n">
        <v>2</v>
      </c>
    </row>
    <row r="455" customFormat="false" ht="15.75" hidden="false" customHeight="false" outlineLevel="0" collapsed="false">
      <c r="A455" s="19" t="n">
        <v>453</v>
      </c>
      <c r="B455" s="19" t="s">
        <v>16</v>
      </c>
      <c r="C455" s="19" t="s">
        <v>190</v>
      </c>
      <c r="D455" s="22" t="str">
        <f aca="false">HYPERLINK("https://discord.com/channels/1040938900039929917/1249473493460975676", "ссылка")</f>
        <v>ссылка</v>
      </c>
      <c r="E455" s="59" t="n">
        <v>45457</v>
      </c>
      <c r="F455" s="24" t="n">
        <v>2</v>
      </c>
    </row>
    <row r="456" customFormat="false" ht="15.75" hidden="false" customHeight="false" outlineLevel="0" collapsed="false">
      <c r="A456" s="19" t="n">
        <v>454</v>
      </c>
      <c r="B456" s="19" t="s">
        <v>16</v>
      </c>
      <c r="C456" s="19" t="s">
        <v>178</v>
      </c>
      <c r="D456" s="22" t="str">
        <f aca="false">HYPERLINK("https://discord.com/channels/1040938900039929917/1249473493460975676", "ссылка")</f>
        <v>ссылка</v>
      </c>
      <c r="E456" s="43" t="n">
        <v>45457</v>
      </c>
      <c r="F456" s="24" t="n">
        <v>5</v>
      </c>
    </row>
    <row r="457" customFormat="false" ht="15.75" hidden="false" customHeight="false" outlineLevel="0" collapsed="false">
      <c r="A457" s="19" t="n">
        <v>455</v>
      </c>
      <c r="B457" s="19" t="s">
        <v>88</v>
      </c>
      <c r="C457" s="19" t="s">
        <v>704</v>
      </c>
      <c r="D457" s="24" t="s">
        <v>1013</v>
      </c>
      <c r="E457" s="43" t="n">
        <v>45458</v>
      </c>
      <c r="F457" s="24" t="n">
        <v>-15</v>
      </c>
    </row>
    <row r="458" customFormat="false" ht="15.75" hidden="false" customHeight="false" outlineLevel="0" collapsed="false">
      <c r="A458" s="19" t="n">
        <v>456</v>
      </c>
      <c r="B458" s="19" t="s">
        <v>88</v>
      </c>
      <c r="C458" s="19" t="s">
        <v>694</v>
      </c>
      <c r="D458" s="24" t="s">
        <v>1014</v>
      </c>
      <c r="E458" s="43" t="n">
        <v>45459</v>
      </c>
      <c r="F458" s="24" t="n">
        <v>-40</v>
      </c>
    </row>
    <row r="459" customFormat="false" ht="15.75" hidden="false" customHeight="false" outlineLevel="0" collapsed="false">
      <c r="A459" s="19" t="n">
        <v>457</v>
      </c>
      <c r="B459" s="19" t="s">
        <v>88</v>
      </c>
      <c r="C459" s="19" t="s">
        <v>706</v>
      </c>
      <c r="D459" s="24" t="s">
        <v>1003</v>
      </c>
      <c r="E459" s="43" t="n">
        <v>45460</v>
      </c>
      <c r="F459" s="24" t="n">
        <v>10</v>
      </c>
    </row>
    <row r="460" customFormat="false" ht="15.75" hidden="false" customHeight="false" outlineLevel="0" collapsed="false">
      <c r="A460" s="19" t="n">
        <v>458</v>
      </c>
      <c r="B460" s="19" t="s">
        <v>88</v>
      </c>
      <c r="C460" s="19" t="s">
        <v>700</v>
      </c>
      <c r="D460" s="24" t="s">
        <v>1003</v>
      </c>
      <c r="E460" s="43" t="n">
        <v>45460</v>
      </c>
      <c r="F460" s="24" t="n">
        <v>10</v>
      </c>
    </row>
    <row r="461" customFormat="false" ht="15.75" hidden="false" customHeight="false" outlineLevel="0" collapsed="false">
      <c r="A461" s="19" t="n">
        <v>459</v>
      </c>
      <c r="B461" s="19" t="s">
        <v>122</v>
      </c>
      <c r="C461" s="19" t="s">
        <v>626</v>
      </c>
      <c r="D461" s="22" t="str">
        <f aca="false">HYPERLINK("https://discord.com/channels/1040938900039929917/1251647680858296394", "ссылка")</f>
        <v>ссылка</v>
      </c>
      <c r="E461" s="43" t="n">
        <v>45461</v>
      </c>
      <c r="F461" s="24" t="n">
        <v>0</v>
      </c>
    </row>
    <row r="462" customFormat="false" ht="15.75" hidden="false" customHeight="false" outlineLevel="0" collapsed="false">
      <c r="A462" s="19" t="n">
        <v>460</v>
      </c>
      <c r="B462" s="19" t="s">
        <v>30</v>
      </c>
      <c r="C462" s="19" t="s">
        <v>671</v>
      </c>
      <c r="D462" s="22" t="str">
        <f aca="false">HYPERLINK("https://discord.com/channels/1040938900039929917/1251874631619444767", "ссылка")</f>
        <v>ссылка</v>
      </c>
      <c r="E462" s="43" t="n">
        <v>45461</v>
      </c>
      <c r="F462" s="24" t="n">
        <v>5</v>
      </c>
    </row>
    <row r="463" customFormat="false" ht="15.75" hidden="false" customHeight="false" outlineLevel="0" collapsed="false">
      <c r="A463" s="19" t="n">
        <v>461</v>
      </c>
      <c r="B463" s="19" t="s">
        <v>30</v>
      </c>
      <c r="C463" s="19" t="s">
        <v>268</v>
      </c>
      <c r="D463" s="22" t="str">
        <f aca="false">HYPERLINK("https://discord.com/channels/1040938900039929917/1251874631619444767", "ссылка")</f>
        <v>ссылка</v>
      </c>
      <c r="E463" s="43" t="n">
        <v>45461</v>
      </c>
      <c r="F463" s="24" t="n">
        <v>3</v>
      </c>
    </row>
    <row r="464" customFormat="false" ht="15.75" hidden="false" customHeight="false" outlineLevel="0" collapsed="false">
      <c r="A464" s="19" t="n">
        <v>462</v>
      </c>
      <c r="B464" s="19" t="s">
        <v>125</v>
      </c>
      <c r="C464" s="19" t="s">
        <v>618</v>
      </c>
      <c r="D464" s="22" t="str">
        <f aca="false">HYPERLINK("https://discord.com/channels/1040938900039929917/1250422920220770376", "ссылка")</f>
        <v>ссылка</v>
      </c>
      <c r="E464" s="43" t="n">
        <v>45461</v>
      </c>
      <c r="F464" s="24" t="n">
        <v>3</v>
      </c>
    </row>
    <row r="465" customFormat="false" ht="15.75" hidden="false" customHeight="false" outlineLevel="0" collapsed="false">
      <c r="A465" s="19" t="n">
        <v>463</v>
      </c>
      <c r="B465" s="19" t="s">
        <v>125</v>
      </c>
      <c r="C465" s="19" t="s">
        <v>326</v>
      </c>
      <c r="D465" s="22" t="str">
        <f aca="false">HYPERLINK("https://discord.com/channels/1040938900039929917/1250422920220770376", "ссылка")</f>
        <v>ссылка</v>
      </c>
      <c r="E465" s="43" t="n">
        <v>45461</v>
      </c>
      <c r="F465" s="24" t="n">
        <v>3</v>
      </c>
    </row>
    <row r="466" customFormat="false" ht="15.75" hidden="false" customHeight="false" outlineLevel="0" collapsed="false">
      <c r="A466" s="19" t="n">
        <v>464</v>
      </c>
      <c r="B466" s="19" t="s">
        <v>125</v>
      </c>
      <c r="C466" s="19" t="s">
        <v>431</v>
      </c>
      <c r="D466" s="22" t="str">
        <f aca="false">HYPERLINK("https://discord.com/channels/1040938900039929917/1250422920220770376", "ссылка")</f>
        <v>ссылка</v>
      </c>
      <c r="E466" s="43" t="n">
        <v>45461</v>
      </c>
      <c r="F466" s="24" t="n">
        <v>3</v>
      </c>
    </row>
    <row r="467" customFormat="false" ht="15.75" hidden="false" customHeight="false" outlineLevel="0" collapsed="false">
      <c r="A467" s="19" t="n">
        <v>465</v>
      </c>
      <c r="B467" s="19" t="s">
        <v>422</v>
      </c>
      <c r="C467" s="19" t="s">
        <v>671</v>
      </c>
      <c r="D467" s="22" t="str">
        <f aca="false">HYPERLINK("https://discord.com/channels/1040938900039929917/1251962093507182612", "ссылка")</f>
        <v>ссылка</v>
      </c>
      <c r="E467" s="43" t="n">
        <v>45461</v>
      </c>
      <c r="F467" s="24" t="n">
        <v>-4</v>
      </c>
    </row>
    <row r="468" customFormat="false" ht="15.75" hidden="false" customHeight="false" outlineLevel="0" collapsed="false">
      <c r="A468" s="19" t="n">
        <v>466</v>
      </c>
      <c r="B468" s="19" t="s">
        <v>490</v>
      </c>
      <c r="C468" s="19" t="s">
        <v>228</v>
      </c>
      <c r="D468" s="22" t="str">
        <f aca="false">HYPERLINK("https://discord.com/channels/1040938900039929917/1251812889510019114", "ссылка")</f>
        <v>ссылка</v>
      </c>
      <c r="E468" s="43" t="n">
        <v>45461</v>
      </c>
      <c r="F468" s="24" t="n">
        <v>5</v>
      </c>
    </row>
    <row r="469" customFormat="false" ht="15.75" hidden="false" customHeight="false" outlineLevel="0" collapsed="false">
      <c r="A469" s="19" t="n">
        <v>467</v>
      </c>
      <c r="B469" s="19" t="s">
        <v>671</v>
      </c>
      <c r="C469" s="19" t="s">
        <v>30</v>
      </c>
      <c r="D469" s="22" t="str">
        <f aca="false">HYPERLINK("https://discord.com/channels/1040938900039929917/1251897221805506594", "ссылка")</f>
        <v>ссылка</v>
      </c>
      <c r="E469" s="43" t="n">
        <v>45461</v>
      </c>
      <c r="F469" s="24" t="n">
        <v>5</v>
      </c>
    </row>
    <row r="470" customFormat="false" ht="15.75" hidden="false" customHeight="false" outlineLevel="0" collapsed="false">
      <c r="A470" s="19" t="n">
        <v>468</v>
      </c>
      <c r="B470" s="19" t="s">
        <v>671</v>
      </c>
      <c r="C470" s="19" t="s">
        <v>100</v>
      </c>
      <c r="D470" s="22" t="str">
        <f aca="false">HYPERLINK("https://discord.com/channels/1040938900039929917/1251897221805506594", "ссылка")</f>
        <v>ссылка</v>
      </c>
      <c r="E470" s="43" t="n">
        <v>45461</v>
      </c>
      <c r="F470" s="24" t="n">
        <v>2</v>
      </c>
    </row>
    <row r="471" customFormat="false" ht="15.75" hidden="false" customHeight="false" outlineLevel="0" collapsed="false">
      <c r="A471" s="19" t="n">
        <v>469</v>
      </c>
      <c r="B471" s="19" t="s">
        <v>618</v>
      </c>
      <c r="C471" s="19" t="s">
        <v>641</v>
      </c>
      <c r="D471" s="22" t="str">
        <f aca="false">HYPERLINK("https://discord.com/channels/1040938900039929917/1250458163862573118", "ссылка")</f>
        <v>ссылка</v>
      </c>
      <c r="E471" s="43" t="n">
        <v>45461</v>
      </c>
      <c r="F471" s="24" t="n">
        <v>2</v>
      </c>
    </row>
    <row r="472" customFormat="false" ht="15.75" hidden="false" customHeight="false" outlineLevel="0" collapsed="false">
      <c r="A472" s="19" t="n">
        <v>470</v>
      </c>
      <c r="B472" s="19" t="s">
        <v>618</v>
      </c>
      <c r="C472" s="19" t="s">
        <v>389</v>
      </c>
      <c r="D472" s="22" t="str">
        <f aca="false">HYPERLINK("https://discord.com/channels/1040938900039929917/1250458163862573118", "ссылка")</f>
        <v>ссылка</v>
      </c>
      <c r="E472" s="43" t="n">
        <v>45461</v>
      </c>
      <c r="F472" s="24" t="n">
        <v>1</v>
      </c>
    </row>
    <row r="473" customFormat="false" ht="15.75" hidden="false" customHeight="false" outlineLevel="0" collapsed="false">
      <c r="A473" s="19" t="n">
        <v>471</v>
      </c>
      <c r="B473" s="19" t="s">
        <v>88</v>
      </c>
      <c r="C473" s="19" t="s">
        <v>711</v>
      </c>
      <c r="D473" s="24" t="s">
        <v>1003</v>
      </c>
      <c r="E473" s="43" t="n">
        <v>45461</v>
      </c>
      <c r="F473" s="24" t="n">
        <v>10</v>
      </c>
    </row>
    <row r="474" customFormat="false" ht="15.75" hidden="false" customHeight="false" outlineLevel="0" collapsed="false">
      <c r="A474" s="19" t="n">
        <v>472</v>
      </c>
      <c r="B474" s="19"/>
      <c r="C474" s="19" t="s">
        <v>641</v>
      </c>
      <c r="D474" s="22" t="str">
        <f aca="false">HYPERLINK("https://discord.com/channels/1040938900039929917/1251231399369773156", "ссылка")</f>
        <v>ссылка</v>
      </c>
      <c r="E474" s="43" t="n">
        <v>45457</v>
      </c>
      <c r="F474" s="24" t="n">
        <v>2</v>
      </c>
    </row>
    <row r="475" customFormat="false" ht="15.75" hidden="false" customHeight="false" outlineLevel="0" collapsed="false">
      <c r="A475" s="19" t="n">
        <v>473</v>
      </c>
      <c r="B475" s="19" t="s">
        <v>490</v>
      </c>
      <c r="C475" s="19" t="s">
        <v>88</v>
      </c>
      <c r="D475" s="22" t="str">
        <f aca="false">HYPERLINK("https://discord.com/channels/1040938900039929917/1251176000742625371", "ссылка")</f>
        <v>ссылка</v>
      </c>
      <c r="E475" s="43" t="n">
        <v>45457</v>
      </c>
      <c r="F475" s="24" t="n">
        <v>5</v>
      </c>
    </row>
    <row r="476" customFormat="false" ht="15.75" hidden="false" customHeight="false" outlineLevel="0" collapsed="false">
      <c r="A476" s="19" t="n">
        <v>474</v>
      </c>
      <c r="B476" s="19" t="s">
        <v>88</v>
      </c>
      <c r="C476" s="19" t="s">
        <v>490</v>
      </c>
      <c r="D476" s="22" t="str">
        <f aca="false">HYPERLINK("https://discord.com/channels/1040938900039929917/1251168438563377263", "ссылка")</f>
        <v>ссылка</v>
      </c>
      <c r="E476" s="43" t="n">
        <v>45457</v>
      </c>
      <c r="F476" s="24" t="n">
        <v>4</v>
      </c>
    </row>
    <row r="477" customFormat="false" ht="15.75" hidden="false" customHeight="false" outlineLevel="0" collapsed="false">
      <c r="A477" s="19" t="n">
        <v>475</v>
      </c>
      <c r="B477" s="19" t="s">
        <v>374</v>
      </c>
      <c r="C477" s="19" t="s">
        <v>321</v>
      </c>
      <c r="D477" s="22" t="str">
        <f aca="false">HYPERLINK("https://discord.com/channels/1040938900039929917/1251264801707917373", "ссылка")</f>
        <v>ссылка</v>
      </c>
      <c r="E477" s="43" t="n">
        <v>45457</v>
      </c>
      <c r="F477" s="24" t="n">
        <v>5</v>
      </c>
    </row>
    <row r="478" customFormat="false" ht="15.75" hidden="false" customHeight="false" outlineLevel="0" collapsed="false">
      <c r="A478" s="19" t="n">
        <v>476</v>
      </c>
      <c r="B478" s="19" t="s">
        <v>374</v>
      </c>
      <c r="C478" s="19" t="s">
        <v>178</v>
      </c>
      <c r="D478" s="22" t="str">
        <f aca="false">HYPERLINK("https://discord.com/channels/1040938900039929917/1251264801707917373", "ссылка")</f>
        <v>ссылка</v>
      </c>
      <c r="E478" s="43" t="n">
        <v>45457</v>
      </c>
      <c r="F478" s="24" t="n">
        <v>3</v>
      </c>
    </row>
    <row r="479" customFormat="false" ht="15.75" hidden="false" customHeight="false" outlineLevel="0" collapsed="false">
      <c r="A479" s="19" t="n">
        <v>477</v>
      </c>
      <c r="B479" s="19" t="s">
        <v>374</v>
      </c>
      <c r="C479" s="19" t="s">
        <v>255</v>
      </c>
      <c r="D479" s="22" t="str">
        <f aca="false">HYPERLINK("https://discord.com/channels/1040938900039929917/1251264801707917373", "ссылка")</f>
        <v>ссылка</v>
      </c>
      <c r="E479" s="43" t="n">
        <v>45457</v>
      </c>
      <c r="F479" s="24" t="n">
        <v>4</v>
      </c>
    </row>
    <row r="480" customFormat="false" ht="15.75" hidden="false" customHeight="false" outlineLevel="0" collapsed="false">
      <c r="A480" s="19" t="n">
        <v>478</v>
      </c>
      <c r="B480" s="19" t="s">
        <v>374</v>
      </c>
      <c r="C480" s="19" t="s">
        <v>125</v>
      </c>
      <c r="D480" s="22" t="str">
        <f aca="false">HYPERLINK("https://discord.com/channels/1040938900039929917/1251264801707917373", "ссылка")</f>
        <v>ссылка</v>
      </c>
      <c r="E480" s="43" t="n">
        <v>45457</v>
      </c>
      <c r="F480" s="24" t="n">
        <v>2</v>
      </c>
    </row>
    <row r="481" customFormat="false" ht="15.75" hidden="false" customHeight="false" outlineLevel="0" collapsed="false">
      <c r="A481" s="19" t="n">
        <v>479</v>
      </c>
      <c r="B481" s="19" t="s">
        <v>255</v>
      </c>
      <c r="C481" s="19" t="s">
        <v>374</v>
      </c>
      <c r="D481" s="22" t="str">
        <f aca="false">HYPERLINK("https://discord.com/channels/1040938900039929917/1251420447590056008", "ссылка")</f>
        <v>ссылка</v>
      </c>
      <c r="E481" s="43" t="n">
        <v>45458</v>
      </c>
      <c r="F481" s="24" t="n">
        <v>5</v>
      </c>
    </row>
    <row r="482" customFormat="false" ht="15.75" hidden="false" customHeight="false" outlineLevel="0" collapsed="false">
      <c r="A482" s="19" t="n">
        <v>480</v>
      </c>
      <c r="B482" s="19" t="s">
        <v>16</v>
      </c>
      <c r="C482" s="19" t="s">
        <v>178</v>
      </c>
      <c r="D482" s="22" t="str">
        <f aca="false">HYPERLINK("https://discord.com/channels/1040938900039929917/1251583578421198951", "ссылка")</f>
        <v>ссылка</v>
      </c>
      <c r="E482" s="43" t="n">
        <v>45463</v>
      </c>
      <c r="F482" s="24" t="n">
        <v>-2</v>
      </c>
    </row>
    <row r="483" customFormat="false" ht="15.75" hidden="false" customHeight="false" outlineLevel="0" collapsed="false">
      <c r="A483" s="19" t="n">
        <v>481</v>
      </c>
      <c r="B483" s="19" t="s">
        <v>16</v>
      </c>
      <c r="C483" s="19" t="s">
        <v>495</v>
      </c>
      <c r="D483" s="22" t="str">
        <f aca="false">HYPERLINK("https://discord.com/channels/1040938900039929917/1252333077573926982", "ссылка")</f>
        <v>ссылка</v>
      </c>
      <c r="E483" s="43" t="n">
        <v>45465</v>
      </c>
      <c r="F483" s="24" t="n">
        <v>5</v>
      </c>
    </row>
    <row r="484" customFormat="false" ht="15.75" hidden="false" customHeight="false" outlineLevel="0" collapsed="false">
      <c r="A484" s="19" t="n">
        <v>482</v>
      </c>
      <c r="B484" s="19" t="s">
        <v>16</v>
      </c>
      <c r="C484" s="19" t="s">
        <v>577</v>
      </c>
      <c r="D484" s="22" t="str">
        <f aca="false">HYPERLINK("https://discord.com/channels/1040938900039929917/1252333077573926982", "ссылка")</f>
        <v>ссылка</v>
      </c>
      <c r="E484" s="43" t="n">
        <v>45465</v>
      </c>
      <c r="F484" s="24" t="n">
        <v>2</v>
      </c>
    </row>
    <row r="485" customFormat="false" ht="15.75" hidden="false" customHeight="false" outlineLevel="0" collapsed="false">
      <c r="A485" s="19" t="n">
        <v>483</v>
      </c>
      <c r="B485" s="19" t="s">
        <v>16</v>
      </c>
      <c r="C485" s="19" t="s">
        <v>310</v>
      </c>
      <c r="D485" s="22" t="str">
        <f aca="false">HYPERLINK("https://discord.com/channels/1040938900039929917/1252333077573926982", "ссылка")</f>
        <v>ссылка</v>
      </c>
      <c r="E485" s="43" t="n">
        <v>45465</v>
      </c>
      <c r="F485" s="24" t="n">
        <v>1</v>
      </c>
    </row>
    <row r="486" customFormat="false" ht="15.75" hidden="false" customHeight="false" outlineLevel="0" collapsed="false">
      <c r="A486" s="19" t="n">
        <v>484</v>
      </c>
      <c r="B486" s="19" t="s">
        <v>16</v>
      </c>
      <c r="C486" s="19" t="s">
        <v>546</v>
      </c>
      <c r="D486" s="22" t="str">
        <f aca="false">HYPERLINK("https://discord.com/channels/1040938900039929917/1252333077573926982", "ссылка")</f>
        <v>ссылка</v>
      </c>
      <c r="E486" s="43" t="n">
        <v>45465</v>
      </c>
      <c r="F486" s="24" t="n">
        <v>1</v>
      </c>
    </row>
    <row r="487" customFormat="false" ht="15.75" hidden="false" customHeight="false" outlineLevel="0" collapsed="false">
      <c r="A487" s="19" t="n">
        <v>485</v>
      </c>
      <c r="B487" s="19" t="s">
        <v>16</v>
      </c>
      <c r="C487" s="19" t="s">
        <v>1007</v>
      </c>
      <c r="D487" s="22" t="str">
        <f aca="false">HYPERLINK("https://discord.com/channels/1040938900039929917/1252333077573926982", "ссылка")</f>
        <v>ссылка</v>
      </c>
      <c r="E487" s="43" t="n">
        <v>45465</v>
      </c>
      <c r="F487" s="24" t="n">
        <v>2</v>
      </c>
    </row>
    <row r="488" customFormat="false" ht="15.75" hidden="false" customHeight="false" outlineLevel="0" collapsed="false">
      <c r="A488" s="19" t="n">
        <v>486</v>
      </c>
      <c r="B488" s="19" t="s">
        <v>16</v>
      </c>
      <c r="C488" s="19" t="s">
        <v>422</v>
      </c>
      <c r="D488" s="22" t="str">
        <f aca="false">HYPERLINK("https://discord.com/channels/1040938900039929917/1252333077573926982", "ссылка")</f>
        <v>ссылка</v>
      </c>
      <c r="E488" s="43" t="n">
        <v>45465</v>
      </c>
      <c r="F488" s="24" t="n">
        <v>2</v>
      </c>
    </row>
    <row r="489" customFormat="false" ht="15.75" hidden="false" customHeight="false" outlineLevel="0" collapsed="false">
      <c r="A489" s="19" t="n">
        <v>487</v>
      </c>
      <c r="B489" s="19" t="s">
        <v>16</v>
      </c>
      <c r="C489" s="19" t="s">
        <v>332</v>
      </c>
      <c r="D489" s="22" t="str">
        <f aca="false">HYPERLINK("https://discord.com/channels/1040938900039929917/1252333077573926982", "ссылка")</f>
        <v>ссылка</v>
      </c>
      <c r="E489" s="43" t="n">
        <v>45465</v>
      </c>
      <c r="F489" s="24" t="n">
        <v>4</v>
      </c>
    </row>
    <row r="490" customFormat="false" ht="15.75" hidden="false" customHeight="false" outlineLevel="0" collapsed="false">
      <c r="A490" s="19" t="n">
        <v>488</v>
      </c>
      <c r="B490" s="19" t="s">
        <v>16</v>
      </c>
      <c r="C490" s="19" t="s">
        <v>107</v>
      </c>
      <c r="D490" s="22" t="str">
        <f aca="false">HYPERLINK("https://discord.com/channels/1040938900039929917/1252333077573926982", "ссылка")</f>
        <v>ссылка</v>
      </c>
      <c r="E490" s="43" t="n">
        <v>45465</v>
      </c>
      <c r="F490" s="24" t="n">
        <v>4</v>
      </c>
    </row>
    <row r="491" customFormat="false" ht="15.75" hidden="false" customHeight="false" outlineLevel="0" collapsed="false">
      <c r="A491" s="19" t="n">
        <v>489</v>
      </c>
      <c r="B491" s="19" t="s">
        <v>16</v>
      </c>
      <c r="C491" s="19" t="s">
        <v>67</v>
      </c>
      <c r="D491" s="22" t="str">
        <f aca="false">HYPERLINK("https://discord.com/channels/1040938900039929917/1251992830981967944", "ссылка")</f>
        <v>ссылка</v>
      </c>
      <c r="E491" s="43" t="n">
        <v>45465</v>
      </c>
      <c r="F491" s="24" t="n">
        <v>2</v>
      </c>
    </row>
    <row r="492" customFormat="false" ht="15.75" hidden="false" customHeight="false" outlineLevel="0" collapsed="false">
      <c r="A492" s="19" t="n">
        <v>490</v>
      </c>
      <c r="B492" s="19" t="s">
        <v>16</v>
      </c>
      <c r="C492" s="19" t="s">
        <v>310</v>
      </c>
      <c r="D492" s="22" t="str">
        <f aca="false">HYPERLINK("https://discord.com/channels/1040938900039929917/1251916269704314890", "ссылка")</f>
        <v>ссылка</v>
      </c>
      <c r="E492" s="43" t="n">
        <v>45465</v>
      </c>
      <c r="F492" s="24" t="n">
        <v>4</v>
      </c>
    </row>
    <row r="493" customFormat="false" ht="15.75" hidden="false" customHeight="false" outlineLevel="0" collapsed="false">
      <c r="A493" s="19" t="n">
        <v>491</v>
      </c>
      <c r="B493" s="19" t="s">
        <v>16</v>
      </c>
      <c r="C493" s="19" t="s">
        <v>332</v>
      </c>
      <c r="D493" s="22" t="str">
        <f aca="false">HYPERLINK("https://discord.com/channels/1040938900039929917/1252028166407585822", "ссылка")</f>
        <v>ссылка</v>
      </c>
      <c r="E493" s="43" t="n">
        <v>45465</v>
      </c>
      <c r="F493" s="24" t="n">
        <v>3</v>
      </c>
    </row>
    <row r="494" customFormat="false" ht="15.75" hidden="false" customHeight="false" outlineLevel="0" collapsed="false">
      <c r="A494" s="19" t="n">
        <v>492</v>
      </c>
      <c r="B494" s="19" t="s">
        <v>16</v>
      </c>
      <c r="C494" s="19" t="s">
        <v>30</v>
      </c>
      <c r="D494" s="22" t="str">
        <f aca="false">HYPERLINK("https://discord.com/channels/1040938900039929917/1252028166407585822", "ссылка")</f>
        <v>ссылка</v>
      </c>
      <c r="E494" s="43" t="n">
        <v>45465</v>
      </c>
      <c r="F494" s="24" t="n">
        <v>1</v>
      </c>
    </row>
    <row r="495" customFormat="false" ht="15.75" hidden="false" customHeight="false" outlineLevel="0" collapsed="false">
      <c r="A495" s="19" t="n">
        <v>493</v>
      </c>
      <c r="B495" s="19" t="s">
        <v>16</v>
      </c>
      <c r="C495" s="19" t="s">
        <v>490</v>
      </c>
      <c r="D495" s="22" t="str">
        <f aca="false">HYPERLINK("https://discord.com/channels/1040938900039929917/1252323906501738566", "ссылка")</f>
        <v>ссылка</v>
      </c>
      <c r="E495" s="43" t="n">
        <v>45465</v>
      </c>
      <c r="F495" s="24" t="n">
        <v>3</v>
      </c>
    </row>
    <row r="496" customFormat="false" ht="15.75" hidden="false" customHeight="false" outlineLevel="0" collapsed="false">
      <c r="A496" s="19" t="n">
        <v>494</v>
      </c>
      <c r="B496" s="19" t="s">
        <v>16</v>
      </c>
      <c r="C496" s="19" t="s">
        <v>495</v>
      </c>
      <c r="D496" s="22" t="str">
        <f aca="false">HYPERLINK("https://discord.com/channels/1040938900039929917/1252323906501738566", "ссылка")</f>
        <v>ссылка</v>
      </c>
      <c r="E496" s="43" t="n">
        <v>45465</v>
      </c>
      <c r="F496" s="24" t="n">
        <v>1</v>
      </c>
    </row>
    <row r="497" customFormat="false" ht="15.75" hidden="false" customHeight="false" outlineLevel="0" collapsed="false">
      <c r="A497" s="19" t="n">
        <v>495</v>
      </c>
      <c r="B497" s="19" t="s">
        <v>88</v>
      </c>
      <c r="C497" s="19" t="s">
        <v>716</v>
      </c>
      <c r="D497" s="24" t="s">
        <v>1015</v>
      </c>
      <c r="E497" s="43" t="n">
        <v>45465</v>
      </c>
      <c r="F497" s="24" t="n">
        <v>-15</v>
      </c>
    </row>
    <row r="498" customFormat="false" ht="15.75" hidden="false" customHeight="false" outlineLevel="0" collapsed="false">
      <c r="A498" s="19" t="n">
        <v>496</v>
      </c>
      <c r="B498" s="19" t="s">
        <v>473</v>
      </c>
      <c r="C498" s="19" t="s">
        <v>495</v>
      </c>
      <c r="D498" s="22" t="str">
        <f aca="false">HYPERLINK("https://discord.com/channels/1040938900039929917/1253612682834214962", "ссылка")</f>
        <v>ссылка</v>
      </c>
      <c r="E498" s="43" t="n">
        <v>45466</v>
      </c>
      <c r="F498" s="24" t="n">
        <v>4</v>
      </c>
    </row>
    <row r="499" customFormat="false" ht="15.75" hidden="false" customHeight="false" outlineLevel="0" collapsed="false">
      <c r="A499" s="19" t="n">
        <v>497</v>
      </c>
      <c r="B499" s="19" t="s">
        <v>473</v>
      </c>
      <c r="C499" s="19" t="s">
        <v>228</v>
      </c>
      <c r="D499" s="22" t="str">
        <f aca="false">HYPERLINK("https://discord.com/channels/1040938900039929917/1253612682834214962", "ссылка")</f>
        <v>ссылка</v>
      </c>
      <c r="E499" s="43" t="n">
        <v>45466</v>
      </c>
      <c r="F499" s="24" t="n">
        <v>3</v>
      </c>
    </row>
    <row r="500" customFormat="false" ht="15.75" hidden="false" customHeight="false" outlineLevel="0" collapsed="false">
      <c r="A500" s="19" t="n">
        <v>498</v>
      </c>
      <c r="B500" s="19" t="s">
        <v>473</v>
      </c>
      <c r="C500" s="19" t="s">
        <v>577</v>
      </c>
      <c r="D500" s="22" t="str">
        <f aca="false">HYPERLINK("https://discord.com/channels/1040938900039929917/1253612682834214962", "ссылка")</f>
        <v>ссылка</v>
      </c>
      <c r="E500" s="43" t="n">
        <v>45466</v>
      </c>
      <c r="F500" s="24" t="n">
        <v>3</v>
      </c>
    </row>
    <row r="501" customFormat="false" ht="15.75" hidden="false" customHeight="false" outlineLevel="0" collapsed="false">
      <c r="A501" s="19" t="n">
        <v>499</v>
      </c>
      <c r="B501" s="19" t="s">
        <v>473</v>
      </c>
      <c r="C501" s="19" t="s">
        <v>363</v>
      </c>
      <c r="D501" s="22" t="str">
        <f aca="false">HYPERLINK("https://discord.com/channels/1040938900039929917/1253612682834214962", "ссылка")</f>
        <v>ссылка</v>
      </c>
      <c r="E501" s="43" t="n">
        <v>45466</v>
      </c>
      <c r="F501" s="24" t="n">
        <v>1</v>
      </c>
    </row>
    <row r="502" customFormat="false" ht="15.75" hidden="false" customHeight="false" outlineLevel="0" collapsed="false">
      <c r="A502" s="19" t="n">
        <v>500</v>
      </c>
      <c r="B502" s="19" t="s">
        <v>473</v>
      </c>
      <c r="C502" s="19" t="s">
        <v>450</v>
      </c>
      <c r="D502" s="22" t="str">
        <f aca="false">HYPERLINK("https://discord.com/channels/1040938900039929917/1253612682834214962", "ссылка")</f>
        <v>ссылка</v>
      </c>
      <c r="E502" s="43" t="n">
        <v>45466</v>
      </c>
      <c r="F502" s="24" t="n">
        <v>3</v>
      </c>
    </row>
    <row r="503" customFormat="false" ht="15.75" hidden="false" customHeight="false" outlineLevel="0" collapsed="false">
      <c r="A503" s="19" t="n">
        <v>501</v>
      </c>
      <c r="B503" s="19" t="s">
        <v>473</v>
      </c>
      <c r="C503" s="19" t="s">
        <v>687</v>
      </c>
      <c r="D503" s="22" t="str">
        <f aca="false">HYPERLINK("https://discord.com/channels/1040938900039929917/1253612682834214962", "ссылка")</f>
        <v>ссылка</v>
      </c>
      <c r="E503" s="43" t="n">
        <v>45466</v>
      </c>
      <c r="F503" s="24" t="n">
        <v>1</v>
      </c>
    </row>
    <row r="504" customFormat="false" ht="15.75" hidden="false" customHeight="false" outlineLevel="0" collapsed="false">
      <c r="A504" s="19" t="n">
        <v>502</v>
      </c>
      <c r="B504" s="19" t="s">
        <v>473</v>
      </c>
      <c r="C504" s="19" t="s">
        <v>643</v>
      </c>
      <c r="D504" s="22" t="str">
        <f aca="false">HYPERLINK("https://discord.com/channels/1040938900039929917/1253612682834214962", "ссылка")</f>
        <v>ссылка</v>
      </c>
      <c r="E504" s="43" t="n">
        <v>45466</v>
      </c>
      <c r="F504" s="24" t="n">
        <v>1</v>
      </c>
    </row>
    <row r="505" customFormat="false" ht="15.75" hidden="false" customHeight="false" outlineLevel="0" collapsed="false">
      <c r="A505" s="19" t="n">
        <v>503</v>
      </c>
      <c r="B505" s="19" t="s">
        <v>473</v>
      </c>
      <c r="C505" s="19" t="s">
        <v>546</v>
      </c>
      <c r="D505" s="22" t="str">
        <f aca="false">HYPERLINK("https://discord.com/channels/1040938900039929917/1253612682834214962", "ссылка")</f>
        <v>ссылка</v>
      </c>
      <c r="E505" s="43" t="n">
        <v>45466</v>
      </c>
      <c r="F505" s="24" t="n">
        <v>1</v>
      </c>
    </row>
    <row r="506" customFormat="false" ht="15.75" hidden="false" customHeight="false" outlineLevel="0" collapsed="false">
      <c r="A506" s="19" t="n">
        <v>504</v>
      </c>
      <c r="B506" s="19" t="s">
        <v>88</v>
      </c>
      <c r="C506" s="19" t="s">
        <v>718</v>
      </c>
      <c r="D506" s="24" t="s">
        <v>1016</v>
      </c>
      <c r="E506" s="43" t="n">
        <v>45466</v>
      </c>
      <c r="F506" s="24" t="n">
        <v>-15</v>
      </c>
    </row>
    <row r="507" customFormat="false" ht="15.75" hidden="false" customHeight="false" outlineLevel="0" collapsed="false">
      <c r="A507" s="19" t="n">
        <v>505</v>
      </c>
      <c r="B507" s="19" t="s">
        <v>88</v>
      </c>
      <c r="C507" s="19" t="s">
        <v>719</v>
      </c>
      <c r="D507" s="24" t="s">
        <v>1017</v>
      </c>
      <c r="E507" s="43" t="n">
        <v>45466</v>
      </c>
      <c r="F507" s="24" t="n">
        <v>-15</v>
      </c>
    </row>
    <row r="508" customFormat="false" ht="15.75" hidden="false" customHeight="false" outlineLevel="0" collapsed="false">
      <c r="A508" s="19" t="n">
        <v>506</v>
      </c>
      <c r="B508" s="19" t="s">
        <v>88</v>
      </c>
      <c r="C508" s="19" t="s">
        <v>721</v>
      </c>
      <c r="D508" s="24" t="s">
        <v>1018</v>
      </c>
      <c r="E508" s="43" t="n">
        <v>45467</v>
      </c>
      <c r="F508" s="24" t="n">
        <v>-15</v>
      </c>
    </row>
    <row r="509" customFormat="false" ht="15.75" hidden="false" customHeight="false" outlineLevel="0" collapsed="false">
      <c r="A509" s="19" t="n">
        <v>507</v>
      </c>
      <c r="B509" s="19" t="s">
        <v>16</v>
      </c>
      <c r="C509" s="19" t="s">
        <v>422</v>
      </c>
      <c r="D509" s="22" t="str">
        <f aca="false">HYPERLINK("https://discord.com/channels/1040938900039929917/1254184690236264540", "ссылка")</f>
        <v>ссылка</v>
      </c>
      <c r="E509" s="43" t="n">
        <v>45468</v>
      </c>
      <c r="F509" s="24" t="n">
        <v>3</v>
      </c>
    </row>
    <row r="510" customFormat="false" ht="15.75" hidden="false" customHeight="false" outlineLevel="0" collapsed="false">
      <c r="A510" s="19" t="n">
        <v>508</v>
      </c>
      <c r="B510" s="19" t="s">
        <v>16</v>
      </c>
      <c r="C510" s="19" t="s">
        <v>671</v>
      </c>
      <c r="D510" s="22" t="str">
        <f aca="false">HYPERLINK("https://discord.com/channels/1040938900039929917/1254184690236264540", "ссылка")</f>
        <v>ссылка</v>
      </c>
      <c r="E510" s="43" t="n">
        <v>45468</v>
      </c>
      <c r="F510" s="24" t="n">
        <v>3</v>
      </c>
    </row>
    <row r="511" customFormat="false" ht="15.75" hidden="false" customHeight="false" outlineLevel="0" collapsed="false">
      <c r="A511" s="19" t="n">
        <v>509</v>
      </c>
      <c r="B511" s="19" t="s">
        <v>16</v>
      </c>
      <c r="C511" s="19" t="s">
        <v>330</v>
      </c>
      <c r="D511" s="22" t="str">
        <f aca="false">HYPERLINK("https://discord.com/channels/1040938900039929917/1254184690236264540", "ссылка")</f>
        <v>ссылка</v>
      </c>
      <c r="E511" s="43" t="n">
        <v>45468</v>
      </c>
      <c r="F511" s="24" t="n">
        <v>2</v>
      </c>
    </row>
    <row r="512" customFormat="false" ht="15.75" hidden="false" customHeight="false" outlineLevel="0" collapsed="false">
      <c r="A512" s="19" t="n">
        <v>510</v>
      </c>
      <c r="B512" s="19" t="s">
        <v>16</v>
      </c>
      <c r="C512" s="19" t="s">
        <v>473</v>
      </c>
      <c r="D512" s="22" t="str">
        <f aca="false">HYPERLINK("https://discord.com/channels/1040938900039929917/1253041885073899624", "ссылка")</f>
        <v>ссылка</v>
      </c>
      <c r="E512" s="43" t="n">
        <v>45468</v>
      </c>
      <c r="F512" s="24" t="n">
        <v>3</v>
      </c>
    </row>
    <row r="513" customFormat="false" ht="15.75" hidden="false" customHeight="false" outlineLevel="0" collapsed="false">
      <c r="A513" s="19" t="n">
        <v>511</v>
      </c>
      <c r="B513" s="19" t="s">
        <v>16</v>
      </c>
      <c r="C513" s="19" t="s">
        <v>139</v>
      </c>
      <c r="D513" s="22" t="str">
        <f aca="false">HYPERLINK("https://discord.com/channels/1040938900039929917/1254421794144780299", "ссылка")</f>
        <v>ссылка</v>
      </c>
      <c r="E513" s="43" t="n">
        <v>45468</v>
      </c>
      <c r="F513" s="24" t="n">
        <v>-3</v>
      </c>
    </row>
    <row r="514" customFormat="false" ht="15.75" hidden="false" customHeight="false" outlineLevel="0" collapsed="false">
      <c r="A514" s="19" t="n">
        <v>512</v>
      </c>
      <c r="B514" s="19" t="s">
        <v>16</v>
      </c>
      <c r="C514" s="19" t="s">
        <v>1007</v>
      </c>
      <c r="D514" s="22" t="str">
        <f aca="false">HYPERLINK("https://discord.com/channels/1040938900039929917/1254132868771348565", "ссылка")</f>
        <v>ссылка</v>
      </c>
      <c r="E514" s="43" t="n">
        <v>45468</v>
      </c>
      <c r="F514" s="24" t="n">
        <v>-4</v>
      </c>
    </row>
    <row r="515" customFormat="false" ht="15.75" hidden="false" customHeight="false" outlineLevel="0" collapsed="false">
      <c r="A515" s="19" t="n">
        <v>513</v>
      </c>
      <c r="B515" s="19" t="s">
        <v>16</v>
      </c>
      <c r="C515" s="19" t="s">
        <v>363</v>
      </c>
      <c r="D515" s="22" t="str">
        <f aca="false">HYPERLINK("https://discord.com/channels/1040938900039929917/1254132868771348565", "ссылка")</f>
        <v>ссылка</v>
      </c>
      <c r="E515" s="43" t="n">
        <v>45468</v>
      </c>
      <c r="F515" s="24" t="n">
        <v>1</v>
      </c>
    </row>
    <row r="516" customFormat="false" ht="15.75" hidden="false" customHeight="false" outlineLevel="0" collapsed="false">
      <c r="A516" s="19" t="n">
        <v>514</v>
      </c>
      <c r="B516" s="19" t="s">
        <v>16</v>
      </c>
      <c r="C516" s="19" t="s">
        <v>431</v>
      </c>
      <c r="D516" s="51" t="str">
        <f aca="false">HYPERLINK("https://discord.com/channels/1040938900039929917/1254132868771348565", "ссылка")</f>
        <v>ссылка</v>
      </c>
      <c r="E516" s="43" t="n">
        <v>45468</v>
      </c>
      <c r="F516" s="24" t="n">
        <v>1</v>
      </c>
    </row>
    <row r="517" customFormat="false" ht="15.75" hidden="false" customHeight="false" outlineLevel="0" collapsed="false">
      <c r="A517" s="19" t="n">
        <v>515</v>
      </c>
      <c r="B517" s="19" t="s">
        <v>16</v>
      </c>
      <c r="C517" s="19" t="s">
        <v>546</v>
      </c>
      <c r="D517" s="22" t="str">
        <f aca="false">HYPERLINK("https://discord.com/channels/1040938900039929917/1254132868771348565", "ссылка")</f>
        <v>ссылка</v>
      </c>
      <c r="E517" s="43" t="n">
        <v>45468</v>
      </c>
      <c r="F517" s="24" t="n">
        <v>-1</v>
      </c>
    </row>
    <row r="518" customFormat="false" ht="15.75" hidden="false" customHeight="false" outlineLevel="0" collapsed="false">
      <c r="A518" s="19" t="n">
        <v>516</v>
      </c>
      <c r="B518" s="19" t="s">
        <v>16</v>
      </c>
      <c r="C518" s="19" t="s">
        <v>434</v>
      </c>
      <c r="D518" s="22" t="str">
        <f aca="false">HYPERLINK("https://discord.com/channels/1040938900039929917/1254132868771348565", "ссылка")</f>
        <v>ссылка</v>
      </c>
      <c r="E518" s="43" t="n">
        <v>45468</v>
      </c>
      <c r="F518" s="24" t="n">
        <v>-5</v>
      </c>
    </row>
    <row r="519" customFormat="false" ht="15.75" hidden="false" customHeight="false" outlineLevel="0" collapsed="false">
      <c r="A519" s="19" t="n">
        <v>517</v>
      </c>
      <c r="B519" s="19" t="s">
        <v>16</v>
      </c>
      <c r="C519" s="19" t="s">
        <v>450</v>
      </c>
      <c r="D519" s="22" t="str">
        <f aca="false">HYPERLINK("https://discord.com/channels/1040938900039929917/1254132868771348565", "ссылка")</f>
        <v>ссылка</v>
      </c>
      <c r="E519" s="43" t="n">
        <v>45468</v>
      </c>
      <c r="F519" s="24" t="n">
        <v>1</v>
      </c>
    </row>
    <row r="520" customFormat="false" ht="15.75" hidden="false" customHeight="false" outlineLevel="0" collapsed="false">
      <c r="A520" s="19" t="n">
        <v>518</v>
      </c>
      <c r="B520" s="19" t="s">
        <v>16</v>
      </c>
      <c r="C520" s="19" t="s">
        <v>671</v>
      </c>
      <c r="D520" s="22" t="str">
        <f aca="false">HYPERLINK("https://discord.com/channels/1040938900039929917/1254132868771348565", "ссылка")</f>
        <v>ссылка</v>
      </c>
      <c r="E520" s="43" t="n">
        <v>45468</v>
      </c>
      <c r="F520" s="24" t="n">
        <v>-4</v>
      </c>
    </row>
    <row r="521" customFormat="false" ht="15.75" hidden="false" customHeight="false" outlineLevel="0" collapsed="false">
      <c r="A521" s="19" t="n">
        <v>519</v>
      </c>
      <c r="B521" s="19" t="s">
        <v>495</v>
      </c>
      <c r="C521" s="19" t="s">
        <v>30</v>
      </c>
      <c r="D521" s="22" t="str">
        <f aca="false">HYPERLINK("https://discord.com/channels/1040938900039929917/1253767280232501388", "ссылка")</f>
        <v>ссылка</v>
      </c>
      <c r="E521" s="43" t="n">
        <v>45469</v>
      </c>
      <c r="F521" s="24" t="n">
        <v>4</v>
      </c>
    </row>
    <row r="522" customFormat="false" ht="15.75" hidden="false" customHeight="false" outlineLevel="0" collapsed="false">
      <c r="A522" s="19" t="n">
        <v>520</v>
      </c>
      <c r="B522" s="19" t="s">
        <v>495</v>
      </c>
      <c r="C522" s="19" t="s">
        <v>473</v>
      </c>
      <c r="D522" s="22" t="str">
        <f aca="false">HYPERLINK("https://discord.com/channels/1040938900039929917/1253767280232501388", "ссылка")</f>
        <v>ссылка</v>
      </c>
      <c r="E522" s="43" t="n">
        <v>45469</v>
      </c>
      <c r="F522" s="24" t="n">
        <v>4</v>
      </c>
    </row>
    <row r="523" customFormat="false" ht="15.75" hidden="false" customHeight="false" outlineLevel="0" collapsed="false">
      <c r="A523" s="19" t="n">
        <v>521</v>
      </c>
      <c r="B523" s="19" t="s">
        <v>16</v>
      </c>
      <c r="C523" s="19" t="s">
        <v>984</v>
      </c>
      <c r="D523" s="22" t="str">
        <f aca="false">HYPERLINK("https://discord.com/channels/1040938900039929917/1254521055771361381", "ссылка")</f>
        <v>ссылка</v>
      </c>
      <c r="E523" s="43" t="n">
        <v>45469</v>
      </c>
      <c r="F523" s="24" t="n">
        <v>5</v>
      </c>
    </row>
    <row r="524" customFormat="false" ht="15.75" hidden="false" customHeight="false" outlineLevel="0" collapsed="false">
      <c r="A524" s="19" t="n">
        <v>522</v>
      </c>
      <c r="B524" s="19" t="s">
        <v>16</v>
      </c>
      <c r="C524" s="19" t="s">
        <v>643</v>
      </c>
      <c r="D524" s="22" t="str">
        <f aca="false">HYPERLINK("https://discord.com/channels/1040938900039929917/1254521055771361381", "ссылка")</f>
        <v>ссылка</v>
      </c>
      <c r="E524" s="43" t="n">
        <v>45469</v>
      </c>
      <c r="F524" s="24" t="n">
        <v>5</v>
      </c>
    </row>
    <row r="525" customFormat="false" ht="15.75" hidden="false" customHeight="false" outlineLevel="0" collapsed="false">
      <c r="A525" s="19" t="n">
        <v>523</v>
      </c>
      <c r="B525" s="19" t="s">
        <v>16</v>
      </c>
      <c r="C525" s="19" t="s">
        <v>538</v>
      </c>
      <c r="D525" s="22" t="str">
        <f aca="false">HYPERLINK("https://discord.com/channels/1040938900039929917/1254796479554654258", "ссылка")</f>
        <v>ссылка</v>
      </c>
      <c r="E525" s="43" t="n">
        <v>45469</v>
      </c>
      <c r="F525" s="24" t="n">
        <v>-3</v>
      </c>
      <c r="G525" s="19"/>
    </row>
    <row r="526" customFormat="false" ht="15.75" hidden="false" customHeight="false" outlineLevel="0" collapsed="false">
      <c r="A526" s="19" t="n">
        <v>524</v>
      </c>
      <c r="B526" s="19" t="s">
        <v>88</v>
      </c>
      <c r="C526" s="19" t="s">
        <v>729</v>
      </c>
      <c r="D526" s="24" t="s">
        <v>1019</v>
      </c>
      <c r="E526" s="43" t="n">
        <v>45471</v>
      </c>
      <c r="F526" s="24" t="n">
        <v>-15</v>
      </c>
    </row>
    <row r="527" customFormat="false" ht="15.75" hidden="false" customHeight="false" outlineLevel="0" collapsed="false">
      <c r="A527" s="19" t="n">
        <v>525</v>
      </c>
      <c r="B527" s="19" t="s">
        <v>450</v>
      </c>
      <c r="C527" s="19" t="s">
        <v>122</v>
      </c>
      <c r="D527" s="22" t="str">
        <f aca="false">HYPERLINK("https://discord.com/channels/1040938900039929917/1254193124092284968", "ссылка")</f>
        <v>ссылка</v>
      </c>
      <c r="E527" s="43" t="n">
        <v>45472</v>
      </c>
      <c r="F527" s="24" t="n">
        <v>4</v>
      </c>
    </row>
    <row r="528" customFormat="false" ht="15.75" hidden="false" customHeight="false" outlineLevel="0" collapsed="false">
      <c r="A528" s="19" t="n">
        <v>526</v>
      </c>
      <c r="B528" s="19" t="s">
        <v>122</v>
      </c>
      <c r="C528" s="19" t="s">
        <v>450</v>
      </c>
      <c r="D528" s="22" t="str">
        <f aca="false">HYPERLINK("https://discord.com/channels/1040938900039929917/1254550338153877594", "ссылка")</f>
        <v>ссылка</v>
      </c>
      <c r="E528" s="43" t="n">
        <v>45472</v>
      </c>
      <c r="F528" s="24" t="n">
        <v>4</v>
      </c>
    </row>
    <row r="529" customFormat="false" ht="15.75" hidden="false" customHeight="false" outlineLevel="0" collapsed="false">
      <c r="A529" s="19" t="n">
        <v>527</v>
      </c>
      <c r="B529" s="19" t="s">
        <v>310</v>
      </c>
      <c r="C529" s="19" t="s">
        <v>397</v>
      </c>
      <c r="D529" s="22" t="str">
        <f aca="false">HYPERLINK("https://discord.com/channels/1040938900039929917/1249275348940623977", "ссылка")</f>
        <v>ссылка</v>
      </c>
      <c r="E529" s="43" t="n">
        <v>45472</v>
      </c>
      <c r="F529" s="24" t="n">
        <v>5</v>
      </c>
    </row>
    <row r="530" customFormat="false" ht="15.75" hidden="false" customHeight="false" outlineLevel="0" collapsed="false">
      <c r="A530" s="19" t="n">
        <v>528</v>
      </c>
      <c r="B530" s="19" t="s">
        <v>310</v>
      </c>
      <c r="C530" s="19" t="s">
        <v>431</v>
      </c>
      <c r="D530" s="22" t="str">
        <f aca="false">HYPERLINK("https://discord.com/channels/1040938900039929917/1249275348940623977", "ссылка")</f>
        <v>ссылка</v>
      </c>
      <c r="E530" s="43" t="n">
        <v>45472</v>
      </c>
      <c r="F530" s="24" t="n">
        <v>2</v>
      </c>
    </row>
    <row r="531" customFormat="false" ht="15.75" hidden="false" customHeight="false" outlineLevel="0" collapsed="false">
      <c r="A531" s="19" t="n">
        <v>529</v>
      </c>
      <c r="B531" s="19" t="s">
        <v>125</v>
      </c>
      <c r="C531" s="19" t="s">
        <v>473</v>
      </c>
      <c r="D531" s="22" t="str">
        <f aca="false">HYPERLINK("https://discord.com/channels/1040938900039929917/1256277928409567294", "ссылка")</f>
        <v>ссылка</v>
      </c>
      <c r="E531" s="43" t="n">
        <v>45473</v>
      </c>
      <c r="F531" s="24" t="n">
        <v>1</v>
      </c>
    </row>
    <row r="532" customFormat="false" ht="15.75" hidden="false" customHeight="false" outlineLevel="0" collapsed="false">
      <c r="A532" s="19" t="n">
        <v>530</v>
      </c>
      <c r="B532" s="19" t="s">
        <v>228</v>
      </c>
      <c r="C532" s="19" t="s">
        <v>979</v>
      </c>
      <c r="D532" s="22" t="str">
        <f aca="false">HYPERLINK("https://discord.com/channels/1040938900039929917/1255950117589221478", "ссылка")</f>
        <v>ссылка</v>
      </c>
      <c r="E532" s="43" t="n">
        <v>45473</v>
      </c>
      <c r="F532" s="24" t="n">
        <v>12</v>
      </c>
    </row>
    <row r="533" customFormat="false" ht="15.75" hidden="false" customHeight="false" outlineLevel="0" collapsed="false">
      <c r="A533" s="19" t="n">
        <v>531</v>
      </c>
      <c r="B533" s="19" t="s">
        <v>228</v>
      </c>
      <c r="C533" s="19" t="s">
        <v>30</v>
      </c>
      <c r="D533" s="22" t="str">
        <f aca="false">HYPERLINK("https://discord.com/channels/1040938900039929917/1255950117589221478", "ссылка")</f>
        <v>ссылка</v>
      </c>
      <c r="E533" s="43" t="n">
        <v>45473</v>
      </c>
      <c r="F533" s="24" t="n">
        <v>7</v>
      </c>
    </row>
    <row r="534" customFormat="false" ht="15.75" hidden="false" customHeight="false" outlineLevel="0" collapsed="false">
      <c r="A534" s="19" t="n">
        <v>532</v>
      </c>
      <c r="B534" s="19" t="s">
        <v>228</v>
      </c>
      <c r="C534" s="19" t="s">
        <v>671</v>
      </c>
      <c r="D534" s="22" t="str">
        <f aca="false">HYPERLINK("https://discord.com/channels/1040938900039929917/1255950117589221478", "ссылка")</f>
        <v>ссылка</v>
      </c>
      <c r="E534" s="43" t="n">
        <v>45473</v>
      </c>
      <c r="F534" s="24" t="n">
        <v>7</v>
      </c>
    </row>
    <row r="535" customFormat="false" ht="15.75" hidden="false" customHeight="false" outlineLevel="0" collapsed="false">
      <c r="A535" s="19" t="n">
        <v>533</v>
      </c>
      <c r="B535" s="19" t="s">
        <v>228</v>
      </c>
      <c r="C535" s="19" t="s">
        <v>139</v>
      </c>
      <c r="D535" s="22" t="str">
        <f aca="false">HYPERLINK("https://discord.com/channels/1040938900039929917/1255950117589221478", "ссылка")</f>
        <v>ссылка</v>
      </c>
      <c r="E535" s="43" t="n">
        <v>45473</v>
      </c>
      <c r="F535" s="24" t="n">
        <v>7</v>
      </c>
    </row>
    <row r="536" customFormat="false" ht="15.75" hidden="false" customHeight="false" outlineLevel="0" collapsed="false">
      <c r="A536" s="19" t="n">
        <v>534</v>
      </c>
      <c r="B536" s="19" t="s">
        <v>228</v>
      </c>
      <c r="C536" s="19" t="s">
        <v>708</v>
      </c>
      <c r="D536" s="22" t="str">
        <f aca="false">HYPERLINK("https://discord.com/channels/1040938900039929917/1255950117589221478", "ссылка")</f>
        <v>ссылка</v>
      </c>
      <c r="E536" s="43" t="n">
        <v>45473</v>
      </c>
      <c r="F536" s="24" t="n">
        <v>3</v>
      </c>
    </row>
    <row r="537" customFormat="false" ht="15.75" hidden="false" customHeight="false" outlineLevel="0" collapsed="false">
      <c r="A537" s="19" t="n">
        <v>535</v>
      </c>
      <c r="B537" s="19" t="s">
        <v>577</v>
      </c>
      <c r="C537" s="19" t="s">
        <v>129</v>
      </c>
      <c r="D537" s="22" t="str">
        <f aca="false">HYPERLINK("https://discord.com/channels/1040938900039929917/1255398340120805426", "ссылка")</f>
        <v>ссылка</v>
      </c>
      <c r="E537" s="43" t="n">
        <v>45473</v>
      </c>
      <c r="F537" s="24" t="n">
        <v>7</v>
      </c>
    </row>
    <row r="538" customFormat="false" ht="15.75" hidden="false" customHeight="false" outlineLevel="0" collapsed="false">
      <c r="A538" s="19" t="n">
        <v>536</v>
      </c>
      <c r="B538" s="19" t="s">
        <v>577</v>
      </c>
      <c r="C538" s="19" t="s">
        <v>268</v>
      </c>
      <c r="D538" s="22" t="str">
        <f aca="false">HYPERLINK("https://discord.com/channels/1040938900039929917/1255398340120805426", "ссылка")</f>
        <v>ссылка</v>
      </c>
      <c r="E538" s="43" t="n">
        <v>45473</v>
      </c>
      <c r="F538" s="24" t="n">
        <v>4</v>
      </c>
    </row>
    <row r="539" customFormat="false" ht="15.75" hidden="false" customHeight="false" outlineLevel="0" collapsed="false">
      <c r="A539" s="19" t="n">
        <v>537</v>
      </c>
      <c r="B539" s="19" t="s">
        <v>577</v>
      </c>
      <c r="C539" s="19" t="s">
        <v>76</v>
      </c>
      <c r="D539" s="22" t="str">
        <f aca="false">HYPERLINK("https://discord.com/channels/1040938900039929917/1255398340120805426", "ссылка")</f>
        <v>ссылка</v>
      </c>
      <c r="E539" s="43" t="n">
        <v>45473</v>
      </c>
      <c r="F539" s="24" t="n">
        <v>5</v>
      </c>
    </row>
    <row r="540" customFormat="false" ht="15.75" hidden="false" customHeight="false" outlineLevel="0" collapsed="false">
      <c r="A540" s="19" t="n">
        <v>538</v>
      </c>
      <c r="B540" s="19" t="s">
        <v>1010</v>
      </c>
      <c r="C540" s="19" t="s">
        <v>282</v>
      </c>
      <c r="D540" s="22" t="str">
        <f aca="false">HYPERLINK("https://discord.com/channels/1040938900039929917/1249675910966284399", "ссылка")</f>
        <v>ссылка</v>
      </c>
      <c r="E540" s="43" t="n">
        <v>45473</v>
      </c>
      <c r="F540" s="24" t="n">
        <v>4</v>
      </c>
    </row>
    <row r="541" customFormat="false" ht="15.75" hidden="false" customHeight="false" outlineLevel="0" collapsed="false">
      <c r="A541" s="19" t="n">
        <v>539</v>
      </c>
      <c r="B541" s="19" t="s">
        <v>1010</v>
      </c>
      <c r="C541" s="19" t="s">
        <v>178</v>
      </c>
      <c r="D541" s="22" t="str">
        <f aca="false">HYPERLINK("https://discord.com/channels/1040938900039929917/1249675910966284399", "ссылка")</f>
        <v>ссылка</v>
      </c>
      <c r="E541" s="43" t="n">
        <v>45473</v>
      </c>
      <c r="F541" s="24" t="n">
        <v>-2</v>
      </c>
    </row>
    <row r="542" customFormat="false" ht="15.75" hidden="false" customHeight="false" outlineLevel="0" collapsed="false">
      <c r="A542" s="19" t="n">
        <v>540</v>
      </c>
      <c r="B542" s="19" t="s">
        <v>236</v>
      </c>
      <c r="C542" s="19" t="s">
        <v>95</v>
      </c>
      <c r="D542" s="22" t="str">
        <f aca="false">HYPERLINK("https://discord.com/channels/1040938900039929917/1250572346469646366", "ссылка")</f>
        <v>ссылка</v>
      </c>
      <c r="E542" s="43" t="n">
        <v>45473</v>
      </c>
      <c r="F542" s="24" t="n">
        <v>3</v>
      </c>
    </row>
    <row r="543" customFormat="false" ht="15.75" hidden="false" customHeight="false" outlineLevel="0" collapsed="false">
      <c r="A543" s="19" t="n">
        <v>541</v>
      </c>
      <c r="B543" s="19" t="s">
        <v>326</v>
      </c>
      <c r="C543" s="19" t="s">
        <v>577</v>
      </c>
      <c r="D543" s="22" t="str">
        <f aca="false">HYPERLINK("https://discord.com/channels/1040938900039929917/1255570853303816263", "ссылка")</f>
        <v>ссылка</v>
      </c>
      <c r="E543" s="43" t="n">
        <v>45473</v>
      </c>
      <c r="F543" s="24" t="n">
        <v>2</v>
      </c>
    </row>
    <row r="544" customFormat="false" ht="15.75" hidden="false" customHeight="false" outlineLevel="0" collapsed="false">
      <c r="A544" s="19" t="n">
        <v>542</v>
      </c>
      <c r="B544" s="19" t="s">
        <v>473</v>
      </c>
      <c r="C544" s="19" t="s">
        <v>125</v>
      </c>
      <c r="D544" s="22" t="str">
        <f aca="false">HYPERLINK("https://discord.com/channels/1040938900039929917/1255436600020832317", "ссылка")</f>
        <v>ссылка</v>
      </c>
      <c r="E544" s="43" t="n">
        <v>45473</v>
      </c>
      <c r="F544" s="24" t="n">
        <v>4</v>
      </c>
    </row>
    <row r="545" customFormat="false" ht="15.75" hidden="false" customHeight="false" outlineLevel="0" collapsed="false">
      <c r="A545" s="19" t="n">
        <v>543</v>
      </c>
      <c r="B545" s="19" t="s">
        <v>473</v>
      </c>
      <c r="C545" s="19" t="s">
        <v>577</v>
      </c>
      <c r="D545" s="22" t="str">
        <f aca="false">HYPERLINK("https://discord.com/channels/1040938900039929917/1255436600020832317", "ссылка")</f>
        <v>ссылка</v>
      </c>
      <c r="E545" s="43" t="n">
        <v>45473</v>
      </c>
      <c r="F545" s="24" t="n">
        <v>3</v>
      </c>
    </row>
    <row r="546" customFormat="false" ht="15.75" hidden="false" customHeight="false" outlineLevel="0" collapsed="false">
      <c r="A546" s="19" t="n">
        <v>544</v>
      </c>
      <c r="B546" s="19" t="s">
        <v>190</v>
      </c>
      <c r="C546" s="19" t="s">
        <v>488</v>
      </c>
      <c r="D546" s="22" t="str">
        <f aca="false">HYPERLINK("https://discord.com/channels/1040938900039929917/1254054251622305812", "ссылка")</f>
        <v>ссылка</v>
      </c>
      <c r="E546" s="43" t="n">
        <v>45473</v>
      </c>
      <c r="F546" s="24" t="n">
        <v>1</v>
      </c>
    </row>
    <row r="547" customFormat="false" ht="15.75" hidden="false" customHeight="false" outlineLevel="0" collapsed="false">
      <c r="A547" s="19" t="n">
        <v>545</v>
      </c>
      <c r="B547" s="19" t="s">
        <v>30</v>
      </c>
      <c r="C547" s="19" t="s">
        <v>228</v>
      </c>
      <c r="D547" s="22" t="str">
        <f aca="false">HYPERLINK("https://discord.com/channels/1040938900039929917/1256734321918873620", "ссылка")</f>
        <v>ссылка</v>
      </c>
      <c r="E547" s="43" t="n">
        <v>45474</v>
      </c>
      <c r="F547" s="24" t="n">
        <v>7</v>
      </c>
    </row>
    <row r="548" customFormat="false" ht="15.75" hidden="false" customHeight="false" outlineLevel="0" collapsed="false">
      <c r="A548" s="19" t="n">
        <v>546</v>
      </c>
      <c r="B548" s="19" t="s">
        <v>495</v>
      </c>
      <c r="C548" s="19" t="s">
        <v>475</v>
      </c>
      <c r="D548" s="22" t="str">
        <f aca="false">HYPERLINK("https://discord.com/channels/1040938900039929917/1256714091138121800", "ссылка")</f>
        <v>ссылка</v>
      </c>
      <c r="E548" s="43" t="n">
        <v>45473</v>
      </c>
      <c r="F548" s="24" t="n">
        <v>6</v>
      </c>
    </row>
    <row r="549" customFormat="false" ht="15.75" hidden="false" customHeight="false" outlineLevel="0" collapsed="false">
      <c r="A549" s="19" t="n">
        <v>547</v>
      </c>
      <c r="B549" s="19" t="s">
        <v>88</v>
      </c>
      <c r="C549" s="19" t="s">
        <v>1020</v>
      </c>
      <c r="D549" s="22" t="str">
        <f aca="false">HYPERLINK("https://discord.com/channels/1040938900039929917/1257377973330378832", "ссылка")</f>
        <v>ссылка</v>
      </c>
      <c r="E549" s="43" t="n">
        <v>45475</v>
      </c>
      <c r="F549" s="24" t="n">
        <v>7</v>
      </c>
    </row>
    <row r="550" customFormat="false" ht="15.75" hidden="false" customHeight="false" outlineLevel="0" collapsed="false">
      <c r="A550" s="19" t="n">
        <v>548</v>
      </c>
      <c r="B550" s="19" t="s">
        <v>255</v>
      </c>
      <c r="C550" s="19" t="s">
        <v>609</v>
      </c>
      <c r="D550" s="22" t="str">
        <f aca="false">HYPERLINK("https://discord.com/channels/1040938900039929917/1257389114354044969", "ссылка")</f>
        <v>ссылка</v>
      </c>
      <c r="E550" s="43" t="n">
        <v>45475</v>
      </c>
      <c r="F550" s="24" t="n">
        <v>10</v>
      </c>
    </row>
    <row r="551" customFormat="false" ht="15.75" hidden="false" customHeight="false" outlineLevel="0" collapsed="false">
      <c r="A551" s="19" t="n">
        <v>549</v>
      </c>
      <c r="B551" s="19" t="s">
        <v>255</v>
      </c>
      <c r="C551" s="19" t="s">
        <v>417</v>
      </c>
      <c r="D551" s="22" t="str">
        <f aca="false">HYPERLINK("https://discord.com/channels/1040938900039929917/1257389114354044969", "ссылка")</f>
        <v>ссылка</v>
      </c>
      <c r="E551" s="43" t="n">
        <v>45475</v>
      </c>
      <c r="F551" s="24" t="n">
        <v>10</v>
      </c>
    </row>
    <row r="552" customFormat="false" ht="15.75" hidden="false" customHeight="false" outlineLevel="0" collapsed="false">
      <c r="A552" s="19" t="n">
        <v>550</v>
      </c>
      <c r="B552" s="19" t="s">
        <v>255</v>
      </c>
      <c r="C552" s="19" t="s">
        <v>434</v>
      </c>
      <c r="D552" s="22" t="str">
        <f aca="false">HYPERLINK("https://discord.com/channels/1040938900039929917/1257389114354044969", "ссылка")</f>
        <v>ссылка</v>
      </c>
      <c r="E552" s="43" t="n">
        <v>45475</v>
      </c>
      <c r="F552" s="24" t="n">
        <v>1</v>
      </c>
    </row>
    <row r="553" customFormat="false" ht="15.75" hidden="false" customHeight="false" outlineLevel="0" collapsed="false">
      <c r="A553" s="19" t="n">
        <v>551</v>
      </c>
      <c r="B553" s="19" t="s">
        <v>255</v>
      </c>
      <c r="C553" s="19" t="s">
        <v>475</v>
      </c>
      <c r="D553" s="22" t="str">
        <f aca="false">HYPERLINK("https://discord.com/channels/1040938900039929917/1257389114354044969", "ссылка")</f>
        <v>ссылка</v>
      </c>
      <c r="E553" s="43" t="n">
        <v>45475</v>
      </c>
      <c r="F553" s="24" t="n">
        <v>5</v>
      </c>
    </row>
    <row r="554" customFormat="false" ht="15.75" hidden="false" customHeight="false" outlineLevel="0" collapsed="false">
      <c r="A554" s="19" t="n">
        <v>552</v>
      </c>
      <c r="B554" s="19" t="s">
        <v>88</v>
      </c>
      <c r="C554" s="19" t="s">
        <v>319</v>
      </c>
      <c r="D554" s="24" t="s">
        <v>1021</v>
      </c>
      <c r="E554" s="43" t="n">
        <v>45477</v>
      </c>
      <c r="F554" s="24" t="n">
        <v>15</v>
      </c>
    </row>
    <row r="555" customFormat="false" ht="15.75" hidden="false" customHeight="false" outlineLevel="0" collapsed="false">
      <c r="A555" s="19" t="n">
        <v>553</v>
      </c>
      <c r="B555" s="19" t="s">
        <v>122</v>
      </c>
      <c r="C555" s="19" t="s">
        <v>450</v>
      </c>
      <c r="D555" s="22" t="str">
        <f aca="false">HYPERLINK("https://discord.com/channels/1040938900039929917/1256624666534215681", "ссылка")</f>
        <v>ссылка</v>
      </c>
      <c r="E555" s="43" t="n">
        <v>45472</v>
      </c>
      <c r="F555" s="24" t="n">
        <v>6</v>
      </c>
    </row>
    <row r="556" customFormat="false" ht="15.75" hidden="false" customHeight="false" outlineLevel="0" collapsed="false">
      <c r="A556" s="19" t="n">
        <v>554</v>
      </c>
      <c r="B556" s="19" t="s">
        <v>122</v>
      </c>
      <c r="C556" s="19" t="s">
        <v>721</v>
      </c>
      <c r="D556" s="22" t="str">
        <f aca="false">HYPERLINK("https://discord.com/channels/1040938900039929917/1256624666534215681", "ссылка")</f>
        <v>ссылка</v>
      </c>
      <c r="E556" s="43" t="n">
        <v>45472</v>
      </c>
      <c r="F556" s="24" t="n">
        <v>2</v>
      </c>
    </row>
    <row r="557" customFormat="false" ht="15.75" hidden="false" customHeight="false" outlineLevel="0" collapsed="false">
      <c r="A557" s="19" t="n">
        <v>555</v>
      </c>
      <c r="B557" s="19" t="s">
        <v>88</v>
      </c>
      <c r="C557" s="19" t="s">
        <v>643</v>
      </c>
      <c r="D557" s="22" t="str">
        <f aca="false">HYPERLINK("https://discord.com/channels/1040938900039929917/1255618015798497372/1258640521274851432", "ссылка")</f>
        <v>ссылка</v>
      </c>
      <c r="E557" s="43" t="n">
        <v>45470</v>
      </c>
      <c r="F557" s="24" t="n">
        <v>-6</v>
      </c>
    </row>
    <row r="558" customFormat="false" ht="15.75" hidden="false" customHeight="false" outlineLevel="0" collapsed="false">
      <c r="A558" s="19" t="n">
        <v>556</v>
      </c>
      <c r="B558" s="19" t="s">
        <v>30</v>
      </c>
      <c r="C558" s="19" t="s">
        <v>268</v>
      </c>
      <c r="D558" s="22" t="str">
        <f aca="false">HYPERLINK("https://discord.com/channels/1040938900039929917/1257670898090115125/1258642233645858816", "ссылка")</f>
        <v>ссылка</v>
      </c>
      <c r="E558" s="43" t="n">
        <v>45475</v>
      </c>
      <c r="F558" s="24" t="n">
        <v>1</v>
      </c>
    </row>
    <row r="559" customFormat="false" ht="15.75" hidden="false" customHeight="false" outlineLevel="0" collapsed="false">
      <c r="A559" s="19" t="n">
        <v>557</v>
      </c>
      <c r="B559" s="19" t="s">
        <v>30</v>
      </c>
      <c r="C559" s="19" t="s">
        <v>228</v>
      </c>
      <c r="D559" s="22" t="str">
        <f aca="false">HYPERLINK("https://discord.com/channels/1040938900039929917/1257670898090115125/1258642272304631919", "ссылка")</f>
        <v>ссылка</v>
      </c>
      <c r="E559" s="43" t="n">
        <v>45475</v>
      </c>
      <c r="F559" s="24" t="n">
        <v>4</v>
      </c>
    </row>
    <row r="560" customFormat="false" ht="15.75" hidden="false" customHeight="false" outlineLevel="0" collapsed="false">
      <c r="A560" s="19" t="n">
        <v>558</v>
      </c>
      <c r="B560" s="19" t="s">
        <v>450</v>
      </c>
      <c r="C560" s="19" t="s">
        <v>122</v>
      </c>
      <c r="D560" s="22" t="str">
        <f aca="false">HYPERLINK("https://discord.com/channels/1040938900039929917/1257977486093058158/1258643378535399435", "ссылка")</f>
        <v>ссылка</v>
      </c>
      <c r="E560" s="43" t="n">
        <v>45476</v>
      </c>
      <c r="F560" s="24" t="n">
        <v>3</v>
      </c>
    </row>
    <row r="561" customFormat="false" ht="15.75" hidden="false" customHeight="false" outlineLevel="0" collapsed="false">
      <c r="A561" s="19" t="n">
        <v>559</v>
      </c>
      <c r="B561" s="19" t="s">
        <v>450</v>
      </c>
      <c r="C561" s="19" t="s">
        <v>577</v>
      </c>
      <c r="D561" s="22" t="str">
        <f aca="false">HYPERLINK("https://discord.com/channels/1040938900039929917/1257688719201140806/1258644656951005266", "ссылка")</f>
        <v>ссылка</v>
      </c>
      <c r="E561" s="43" t="n">
        <v>45475</v>
      </c>
      <c r="F561" s="24" t="n">
        <v>3</v>
      </c>
    </row>
    <row r="562" customFormat="false" ht="15.75" hidden="false" customHeight="false" outlineLevel="0" collapsed="false">
      <c r="A562" s="19" t="n">
        <v>560</v>
      </c>
      <c r="B562" s="19" t="s">
        <v>577</v>
      </c>
      <c r="C562" s="19" t="s">
        <v>450</v>
      </c>
      <c r="D562" s="22" t="str">
        <f aca="false">HYPERLINK("https://discord.com/channels/1040938900039929917/1257692524357750796/1258645649713401947", "ссылка")</f>
        <v>ссылка</v>
      </c>
      <c r="E562" s="43" t="n">
        <v>45475</v>
      </c>
      <c r="F562" s="24" t="n">
        <v>4</v>
      </c>
    </row>
    <row r="563" customFormat="false" ht="15.75" hidden="false" customHeight="false" outlineLevel="0" collapsed="false">
      <c r="A563" s="19" t="n">
        <v>561</v>
      </c>
      <c r="B563" s="19" t="s">
        <v>326</v>
      </c>
      <c r="C563" s="19" t="s">
        <v>984</v>
      </c>
      <c r="D563" s="22" t="str">
        <f aca="false">HYPERLINK("https://discord.com/channels/1040938900039929917/1257392119111487640/1258649518275297360", "ссылка")</f>
        <v>ссылка</v>
      </c>
      <c r="E563" s="43" t="n">
        <v>45474</v>
      </c>
      <c r="F563" s="24" t="n">
        <v>5</v>
      </c>
    </row>
    <row r="564" customFormat="false" ht="15.75" hidden="false" customHeight="false" outlineLevel="0" collapsed="false">
      <c r="A564" s="19" t="n">
        <v>562</v>
      </c>
      <c r="B564" s="19" t="s">
        <v>326</v>
      </c>
      <c r="C564" s="19" t="s">
        <v>417</v>
      </c>
      <c r="D564" s="22" t="str">
        <f aca="false">HYPERLINK("https://discord.com/channels/1040938900039929917/1257392119111487640/1258649538848231424", "ссылка")</f>
        <v>ссылка</v>
      </c>
      <c r="E564" s="43" t="n">
        <v>45474</v>
      </c>
      <c r="F564" s="24" t="n">
        <v>1</v>
      </c>
    </row>
    <row r="565" customFormat="false" ht="15.75" hidden="false" customHeight="false" outlineLevel="0" collapsed="false">
      <c r="A565" s="19" t="n">
        <v>563</v>
      </c>
      <c r="B565" s="19" t="s">
        <v>326</v>
      </c>
      <c r="C565" s="19" t="s">
        <v>577</v>
      </c>
      <c r="D565" s="22" t="str">
        <f aca="false">HYPERLINK("https://discord.com/channels/1040938900039929917/1257392119111487640/1258649562873335871", "ссылка")</f>
        <v>ссылка</v>
      </c>
      <c r="E565" s="43" t="n">
        <v>45474</v>
      </c>
      <c r="F565" s="24" t="n">
        <v>3</v>
      </c>
    </row>
    <row r="566" customFormat="false" ht="15.75" hidden="false" customHeight="false" outlineLevel="0" collapsed="false">
      <c r="A566" s="19" t="n">
        <v>564</v>
      </c>
      <c r="B566" s="19" t="s">
        <v>326</v>
      </c>
      <c r="C566" s="19" t="s">
        <v>698</v>
      </c>
      <c r="D566" s="22" t="str">
        <f aca="false">HYPERLINK("https://discord.com/channels/1040938900039929917/1257392119111487640/1258649580455723029", "ссылка")</f>
        <v>ссылка</v>
      </c>
      <c r="E566" s="43" t="n">
        <v>45474</v>
      </c>
      <c r="F566" s="24" t="n">
        <v>1</v>
      </c>
    </row>
    <row r="567" customFormat="false" ht="15.75" hidden="false" customHeight="false" outlineLevel="0" collapsed="false">
      <c r="A567" s="19" t="n">
        <v>565</v>
      </c>
      <c r="B567" s="19" t="s">
        <v>326</v>
      </c>
      <c r="C567" s="19" t="s">
        <v>422</v>
      </c>
      <c r="D567" s="22" t="str">
        <f aca="false">HYPERLINK("https://discord.com/channels/1040938900039929917/1257392119111487640/1258649597333737534", "ссылка")</f>
        <v>ссылка</v>
      </c>
      <c r="E567" s="43" t="n">
        <v>45474</v>
      </c>
      <c r="F567" s="24" t="n">
        <v>1</v>
      </c>
    </row>
    <row r="568" customFormat="false" ht="15.75" hidden="false" customHeight="false" outlineLevel="0" collapsed="false">
      <c r="A568" s="19" t="n">
        <v>566</v>
      </c>
      <c r="B568" s="19" t="s">
        <v>326</v>
      </c>
      <c r="C568" s="19" t="s">
        <v>190</v>
      </c>
      <c r="D568" s="22" t="str">
        <f aca="false">HYPERLINK("https://discord.com/channels/1040938900039929917/1257392119111487640/1258649614052229120", "ссылка")</f>
        <v>ссылка</v>
      </c>
      <c r="E568" s="43" t="n">
        <v>45474</v>
      </c>
      <c r="F568" s="24" t="n">
        <v>1</v>
      </c>
    </row>
    <row r="569" customFormat="false" ht="15.75" hidden="false" customHeight="false" outlineLevel="0" collapsed="false">
      <c r="A569" s="19" t="n">
        <v>567</v>
      </c>
      <c r="B569" s="19" t="s">
        <v>326</v>
      </c>
      <c r="C569" s="19" t="s">
        <v>434</v>
      </c>
      <c r="D569" s="22" t="str">
        <f aca="false">HYPERLINK("https://discord.com/channels/1040938900039929917/1257392119111487640/1258649630934171748", "ссылка")</f>
        <v>ссылка</v>
      </c>
      <c r="E569" s="43" t="n">
        <v>45474</v>
      </c>
      <c r="F569" s="24" t="n">
        <v>1</v>
      </c>
    </row>
    <row r="570" customFormat="false" ht="15.75" hidden="false" customHeight="false" outlineLevel="0" collapsed="false">
      <c r="A570" s="19" t="n">
        <v>568</v>
      </c>
      <c r="B570" s="19" t="s">
        <v>737</v>
      </c>
      <c r="C570" s="19" t="s">
        <v>683</v>
      </c>
      <c r="D570" s="22" t="str">
        <f aca="false">HYPERLINK("https://discord.com/channels/1040938900039929917/1257365360592556093/1258652860061843477", "ссылка")</f>
        <v>ссылка</v>
      </c>
      <c r="E570" s="43" t="n">
        <v>45474</v>
      </c>
      <c r="F570" s="24" t="n">
        <v>5</v>
      </c>
    </row>
    <row r="571" customFormat="false" ht="15.75" hidden="false" customHeight="false" outlineLevel="0" collapsed="false">
      <c r="A571" s="19" t="n">
        <v>569</v>
      </c>
      <c r="B571" s="19" t="s">
        <v>737</v>
      </c>
      <c r="C571" s="19" t="s">
        <v>249</v>
      </c>
      <c r="D571" s="22" t="str">
        <f aca="false">HYPERLINK("https://discord.com/channels/1040938900039929917/1257365360592556093/1258652899664330865", "ссылка")</f>
        <v>ссылка</v>
      </c>
      <c r="E571" s="43" t="n">
        <v>45474</v>
      </c>
      <c r="F571" s="24" t="n">
        <v>3</v>
      </c>
    </row>
    <row r="572" customFormat="false" ht="15.75" hidden="false" customHeight="false" outlineLevel="0" collapsed="false">
      <c r="A572" s="19" t="n">
        <v>570</v>
      </c>
      <c r="B572" s="19" t="s">
        <v>683</v>
      </c>
      <c r="C572" s="19" t="s">
        <v>737</v>
      </c>
      <c r="D572" s="22" t="str">
        <f aca="false">HYPERLINK("https://discord.com/channels/1040938900039929917/1257379817301741579/1258653603284123729", "ссылка")</f>
        <v>ссылка</v>
      </c>
      <c r="E572" s="43" t="n">
        <v>45474</v>
      </c>
      <c r="F572" s="24" t="n">
        <v>4</v>
      </c>
    </row>
    <row r="573" customFormat="false" ht="15.75" hidden="false" customHeight="false" outlineLevel="0" collapsed="false">
      <c r="A573" s="19" t="n">
        <v>571</v>
      </c>
      <c r="B573" s="19" t="s">
        <v>88</v>
      </c>
      <c r="C573" s="19" t="s">
        <v>11</v>
      </c>
      <c r="D573" s="22" t="str">
        <f aca="false">HYPERLINK("https://discord.com/channels/1040938900039929917/1255620853928824832/1258654574286209074", "ссылка")</f>
        <v>ссылка</v>
      </c>
      <c r="E573" s="43" t="n">
        <v>45469</v>
      </c>
      <c r="F573" s="24" t="n">
        <v>3</v>
      </c>
    </row>
    <row r="574" customFormat="false" ht="15.75" hidden="false" customHeight="false" outlineLevel="0" collapsed="false">
      <c r="A574" s="19" t="n">
        <v>572</v>
      </c>
      <c r="B574" s="19" t="s">
        <v>88</v>
      </c>
      <c r="C574" s="19" t="s">
        <v>310</v>
      </c>
      <c r="D574" s="22" t="str">
        <f aca="false">HYPERLINK("https://discord.com/channels/1040938900039929917/1255620853928824832/1258654591873191936", "ссылка")</f>
        <v>ссылка</v>
      </c>
      <c r="E574" s="43" t="n">
        <v>45469</v>
      </c>
      <c r="F574" s="24" t="n">
        <v>3</v>
      </c>
    </row>
    <row r="575" customFormat="false" ht="15.75" hidden="false" customHeight="false" outlineLevel="0" collapsed="false">
      <c r="A575" s="19" t="n">
        <v>573</v>
      </c>
      <c r="B575" s="19" t="s">
        <v>88</v>
      </c>
      <c r="C575" s="19" t="s">
        <v>67</v>
      </c>
      <c r="D575" s="22" t="str">
        <f aca="false">HYPERLINK("https://discord.com/channels/1040938900039929917/1255620853928824832/1258654609988259910", "ссылка")</f>
        <v>ссылка</v>
      </c>
      <c r="E575" s="43" t="n">
        <v>45469</v>
      </c>
      <c r="F575" s="24" t="n">
        <v>3</v>
      </c>
    </row>
    <row r="576" customFormat="false" ht="15.75" hidden="false" customHeight="false" outlineLevel="0" collapsed="false">
      <c r="A576" s="19" t="n">
        <v>574</v>
      </c>
      <c r="B576" s="19" t="s">
        <v>88</v>
      </c>
      <c r="C576" s="19" t="s">
        <v>1020</v>
      </c>
      <c r="D576" s="22" t="str">
        <f aca="false">HYPERLINK("https://discord.com/channels/1040938900039929917/1255616247874191431/1258655956783595600", "ссылка")</f>
        <v>ссылка</v>
      </c>
      <c r="E576" s="43" t="n">
        <v>45469</v>
      </c>
      <c r="F576" s="24" t="n">
        <v>3</v>
      </c>
    </row>
    <row r="577" customFormat="false" ht="15.75" hidden="false" customHeight="false" outlineLevel="0" collapsed="false">
      <c r="A577" s="19" t="n">
        <v>575</v>
      </c>
      <c r="B577" s="19" t="s">
        <v>422</v>
      </c>
      <c r="C577" s="19" t="s">
        <v>495</v>
      </c>
      <c r="D577" s="22" t="str">
        <f aca="false">HYPERLINK("https://discord.com/channels/1040938900039929917/1257971219383451791/1259389727522558032", "ссылка")</f>
        <v>ссылка</v>
      </c>
      <c r="E577" s="58" t="n">
        <v>45476</v>
      </c>
      <c r="F577" s="24" t="n">
        <v>10</v>
      </c>
    </row>
    <row r="578" customFormat="false" ht="15.75" hidden="false" customHeight="false" outlineLevel="0" collapsed="false">
      <c r="A578" s="19" t="n">
        <v>576</v>
      </c>
      <c r="B578" s="19" t="s">
        <v>422</v>
      </c>
      <c r="C578" s="19" t="s">
        <v>1020</v>
      </c>
      <c r="D578" s="22" t="str">
        <f aca="false">HYPERLINK("https://discord.com/channels/1040938900039929917/1257971219383451791/1259389778546266176", "ссылка")</f>
        <v>ссылка</v>
      </c>
      <c r="E578" s="58" t="n">
        <v>45476</v>
      </c>
      <c r="F578" s="24" t="n">
        <v>7</v>
      </c>
    </row>
    <row r="579" customFormat="false" ht="15.75" hidden="false" customHeight="false" outlineLevel="0" collapsed="false">
      <c r="A579" s="19" t="n">
        <v>577</v>
      </c>
      <c r="B579" s="19" t="s">
        <v>422</v>
      </c>
      <c r="C579" s="19" t="s">
        <v>676</v>
      </c>
      <c r="D579" s="22" t="str">
        <f aca="false">HYPERLINK("https://discord.com/channels/1040938900039929917/1257971219383451791/1259389800461369395", "ссылка")</f>
        <v>ссылка</v>
      </c>
      <c r="E579" s="58" t="n">
        <v>45476</v>
      </c>
      <c r="F579" s="24" t="n">
        <v>4</v>
      </c>
    </row>
    <row r="580" customFormat="false" ht="15.75" hidden="false" customHeight="false" outlineLevel="0" collapsed="false">
      <c r="A580" s="19" t="n">
        <v>578</v>
      </c>
      <c r="B580" s="19" t="s">
        <v>422</v>
      </c>
      <c r="C580" s="19" t="s">
        <v>282</v>
      </c>
      <c r="D580" s="22" t="str">
        <f aca="false">HYPERLINK("https://discord.com/channels/1040938900039929917/1257971219383451791/1259389819260244068", "ссылка")</f>
        <v>ссылка</v>
      </c>
      <c r="E580" s="58" t="n">
        <v>45476</v>
      </c>
      <c r="F580" s="24" t="n">
        <v>3</v>
      </c>
    </row>
    <row r="581" customFormat="false" ht="15.75" hidden="false" customHeight="false" outlineLevel="0" collapsed="false">
      <c r="A581" s="19" t="n">
        <v>579</v>
      </c>
      <c r="B581" s="19" t="s">
        <v>422</v>
      </c>
      <c r="C581" s="19" t="s">
        <v>577</v>
      </c>
      <c r="D581" s="22" t="str">
        <f aca="false">HYPERLINK("https://discord.com/channels/1040938900039929917/1257971219383451791/1259389837040029707", "ссылка")</f>
        <v>ссылка</v>
      </c>
      <c r="E581" s="58" t="n">
        <v>45476</v>
      </c>
      <c r="F581" s="24" t="n">
        <v>3</v>
      </c>
    </row>
    <row r="582" customFormat="false" ht="15.75" hidden="false" customHeight="false" outlineLevel="0" collapsed="false">
      <c r="A582" s="19" t="n">
        <v>580</v>
      </c>
      <c r="B582" s="19" t="s">
        <v>422</v>
      </c>
      <c r="C582" s="19" t="s">
        <v>1007</v>
      </c>
      <c r="D582" s="22" t="str">
        <f aca="false">HYPERLINK("https://discord.com/channels/1040938900039929917/1257971219383451791/1259389758077931632", "ссылка")</f>
        <v>ссылка</v>
      </c>
      <c r="E582" s="58" t="n">
        <v>45476</v>
      </c>
      <c r="F582" s="24" t="n">
        <v>5</v>
      </c>
    </row>
    <row r="583" customFormat="false" ht="15.75" hidden="false" customHeight="false" outlineLevel="0" collapsed="false">
      <c r="A583" s="19" t="n">
        <v>581</v>
      </c>
      <c r="B583" s="19" t="s">
        <v>417</v>
      </c>
      <c r="C583" s="19" t="s">
        <v>422</v>
      </c>
      <c r="D583" s="22" t="str">
        <f aca="false">HYPERLINK("https://discord.com/channels/1040938900039929917/1257724486510186588/1259388153039683615", "ссылка")</f>
        <v>ссылка</v>
      </c>
      <c r="E583" s="43" t="n">
        <v>45475</v>
      </c>
      <c r="F583" s="24" t="n">
        <v>3</v>
      </c>
    </row>
    <row r="584" customFormat="false" ht="15.75" hidden="false" customHeight="false" outlineLevel="0" collapsed="false">
      <c r="A584" s="19" t="n">
        <v>582</v>
      </c>
      <c r="B584" s="19" t="s">
        <v>417</v>
      </c>
      <c r="C584" s="19" t="s">
        <v>984</v>
      </c>
      <c r="D584" s="22" t="str">
        <f aca="false">HYPERLINK("https://discord.com/channels/1040938900039929917/1257724486510186588/1259388178792710154", "ссылка")</f>
        <v>ссылка</v>
      </c>
      <c r="E584" s="43" t="n">
        <v>45475</v>
      </c>
      <c r="F584" s="24" t="n">
        <v>3</v>
      </c>
    </row>
    <row r="585" customFormat="false" ht="15.75" hidden="false" customHeight="false" outlineLevel="0" collapsed="false">
      <c r="A585" s="19" t="n">
        <v>583</v>
      </c>
      <c r="B585" s="19" t="s">
        <v>417</v>
      </c>
      <c r="C585" s="19" t="s">
        <v>13</v>
      </c>
      <c r="D585" s="22" t="str">
        <f aca="false">HYPERLINK("https://discord.com/channels/1040938900039929917/1257724486510186588/1259388217262870641", "ссылка")</f>
        <v>ссылка</v>
      </c>
      <c r="E585" s="43" t="n">
        <v>45475</v>
      </c>
      <c r="F585" s="24" t="n">
        <v>2</v>
      </c>
    </row>
    <row r="586" customFormat="false" ht="15.75" hidden="false" customHeight="false" outlineLevel="0" collapsed="false">
      <c r="A586" s="19" t="n">
        <v>584</v>
      </c>
      <c r="B586" s="19" t="s">
        <v>417</v>
      </c>
      <c r="C586" s="19" t="s">
        <v>282</v>
      </c>
      <c r="D586" s="22" t="str">
        <f aca="false">HYPERLINK("https://discord.com/channels/1040938900039929917/1257724486510186588/1259388233347760179", "ссылка")</f>
        <v>ссылка</v>
      </c>
      <c r="E586" s="43" t="n">
        <v>45475</v>
      </c>
      <c r="F586" s="24" t="n">
        <v>0</v>
      </c>
    </row>
    <row r="587" customFormat="false" ht="15.75" hidden="false" customHeight="false" outlineLevel="0" collapsed="false">
      <c r="A587" s="19" t="n">
        <v>585</v>
      </c>
      <c r="B587" s="19" t="s">
        <v>417</v>
      </c>
      <c r="C587" s="19" t="s">
        <v>228</v>
      </c>
      <c r="D587" s="22" t="str">
        <f aca="false">HYPERLINK("https://discord.com/channels/1040938900039929917/1257724486510186588/1259388253698785363", "ссылка")</f>
        <v>ссылка</v>
      </c>
      <c r="E587" s="43" t="n">
        <v>45475</v>
      </c>
      <c r="F587" s="24" t="n">
        <v>2</v>
      </c>
    </row>
    <row r="588" customFormat="false" ht="15.75" hidden="false" customHeight="false" outlineLevel="0" collapsed="false">
      <c r="A588" s="19" t="n">
        <v>586</v>
      </c>
      <c r="B588" s="19" t="s">
        <v>228</v>
      </c>
      <c r="C588" s="19" t="s">
        <v>30</v>
      </c>
      <c r="D588" s="22" t="str">
        <f aca="false">HYPERLINK("https://discord.com/channels/1040938900039929917/1258329516858802206/1259834644522860554", "ссылка")</f>
        <v>ссылка</v>
      </c>
      <c r="E588" s="43" t="n">
        <v>45477</v>
      </c>
      <c r="F588" s="24" t="n">
        <v>3</v>
      </c>
    </row>
    <row r="589" customFormat="false" ht="15.75" hidden="false" customHeight="false" outlineLevel="0" collapsed="false">
      <c r="A589" s="19" t="n">
        <v>587</v>
      </c>
      <c r="B589" s="19" t="s">
        <v>88</v>
      </c>
      <c r="C589" s="19" t="s">
        <v>746</v>
      </c>
      <c r="D589" s="24" t="s">
        <v>1003</v>
      </c>
      <c r="E589" s="43" t="n">
        <v>45481</v>
      </c>
      <c r="F589" s="24" t="n">
        <v>10</v>
      </c>
    </row>
    <row r="590" customFormat="false" ht="15.75" hidden="false" customHeight="false" outlineLevel="0" collapsed="false">
      <c r="A590" s="19" t="n">
        <v>588</v>
      </c>
      <c r="B590" s="19" t="s">
        <v>88</v>
      </c>
      <c r="C590" s="19" t="s">
        <v>76</v>
      </c>
      <c r="D590" s="22" t="str">
        <f aca="false">HYPERLINK("https://discord.com/channels/1040938900039929917/1258885205872345158/1260175556012412970", "ссылка")</f>
        <v>ссылка</v>
      </c>
      <c r="E590" s="43" t="n">
        <v>45478</v>
      </c>
      <c r="F590" s="24" t="n">
        <v>-1</v>
      </c>
    </row>
    <row r="591" customFormat="false" ht="15.75" hidden="false" customHeight="false" outlineLevel="0" collapsed="false">
      <c r="A591" s="19" t="n">
        <v>589</v>
      </c>
      <c r="B591" s="19" t="s">
        <v>88</v>
      </c>
      <c r="C591" s="19" t="s">
        <v>1022</v>
      </c>
      <c r="D591" s="22" t="str">
        <f aca="false">HYPERLINK("https://discord.com/channels/1040938900039929917/1258885205872345158/1260175575713185865", "ссылка")</f>
        <v>ссылка</v>
      </c>
      <c r="E591" s="43" t="n">
        <v>45478</v>
      </c>
      <c r="F591" s="24" t="n">
        <v>0</v>
      </c>
    </row>
    <row r="592" customFormat="false" ht="15.75" hidden="false" customHeight="false" outlineLevel="0" collapsed="false">
      <c r="A592" s="19" t="n">
        <v>590</v>
      </c>
      <c r="B592" s="19" t="s">
        <v>422</v>
      </c>
      <c r="C592" s="19" t="s">
        <v>417</v>
      </c>
      <c r="D592" s="22" t="str">
        <f aca="false">HYPERLINK("https://discord.com/channels/1040938900039929917/1257730366504960060/1260176067306721364", "ссылка")</f>
        <v>ссылка</v>
      </c>
      <c r="E592" s="43" t="n">
        <v>45475</v>
      </c>
      <c r="F592" s="24" t="n">
        <v>3</v>
      </c>
    </row>
    <row r="593" customFormat="false" ht="15.75" hidden="false" customHeight="false" outlineLevel="0" collapsed="false">
      <c r="A593" s="19" t="n">
        <v>591</v>
      </c>
      <c r="B593" s="19" t="s">
        <v>116</v>
      </c>
      <c r="C593" s="19" t="s">
        <v>13</v>
      </c>
      <c r="D593" s="22" t="str">
        <f aca="false">HYPERLINK("https://discord.com/channels/1040938900039929917/1258881851649556520/1260177355436064829", "ссылка")</f>
        <v>ссылка</v>
      </c>
      <c r="E593" s="43" t="n">
        <v>45478</v>
      </c>
      <c r="F593" s="24" t="n">
        <v>4</v>
      </c>
    </row>
    <row r="594" customFormat="false" ht="15.75" hidden="false" customHeight="false" outlineLevel="0" collapsed="false">
      <c r="A594" s="19" t="n">
        <v>592</v>
      </c>
      <c r="B594" s="19" t="s">
        <v>249</v>
      </c>
      <c r="C594" s="19" t="s">
        <v>257</v>
      </c>
      <c r="D594" s="22" t="str">
        <f aca="false">HYPERLINK("https://discord.com/channels/1040938900039929917/1257004160931463208/1260178072410525706", "ссылка")</f>
        <v>ссылка</v>
      </c>
      <c r="E594" s="43" t="n">
        <v>45473</v>
      </c>
      <c r="F594" s="24" t="n">
        <v>0</v>
      </c>
    </row>
    <row r="595" customFormat="false" ht="15.75" hidden="false" customHeight="false" outlineLevel="0" collapsed="false">
      <c r="A595" s="19" t="n">
        <v>593</v>
      </c>
      <c r="B595" s="19" t="s">
        <v>16</v>
      </c>
      <c r="C595" s="19" t="s">
        <v>984</v>
      </c>
      <c r="D595" s="22" t="str">
        <f aca="false">HYPERLINK("https://discord.com/channels/1040938900039929917/1259924959774375946/1260092247941316682", "ссылка")</f>
        <v>ссылка</v>
      </c>
      <c r="E595" s="43" t="n">
        <v>45482</v>
      </c>
      <c r="F595" s="24" t="n">
        <v>-3</v>
      </c>
    </row>
    <row r="596" customFormat="false" ht="15.75" hidden="false" customHeight="false" outlineLevel="0" collapsed="false">
      <c r="A596" s="19" t="n">
        <v>594</v>
      </c>
      <c r="B596" s="19" t="s">
        <v>473</v>
      </c>
      <c r="C596" s="19" t="s">
        <v>753</v>
      </c>
      <c r="D596" s="24" t="s">
        <v>1023</v>
      </c>
      <c r="E596" s="43" t="n">
        <v>45482</v>
      </c>
      <c r="F596" s="24" t="n">
        <v>-15</v>
      </c>
    </row>
    <row r="597" customFormat="false" ht="15.75" hidden="false" customHeight="false" outlineLevel="0" collapsed="false">
      <c r="A597" s="19" t="n">
        <v>595</v>
      </c>
      <c r="B597" s="19" t="s">
        <v>16</v>
      </c>
      <c r="C597" s="19" t="s">
        <v>147</v>
      </c>
      <c r="D597" s="22" t="str">
        <f aca="false">HYPERLINK("https://discord.com/channels/1040938900039929917/1259924959774375946", "ссылка")</f>
        <v>ссылка</v>
      </c>
      <c r="E597" s="43" t="n">
        <v>45482</v>
      </c>
      <c r="F597" s="24" t="n">
        <v>-5</v>
      </c>
    </row>
    <row r="598" customFormat="false" ht="15.75" hidden="false" customHeight="false" outlineLevel="0" collapsed="false">
      <c r="A598" s="19" t="n">
        <v>596</v>
      </c>
      <c r="B598" s="19" t="s">
        <v>16</v>
      </c>
      <c r="C598" s="19" t="s">
        <v>737</v>
      </c>
      <c r="D598" s="22" t="str">
        <f aca="false">HYPERLINK("https://discord.com/channels/1040938900039929917/1259924959774375946", "ссылка")</f>
        <v>ссылка</v>
      </c>
      <c r="E598" s="43" t="n">
        <v>45482</v>
      </c>
      <c r="F598" s="24" t="n">
        <v>-12</v>
      </c>
    </row>
    <row r="599" customFormat="false" ht="15.75" hidden="false" customHeight="false" outlineLevel="0" collapsed="false">
      <c r="A599" s="19" t="n">
        <v>597</v>
      </c>
      <c r="B599" s="19" t="s">
        <v>255</v>
      </c>
      <c r="C599" s="19" t="s">
        <v>88</v>
      </c>
      <c r="D599" s="22" t="str">
        <f aca="false">HYPERLINK("https://discord.com/channels/1040938900039929917/1258729702684885013/1260483988447957002", "ссылка")</f>
        <v>ссылка</v>
      </c>
      <c r="E599" s="43" t="n">
        <v>45478</v>
      </c>
      <c r="F599" s="24" t="n">
        <v>5</v>
      </c>
    </row>
    <row r="600" customFormat="false" ht="15.75" hidden="false" customHeight="false" outlineLevel="0" collapsed="false">
      <c r="A600" s="19" t="n">
        <v>598</v>
      </c>
      <c r="B600" s="19" t="s">
        <v>473</v>
      </c>
      <c r="C600" s="19" t="s">
        <v>755</v>
      </c>
      <c r="D600" s="24" t="s">
        <v>1024</v>
      </c>
      <c r="E600" s="43" t="n">
        <v>45483</v>
      </c>
      <c r="F600" s="24" t="n">
        <v>-15</v>
      </c>
    </row>
    <row r="601" customFormat="false" ht="15.75" hidden="false" customHeight="false" outlineLevel="0" collapsed="false">
      <c r="A601" s="19" t="n">
        <v>599</v>
      </c>
      <c r="B601" s="19" t="s">
        <v>139</v>
      </c>
      <c r="C601" s="19" t="s">
        <v>671</v>
      </c>
      <c r="D601" s="22" t="str">
        <f aca="false">HYPERLINK("https://discord.com/channels/1040938900039929917/1259913328789028928/1260555576903991428", "ссылка")</f>
        <v>ссылка</v>
      </c>
      <c r="E601" s="43" t="n">
        <v>45481</v>
      </c>
      <c r="F601" s="24" t="n">
        <v>8</v>
      </c>
    </row>
    <row r="602" customFormat="false" ht="15.75" hidden="false" customHeight="false" outlineLevel="0" collapsed="false">
      <c r="A602" s="19" t="n">
        <v>600</v>
      </c>
      <c r="B602" s="19" t="s">
        <v>139</v>
      </c>
      <c r="C602" s="19" t="s">
        <v>741</v>
      </c>
      <c r="D602" s="22" t="str">
        <f aca="false">HYPERLINK("https://discord.com/channels/1040938900039929917/1259913328789028928/1260555594536980551", "ссылка")</f>
        <v>ссылка</v>
      </c>
      <c r="E602" s="43" t="n">
        <v>45481</v>
      </c>
      <c r="F602" s="24" t="n">
        <v>4</v>
      </c>
    </row>
    <row r="603" customFormat="false" ht="15.75" hidden="false" customHeight="false" outlineLevel="0" collapsed="false">
      <c r="A603" s="19" t="n">
        <v>601</v>
      </c>
      <c r="B603" s="19" t="s">
        <v>139</v>
      </c>
      <c r="C603" s="19" t="s">
        <v>332</v>
      </c>
      <c r="D603" s="22" t="str">
        <f aca="false">HYPERLINK("https://discord.com/channels/1040938900039929917/1259913328789028928/1260555618645839892", "ссылка")</f>
        <v>ссылка</v>
      </c>
      <c r="E603" s="43" t="n">
        <v>45481</v>
      </c>
      <c r="F603" s="24" t="n">
        <v>4</v>
      </c>
    </row>
    <row r="604" customFormat="false" ht="15.75" hidden="false" customHeight="false" outlineLevel="0" collapsed="false">
      <c r="A604" s="19" t="n">
        <v>602</v>
      </c>
      <c r="B604" s="19" t="s">
        <v>139</v>
      </c>
      <c r="C604" s="19" t="s">
        <v>417</v>
      </c>
      <c r="D604" s="22" t="str">
        <f aca="false">HYPERLINK("https://discord.com/channels/1040938900039929917/1259913328789028928/1260555645170618409", "ссылка")</f>
        <v>ссылка</v>
      </c>
      <c r="E604" s="43" t="n">
        <v>45481</v>
      </c>
      <c r="F604" s="24" t="n">
        <v>6</v>
      </c>
    </row>
    <row r="605" customFormat="false" ht="15.75" hidden="false" customHeight="false" outlineLevel="0" collapsed="false">
      <c r="A605" s="19" t="n">
        <v>603</v>
      </c>
      <c r="B605" s="19" t="s">
        <v>671</v>
      </c>
      <c r="C605" s="19" t="s">
        <v>139</v>
      </c>
      <c r="D605" s="22" t="str">
        <f aca="false">HYPERLINK("https://discord.com/channels/1040938900039929917/1259917946201968672/1260558813153591409", "ссылка")</f>
        <v>ссылка</v>
      </c>
      <c r="E605" s="43" t="n">
        <v>45481</v>
      </c>
      <c r="F605" s="24" t="n">
        <v>10</v>
      </c>
    </row>
    <row r="606" customFormat="false" ht="15.75" hidden="false" customHeight="false" outlineLevel="0" collapsed="false">
      <c r="A606" s="19" t="n">
        <v>604</v>
      </c>
      <c r="B606" s="19" t="s">
        <v>13</v>
      </c>
      <c r="C606" s="19" t="s">
        <v>389</v>
      </c>
      <c r="D606" s="22" t="str">
        <f aca="false">HYPERLINK("https://discord.com/channels/1040938900039929917/1258731692621828127/1260578631479201824", "ссылка")</f>
        <v>ссылка</v>
      </c>
      <c r="E606" s="43" t="n">
        <v>45478</v>
      </c>
      <c r="F606" s="24" t="n">
        <v>-7</v>
      </c>
    </row>
    <row r="607" customFormat="false" ht="15.75" hidden="false" customHeight="false" outlineLevel="0" collapsed="false">
      <c r="A607" s="19" t="n">
        <v>605</v>
      </c>
      <c r="B607" s="19" t="s">
        <v>511</v>
      </c>
      <c r="C607" s="19" t="s">
        <v>13</v>
      </c>
      <c r="D607" s="22" t="str">
        <f aca="false">HYPERLINK("https://discord.com/channels/1040938900039929917/1259909459476611093/1260580886995406988", "ссылка")</f>
        <v>ссылка</v>
      </c>
      <c r="E607" s="43" t="n">
        <v>45481</v>
      </c>
      <c r="F607" s="24" t="n">
        <v>5</v>
      </c>
    </row>
    <row r="608" customFormat="false" ht="15.75" hidden="false" customHeight="false" outlineLevel="0" collapsed="false">
      <c r="A608" s="19" t="n">
        <v>606</v>
      </c>
      <c r="B608" s="19" t="s">
        <v>107</v>
      </c>
      <c r="C608" s="19" t="s">
        <v>434</v>
      </c>
      <c r="D608" s="22" t="str">
        <f aca="false">HYPERLINK("https://discord.com/channels/1040938900039929917/1253677280819937401/1260583425002311742", "ссылка")</f>
        <v>ссылка</v>
      </c>
      <c r="E608" s="43" t="n">
        <v>45464</v>
      </c>
      <c r="F608" s="24" t="n">
        <v>5</v>
      </c>
    </row>
    <row r="609" customFormat="false" ht="15.75" hidden="false" customHeight="false" outlineLevel="0" collapsed="false">
      <c r="A609" s="19" t="n">
        <v>607</v>
      </c>
      <c r="B609" s="19" t="s">
        <v>107</v>
      </c>
      <c r="C609" s="19" t="s">
        <v>692</v>
      </c>
      <c r="D609" s="22" t="str">
        <f aca="false">HYPERLINK("https://discord.com/channels/1040938900039929917/1253677280819937401/1260583440852717669", "ссылка")</f>
        <v>ссылка</v>
      </c>
      <c r="E609" s="43" t="n">
        <v>45464</v>
      </c>
      <c r="F609" s="24" t="n">
        <v>5</v>
      </c>
    </row>
    <row r="610" customFormat="false" ht="15.75" hidden="false" customHeight="false" outlineLevel="0" collapsed="false">
      <c r="A610" s="19" t="n">
        <v>608</v>
      </c>
      <c r="B610" s="19" t="s">
        <v>107</v>
      </c>
      <c r="C610" s="19" t="s">
        <v>375</v>
      </c>
      <c r="D610" s="22" t="str">
        <f aca="false">HYPERLINK("https://discord.com/channels/1040938900039929917/1253677280819937401/1260583464365719583", "ссылка")</f>
        <v>ссылка</v>
      </c>
      <c r="E610" s="43" t="n">
        <v>45464</v>
      </c>
      <c r="F610" s="24" t="n">
        <v>5</v>
      </c>
    </row>
    <row r="611" customFormat="false" ht="15.75" hidden="false" customHeight="false" outlineLevel="0" collapsed="false">
      <c r="A611" s="19" t="n">
        <v>609</v>
      </c>
      <c r="B611" s="19" t="s">
        <v>310</v>
      </c>
      <c r="C611" s="19" t="s">
        <v>495</v>
      </c>
      <c r="D611" s="22" t="str">
        <f aca="false">HYPERLINK("https://discord.com/channels/1040938900039929917/1260295821568770080/1260899917593841744", "ссылка")</f>
        <v>ссылка</v>
      </c>
      <c r="E611" s="43" t="n">
        <v>45482</v>
      </c>
      <c r="F611" s="24" t="n">
        <v>4</v>
      </c>
    </row>
    <row r="612" customFormat="false" ht="15.75" hidden="false" customHeight="false" outlineLevel="0" collapsed="false">
      <c r="A612" s="19" t="n">
        <v>610</v>
      </c>
      <c r="B612" s="19" t="s">
        <v>310</v>
      </c>
      <c r="C612" s="19" t="s">
        <v>671</v>
      </c>
      <c r="D612" s="22" t="str">
        <f aca="false">HYPERLINK("https://discord.com/channels/1040938900039929917/1260337335858495580/1261222382400438282", "ссылка")</f>
        <v>ссылка</v>
      </c>
      <c r="E612" s="43" t="n">
        <v>45482</v>
      </c>
      <c r="F612" s="24" t="n">
        <v>3</v>
      </c>
    </row>
    <row r="613" customFormat="false" ht="15.75" hidden="false" customHeight="false" outlineLevel="0" collapsed="false">
      <c r="A613" s="19" t="n">
        <v>611</v>
      </c>
      <c r="B613" s="19" t="s">
        <v>310</v>
      </c>
      <c r="C613" s="19" t="s">
        <v>143</v>
      </c>
      <c r="D613" s="22" t="str">
        <f aca="false">HYPERLINK("https://discord.com/channels/1040938900039929917/1260337335858495580/1261222405456662621", "ссылка")</f>
        <v>ссылка</v>
      </c>
      <c r="E613" s="43" t="n">
        <v>45482</v>
      </c>
      <c r="F613" s="24" t="n">
        <v>3</v>
      </c>
    </row>
    <row r="614" customFormat="false" ht="15.75" hidden="false" customHeight="false" outlineLevel="0" collapsed="false">
      <c r="A614" s="19" t="n">
        <v>612</v>
      </c>
      <c r="B614" s="19" t="s">
        <v>310</v>
      </c>
      <c r="C614" s="19" t="s">
        <v>579</v>
      </c>
      <c r="D614" s="22" t="str">
        <f aca="false">HYPERLINK("https://discord.com/channels/1040938900039929917/1260337335858495580/1261222427237814282", "ссылка")</f>
        <v>ссылка</v>
      </c>
      <c r="E614" s="43" t="n">
        <v>45482</v>
      </c>
      <c r="F614" s="24" t="n">
        <v>0</v>
      </c>
    </row>
    <row r="615" customFormat="false" ht="15.75" hidden="false" customHeight="false" outlineLevel="0" collapsed="false">
      <c r="A615" s="19" t="n">
        <v>613</v>
      </c>
      <c r="B615" s="19" t="s">
        <v>310</v>
      </c>
      <c r="C615" s="19" t="s">
        <v>683</v>
      </c>
      <c r="D615" s="22" t="str">
        <f aca="false">HYPERLINK("https://discord.com/channels/1040938900039929917/1260337335858495580/1261222446078496820", "ссылка")</f>
        <v>ссылка</v>
      </c>
      <c r="E615" s="43" t="n">
        <v>45482</v>
      </c>
      <c r="F615" s="24" t="n">
        <v>0</v>
      </c>
    </row>
    <row r="616" customFormat="false" ht="15.75" hidden="false" customHeight="false" outlineLevel="0" collapsed="false">
      <c r="A616" s="19" t="n">
        <v>614</v>
      </c>
      <c r="B616" s="19" t="s">
        <v>579</v>
      </c>
      <c r="C616" s="19" t="s">
        <v>310</v>
      </c>
      <c r="D616" s="22" t="str">
        <f aca="false">HYPERLINK("https://discord.com/channels/1040938900039929917/1260369702941884426/1261223838809591889", "ссылка")</f>
        <v>ссылка</v>
      </c>
      <c r="E616" s="43" t="n">
        <v>45483</v>
      </c>
      <c r="F616" s="24" t="n">
        <v>8</v>
      </c>
    </row>
    <row r="617" customFormat="false" ht="15.75" hidden="false" customHeight="false" outlineLevel="0" collapsed="false">
      <c r="A617" s="19" t="n">
        <v>615</v>
      </c>
      <c r="B617" s="19" t="s">
        <v>495</v>
      </c>
      <c r="C617" s="19" t="s">
        <v>475</v>
      </c>
      <c r="D617" s="22" t="str">
        <f aca="false">HYPERLINK("https://discord.com/channels/1040938900039929917/1259426586822971413/1261930219476881420", "ссылка")</f>
        <v>ссылка</v>
      </c>
      <c r="E617" s="43" t="n">
        <v>45480</v>
      </c>
      <c r="F617" s="24" t="n">
        <v>2</v>
      </c>
    </row>
    <row r="618" customFormat="false" ht="15.75" hidden="false" customHeight="false" outlineLevel="0" collapsed="false">
      <c r="A618" s="19" t="n">
        <v>616</v>
      </c>
      <c r="B618" s="19" t="s">
        <v>495</v>
      </c>
      <c r="C618" s="19" t="s">
        <v>737</v>
      </c>
      <c r="D618" s="22" t="str">
        <f aca="false">HYPERLINK("https://discord.com/channels/1040938900039929917/1259426586822971413/1261930243510374460", "ссылка")</f>
        <v>ссылка</v>
      </c>
      <c r="E618" s="43" t="n">
        <v>45480</v>
      </c>
      <c r="F618" s="24" t="n">
        <v>3</v>
      </c>
    </row>
    <row r="619" customFormat="false" ht="15.75" hidden="false" customHeight="false" outlineLevel="0" collapsed="false">
      <c r="A619" s="19" t="n">
        <v>617</v>
      </c>
      <c r="B619" s="19" t="s">
        <v>495</v>
      </c>
      <c r="C619" s="19" t="s">
        <v>1020</v>
      </c>
      <c r="D619" s="22" t="str">
        <f aca="false">HYPERLINK("https://discord.com/channels/1040938900039929917/1259426586822971413/1261930253379436657", "ссылка")</f>
        <v>ссылка</v>
      </c>
      <c r="E619" s="43" t="n">
        <v>45480</v>
      </c>
      <c r="F619" s="24" t="n">
        <v>4</v>
      </c>
    </row>
    <row r="620" customFormat="false" ht="15.75" hidden="false" customHeight="false" outlineLevel="0" collapsed="false">
      <c r="A620" s="19" t="n">
        <v>618</v>
      </c>
      <c r="B620" s="19" t="s">
        <v>11</v>
      </c>
      <c r="C620" s="19" t="s">
        <v>763</v>
      </c>
      <c r="D620" s="24" t="s">
        <v>1025</v>
      </c>
      <c r="E620" s="43" t="n">
        <v>45487</v>
      </c>
      <c r="F620" s="24" t="n">
        <v>-15</v>
      </c>
    </row>
    <row r="621" customFormat="false" ht="15.75" hidden="false" customHeight="false" outlineLevel="0" collapsed="false">
      <c r="A621" s="19" t="n">
        <v>619</v>
      </c>
      <c r="B621" s="19" t="s">
        <v>450</v>
      </c>
      <c r="C621" s="19" t="s">
        <v>534</v>
      </c>
      <c r="D621" s="22" t="str">
        <f aca="false">HYPERLINK("https://discord.com/channels/1040938900039929917/1259046474893754438/1262043645696020663", "ссылка")</f>
        <v>ссылка</v>
      </c>
      <c r="E621" s="43" t="n">
        <v>45479</v>
      </c>
      <c r="F621" s="24" t="n">
        <v>2</v>
      </c>
    </row>
    <row r="622" customFormat="false" ht="15.75" hidden="false" customHeight="false" outlineLevel="0" collapsed="false">
      <c r="A622" s="19" t="n">
        <v>620</v>
      </c>
      <c r="B622" s="19" t="s">
        <v>450</v>
      </c>
      <c r="C622" s="19" t="s">
        <v>422</v>
      </c>
      <c r="D622" s="22" t="str">
        <f aca="false">HYPERLINK("https://discord.com/channels/1040938900039929917/1259046474893754438/1262043662498402375", "ссылка")</f>
        <v>ссылка</v>
      </c>
      <c r="E622" s="43" t="n">
        <v>45479</v>
      </c>
      <c r="F622" s="24" t="n">
        <v>2</v>
      </c>
    </row>
    <row r="623" customFormat="false" ht="15.75" hidden="false" customHeight="false" outlineLevel="0" collapsed="false">
      <c r="A623" s="19" t="n">
        <v>621</v>
      </c>
      <c r="B623" s="19" t="s">
        <v>450</v>
      </c>
      <c r="C623" s="19" t="s">
        <v>125</v>
      </c>
      <c r="D623" s="22" t="str">
        <f aca="false">HYPERLINK("https://discord.com/channels/1040938900039929917/1259046474893754438/1262043677942091846", "ссылка")</f>
        <v>ссылка</v>
      </c>
      <c r="E623" s="43" t="n">
        <v>45479</v>
      </c>
      <c r="F623" s="24" t="n">
        <v>1</v>
      </c>
    </row>
    <row r="624" customFormat="false" ht="15.75" hidden="false" customHeight="false" outlineLevel="0" collapsed="false">
      <c r="A624" s="19" t="n">
        <v>622</v>
      </c>
      <c r="B624" s="19" t="s">
        <v>450</v>
      </c>
      <c r="C624" s="19" t="s">
        <v>122</v>
      </c>
      <c r="D624" s="22" t="str">
        <f aca="false">HYPERLINK("https://discord.com/channels/1040938900039929917/1259046474893754438/1262043692244664360", "ссылка")</f>
        <v>ссылка</v>
      </c>
      <c r="E624" s="43" t="n">
        <v>45479</v>
      </c>
      <c r="F624" s="24" t="n">
        <v>3</v>
      </c>
    </row>
    <row r="625" customFormat="false" ht="15.75" hidden="false" customHeight="false" outlineLevel="0" collapsed="false">
      <c r="A625" s="19" t="n">
        <v>623</v>
      </c>
      <c r="B625" s="19" t="s">
        <v>450</v>
      </c>
      <c r="C625" s="19" t="s">
        <v>363</v>
      </c>
      <c r="D625" s="22" t="str">
        <f aca="false">HYPERLINK("https://discord.com/channels/1040938900039929917/1259046474893754438/1262043708145008712", "ссылка")</f>
        <v>ссылка</v>
      </c>
      <c r="E625" s="43" t="n">
        <v>45479</v>
      </c>
      <c r="F625" s="24" t="n">
        <v>2</v>
      </c>
    </row>
    <row r="626" customFormat="false" ht="15.75" hidden="false" customHeight="false" outlineLevel="0" collapsed="false">
      <c r="A626" s="19" t="n">
        <v>624</v>
      </c>
      <c r="B626" s="19" t="s">
        <v>450</v>
      </c>
      <c r="C626" s="19" t="s">
        <v>737</v>
      </c>
      <c r="D626" s="22" t="str">
        <f aca="false">HYPERLINK("https://discord.com/channels/1040938900039929917/1259046474893754438/1262043723529850890", "ссылка")</f>
        <v>ссылка</v>
      </c>
      <c r="E626" s="43" t="n">
        <v>45479</v>
      </c>
      <c r="F626" s="24" t="n">
        <v>3</v>
      </c>
    </row>
    <row r="627" customFormat="false" ht="15.75" hidden="false" customHeight="false" outlineLevel="0" collapsed="false">
      <c r="A627" s="19" t="n">
        <v>625</v>
      </c>
      <c r="B627" s="19" t="s">
        <v>450</v>
      </c>
      <c r="C627" s="19" t="s">
        <v>616</v>
      </c>
      <c r="D627" s="22" t="str">
        <f aca="false">HYPERLINK("https://discord.com/channels/1040938900039929917/1259046474893754438/1262043743025107036", "ссылка")</f>
        <v>ссылка</v>
      </c>
      <c r="E627" s="43" t="n">
        <v>45479</v>
      </c>
      <c r="F627" s="24" t="n">
        <v>3</v>
      </c>
    </row>
    <row r="628" customFormat="false" ht="15.75" hidden="false" customHeight="false" outlineLevel="0" collapsed="false">
      <c r="A628" s="19" t="n">
        <v>626</v>
      </c>
      <c r="B628" s="19" t="s">
        <v>748</v>
      </c>
      <c r="C628" s="19" t="s">
        <v>434</v>
      </c>
      <c r="D628" s="22" t="str">
        <f aca="false">HYPERLINK("https://discord.com/channels/1040938900039929917/1260270337463943310/1262050496861048903", "ссылка")</f>
        <v>ссылка</v>
      </c>
      <c r="E628" s="43" t="n">
        <v>45482</v>
      </c>
      <c r="F628" s="24" t="n">
        <v>2</v>
      </c>
    </row>
    <row r="629" customFormat="false" ht="15.75" hidden="false" customHeight="false" outlineLevel="0" collapsed="false">
      <c r="A629" s="19" t="n">
        <v>627</v>
      </c>
      <c r="B629" s="19" t="s">
        <v>13</v>
      </c>
      <c r="C629" s="19" t="s">
        <v>609</v>
      </c>
      <c r="D629" s="22" t="str">
        <f aca="false">HYPERLINK("https://discord.com/channels/1040938900039929917/1260244040171913331/1262051506769756181", "ссылка")</f>
        <v>ссылка</v>
      </c>
      <c r="E629" s="43" t="n">
        <v>45482</v>
      </c>
      <c r="F629" s="24" t="n">
        <v>2</v>
      </c>
    </row>
    <row r="630" customFormat="false" ht="15.75" hidden="false" customHeight="false" outlineLevel="0" collapsed="false">
      <c r="A630" s="19" t="n">
        <v>628</v>
      </c>
      <c r="B630" s="19" t="s">
        <v>737</v>
      </c>
      <c r="C630" s="19" t="s">
        <v>450</v>
      </c>
      <c r="D630" s="22" t="str">
        <f aca="false">HYPERLINK("https://discord.com/channels/1040938900039929917/1259018526627205120/1262051867454869556", "ссылка")</f>
        <v>ссылка</v>
      </c>
      <c r="E630" s="43" t="n">
        <v>45479</v>
      </c>
      <c r="F630" s="24" t="n">
        <v>5</v>
      </c>
    </row>
    <row r="631" customFormat="false" ht="15.75" hidden="false" customHeight="false" outlineLevel="0" collapsed="false">
      <c r="A631" s="19" t="n">
        <v>629</v>
      </c>
      <c r="B631" s="19" t="s">
        <v>417</v>
      </c>
      <c r="C631" s="19" t="s">
        <v>214</v>
      </c>
      <c r="D631" s="22" t="str">
        <f aca="false">HYPERLINK("https://discord.com/channels/1040938900039929917/1260683531231821924/1262739101980033096", "ссылка")</f>
        <v>ссылка</v>
      </c>
      <c r="E631" s="43" t="n">
        <v>45483</v>
      </c>
      <c r="F631" s="24" t="n">
        <v>-2</v>
      </c>
    </row>
    <row r="632" customFormat="false" ht="15.75" hidden="false" customHeight="false" outlineLevel="0" collapsed="false">
      <c r="A632" s="19" t="n">
        <v>630</v>
      </c>
      <c r="B632" s="19" t="s">
        <v>336</v>
      </c>
      <c r="C632" s="19" t="s">
        <v>139</v>
      </c>
      <c r="D632" s="22" t="str">
        <f aca="false">HYPERLINK("https://discord.com/channels/1040938900039929917/1261739236307107891/1262747694674350151", "ссылка")</f>
        <v>ссылка</v>
      </c>
      <c r="E632" s="43" t="n">
        <v>45487</v>
      </c>
      <c r="F632" s="24" t="n">
        <v>3</v>
      </c>
    </row>
    <row r="633" customFormat="false" ht="15.75" hidden="false" customHeight="false" outlineLevel="0" collapsed="false">
      <c r="A633" s="19" t="n">
        <v>631</v>
      </c>
      <c r="B633" s="19" t="s">
        <v>336</v>
      </c>
      <c r="C633" s="19" t="s">
        <v>310</v>
      </c>
      <c r="D633" s="22" t="str">
        <f aca="false">HYPERLINK("https://discord.com/channels/1040938900039929917/1261739236307107891/1262747713594720339", "ссылка")</f>
        <v>ссылка</v>
      </c>
      <c r="E633" s="43" t="n">
        <v>45487</v>
      </c>
      <c r="F633" s="24" t="n">
        <v>3</v>
      </c>
    </row>
    <row r="634" customFormat="false" ht="15.75" hidden="false" customHeight="false" outlineLevel="0" collapsed="false">
      <c r="A634" s="19" t="n">
        <v>632</v>
      </c>
      <c r="B634" s="19" t="s">
        <v>336</v>
      </c>
      <c r="C634" s="19" t="s">
        <v>577</v>
      </c>
      <c r="D634" s="22" t="str">
        <f aca="false">HYPERLINK("https://discord.com/channels/1040938900039929917/1261739236307107891/1262747727473934418", "ссылка")</f>
        <v>ссылка</v>
      </c>
      <c r="E634" s="43" t="n">
        <v>45487</v>
      </c>
      <c r="F634" s="24" t="n">
        <v>3</v>
      </c>
    </row>
    <row r="635" customFormat="false" ht="15.75" hidden="false" customHeight="false" outlineLevel="0" collapsed="false">
      <c r="A635" s="19" t="n">
        <v>633</v>
      </c>
      <c r="B635" s="19" t="s">
        <v>577</v>
      </c>
      <c r="C635" s="19" t="s">
        <v>336</v>
      </c>
      <c r="D635" s="22" t="str">
        <f aca="false">HYPERLINK("https://discord.com/channels/1040938900039929917/1262369650898112583/1262749043449397298", "ссылка")</f>
        <v>ссылка</v>
      </c>
      <c r="E635" s="43" t="n">
        <v>45488</v>
      </c>
      <c r="F635" s="24" t="n">
        <v>3</v>
      </c>
    </row>
    <row r="636" customFormat="false" ht="15.75" hidden="false" customHeight="false" outlineLevel="0" collapsed="false">
      <c r="A636" s="19" t="n">
        <v>634</v>
      </c>
      <c r="B636" s="19" t="s">
        <v>336</v>
      </c>
      <c r="C636" s="19" t="s">
        <v>577</v>
      </c>
      <c r="D636" s="22" t="str">
        <f aca="false">HYPERLINK("https://discord.com/channels/1040938900039929917/1262112785115123803/1262749957866262551", "ссылка")</f>
        <v>ссылка</v>
      </c>
      <c r="E636" s="43" t="n">
        <v>45487</v>
      </c>
      <c r="F636" s="24" t="n">
        <v>5</v>
      </c>
    </row>
    <row r="637" customFormat="false" ht="15.75" hidden="false" customHeight="false" outlineLevel="0" collapsed="false">
      <c r="A637" s="19" t="n">
        <v>635</v>
      </c>
      <c r="B637" s="19" t="s">
        <v>336</v>
      </c>
      <c r="C637" s="19" t="s">
        <v>741</v>
      </c>
      <c r="D637" s="22" t="str">
        <f aca="false">HYPERLINK("https://discord.com/channels/1040938900039929917/1262112785115123803/1262749975230808075", "ссылка")</f>
        <v>ссылка</v>
      </c>
      <c r="E637" s="43" t="n">
        <v>45487</v>
      </c>
      <c r="F637" s="24" t="n">
        <v>5</v>
      </c>
    </row>
    <row r="638" customFormat="false" ht="15.75" hidden="false" customHeight="false" outlineLevel="0" collapsed="false">
      <c r="A638" s="19" t="n">
        <v>636</v>
      </c>
      <c r="B638" s="19" t="s">
        <v>336</v>
      </c>
      <c r="C638" s="19" t="s">
        <v>228</v>
      </c>
      <c r="D638" s="22" t="str">
        <f aca="false">HYPERLINK("https://discord.com/channels/1040938900039929917/1262112785115123803/1262750000874655774", "ссылка")</f>
        <v>ссылка</v>
      </c>
      <c r="E638" s="43" t="n">
        <v>45487</v>
      </c>
      <c r="F638" s="24" t="n">
        <v>5</v>
      </c>
    </row>
    <row r="639" customFormat="false" ht="15.75" hidden="false" customHeight="false" outlineLevel="0" collapsed="false">
      <c r="A639" s="19" t="n">
        <v>637</v>
      </c>
      <c r="B639" s="19" t="s">
        <v>236</v>
      </c>
      <c r="C639" s="19" t="s">
        <v>69</v>
      </c>
      <c r="D639" s="22" t="str">
        <f aca="false">HYPERLINK("https://discord.com/channels/1040938900039929917/1261379406597984399/1262751003141476363", "ссылка")</f>
        <v>ссылка</v>
      </c>
      <c r="E639" s="43" t="n">
        <v>45485</v>
      </c>
      <c r="F639" s="24" t="n">
        <v>1</v>
      </c>
    </row>
    <row r="640" customFormat="false" ht="15.75" hidden="false" customHeight="false" outlineLevel="0" collapsed="false">
      <c r="A640" s="19" t="n">
        <v>638</v>
      </c>
      <c r="B640" s="19" t="s">
        <v>236</v>
      </c>
      <c r="C640" s="19" t="s">
        <v>6</v>
      </c>
      <c r="D640" s="22" t="str">
        <f aca="false">HYPERLINK("https://discord.com/channels/1040938900039929917/1261379406597984399/1262751020258164747", "ссылка")</f>
        <v>ссылка</v>
      </c>
      <c r="E640" s="43" t="n">
        <v>45485</v>
      </c>
      <c r="F640" s="24" t="n">
        <v>1</v>
      </c>
    </row>
    <row r="641" customFormat="false" ht="15.75" hidden="false" customHeight="false" outlineLevel="0" collapsed="false">
      <c r="A641" s="19" t="n">
        <v>639</v>
      </c>
      <c r="B641" s="19" t="s">
        <v>67</v>
      </c>
      <c r="C641" s="19" t="s">
        <v>88</v>
      </c>
      <c r="D641" s="22" t="str">
        <f aca="false">HYPERLINK("https://discord.com/channels/1040938900039929917/1260935692049977416/1263162152823427203", "ссылка")</f>
        <v>ссылка</v>
      </c>
      <c r="E641" s="43" t="n">
        <v>45484</v>
      </c>
      <c r="F641" s="24" t="n">
        <v>1</v>
      </c>
    </row>
    <row r="642" customFormat="false" ht="15.75" hidden="false" customHeight="false" outlineLevel="0" collapsed="false">
      <c r="A642" s="19" t="n">
        <v>640</v>
      </c>
      <c r="B642" s="19" t="s">
        <v>11</v>
      </c>
      <c r="C642" s="19" t="s">
        <v>765</v>
      </c>
      <c r="D642" s="24" t="s">
        <v>1003</v>
      </c>
      <c r="E642" s="43" t="n">
        <v>45491</v>
      </c>
      <c r="F642" s="24" t="n">
        <v>10</v>
      </c>
    </row>
    <row r="643" customFormat="false" ht="15.75" hidden="false" customHeight="false" outlineLevel="0" collapsed="false">
      <c r="A643" s="19" t="n">
        <v>641</v>
      </c>
      <c r="B643" s="19" t="s">
        <v>11</v>
      </c>
      <c r="C643" s="19" t="s">
        <v>767</v>
      </c>
      <c r="D643" s="24" t="s">
        <v>1003</v>
      </c>
      <c r="E643" s="43" t="n">
        <v>45491</v>
      </c>
      <c r="F643" s="24" t="n">
        <v>10</v>
      </c>
    </row>
    <row r="644" customFormat="false" ht="15.75" hidden="false" customHeight="false" outlineLevel="0" collapsed="false">
      <c r="A644" s="19" t="n">
        <v>642</v>
      </c>
      <c r="B644" s="19" t="s">
        <v>11</v>
      </c>
      <c r="C644" s="19" t="s">
        <v>764</v>
      </c>
      <c r="D644" s="24" t="s">
        <v>1003</v>
      </c>
      <c r="E644" s="43" t="n">
        <v>45491</v>
      </c>
      <c r="F644" s="24" t="n">
        <v>10</v>
      </c>
    </row>
    <row r="645" customFormat="false" ht="15.75" hidden="false" customHeight="false" outlineLevel="0" collapsed="false">
      <c r="A645" s="19" t="n">
        <v>643</v>
      </c>
      <c r="B645" s="19" t="s">
        <v>450</v>
      </c>
      <c r="C645" s="19" t="s">
        <v>534</v>
      </c>
      <c r="D645" s="22" t="str">
        <f aca="false">HYPERLINK("https://discord.com/channels/1040938900039929917/1259934168238788660/1263737274529747066", "ссылка")</f>
        <v>ссылка</v>
      </c>
      <c r="E645" s="43" t="n">
        <v>40002</v>
      </c>
      <c r="F645" s="24" t="n">
        <v>6</v>
      </c>
    </row>
    <row r="646" customFormat="false" ht="15.75" hidden="false" customHeight="false" outlineLevel="0" collapsed="false">
      <c r="A646" s="19" t="n">
        <v>644</v>
      </c>
      <c r="B646" s="19" t="s">
        <v>450</v>
      </c>
      <c r="C646" s="19" t="s">
        <v>122</v>
      </c>
      <c r="D646" s="22" t="str">
        <f aca="false">HYPERLINK("https://discord.com/channels/1040938900039929917/1259934168238788660/1263737289297629195", "ссылка")</f>
        <v>ссылка</v>
      </c>
      <c r="E646" s="43" t="n">
        <v>40002</v>
      </c>
      <c r="F646" s="24" t="n">
        <v>4</v>
      </c>
    </row>
    <row r="647" customFormat="false" ht="15.75" hidden="false" customHeight="false" outlineLevel="0" collapsed="false">
      <c r="A647" s="19" t="n">
        <v>645</v>
      </c>
      <c r="B647" s="19" t="s">
        <v>450</v>
      </c>
      <c r="C647" s="19" t="s">
        <v>502</v>
      </c>
      <c r="D647" s="22" t="str">
        <f aca="false">HYPERLINK("https://discord.com/channels/1040938900039929917/1259934168238788660/1263737304686661692", "ссылка")</f>
        <v>ссылка</v>
      </c>
      <c r="E647" s="43" t="n">
        <v>40002</v>
      </c>
      <c r="F647" s="24" t="n">
        <v>4</v>
      </c>
    </row>
    <row r="648" customFormat="false" ht="15.75" hidden="false" customHeight="false" outlineLevel="0" collapsed="false">
      <c r="A648" s="19" t="n">
        <v>646</v>
      </c>
      <c r="B648" s="19" t="s">
        <v>511</v>
      </c>
      <c r="C648" s="19" t="s">
        <v>683</v>
      </c>
      <c r="D648" s="22" t="str">
        <f aca="false">HYPERLINK("https://discord.com/channels/1040938900039929917/1260614271096717333/1263740202581495931", "ссылка")</f>
        <v>ссылка</v>
      </c>
      <c r="E648" s="43" t="n">
        <v>45483</v>
      </c>
      <c r="F648" s="24" t="n">
        <v>6</v>
      </c>
    </row>
    <row r="649" customFormat="false" ht="15.75" hidden="false" customHeight="false" outlineLevel="0" collapsed="false">
      <c r="A649" s="19" t="n">
        <v>647</v>
      </c>
      <c r="B649" s="19" t="s">
        <v>511</v>
      </c>
      <c r="C649" s="19" t="s">
        <v>579</v>
      </c>
      <c r="D649" s="22" t="str">
        <f aca="false">HYPERLINK("https://discord.com/channels/1040938900039929917/1260614271096717333/1263740217358024705", "ссылка")</f>
        <v>ссылка</v>
      </c>
      <c r="E649" s="43" t="n">
        <v>45483</v>
      </c>
      <c r="F649" s="24" t="n">
        <v>6</v>
      </c>
    </row>
    <row r="650" customFormat="false" ht="15.75" hidden="false" customHeight="false" outlineLevel="0" collapsed="false">
      <c r="A650" s="19" t="n">
        <v>648</v>
      </c>
      <c r="B650" s="19" t="s">
        <v>511</v>
      </c>
      <c r="C650" s="19" t="s">
        <v>310</v>
      </c>
      <c r="D650" s="22" t="str">
        <f aca="false">HYPERLINK("https://discord.com/channels/1040938900039929917/1260614271096717333/1263740229895065633", "ссылка")</f>
        <v>ссылка</v>
      </c>
      <c r="E650" s="43" t="n">
        <v>45483</v>
      </c>
      <c r="F650" s="24" t="n">
        <v>8</v>
      </c>
    </row>
    <row r="651" customFormat="false" ht="15.75" hidden="false" customHeight="false" outlineLevel="0" collapsed="false">
      <c r="A651" s="19" t="n">
        <v>649</v>
      </c>
      <c r="B651" s="19" t="s">
        <v>511</v>
      </c>
      <c r="C651" s="19" t="s">
        <v>7</v>
      </c>
      <c r="D651" s="22" t="str">
        <f aca="false">HYPERLINK("https://discord.com/channels/1040938900039929917/1260614271096717333/1263740244579192963", "ссылка")</f>
        <v>ссылка</v>
      </c>
      <c r="E651" s="43" t="n">
        <v>45483</v>
      </c>
      <c r="F651" s="24" t="n">
        <v>3</v>
      </c>
      <c r="G651" s="60" t="s">
        <v>1026</v>
      </c>
    </row>
    <row r="652" customFormat="false" ht="15.75" hidden="false" customHeight="false" outlineLevel="0" collapsed="false">
      <c r="A652" s="19" t="n">
        <v>650</v>
      </c>
      <c r="B652" s="19" t="s">
        <v>511</v>
      </c>
      <c r="C652" s="19" t="s">
        <v>743</v>
      </c>
      <c r="D652" s="22" t="str">
        <f aca="false">HYPERLINK("https://discord.com/channels/1040938900039929917/1260614271096717333/1263740259066445937", "ссылка")</f>
        <v>ссылка</v>
      </c>
      <c r="E652" s="43" t="n">
        <v>45483</v>
      </c>
      <c r="F652" s="24" t="n">
        <v>5</v>
      </c>
    </row>
    <row r="653" customFormat="false" ht="15.75" hidden="false" customHeight="false" outlineLevel="0" collapsed="false">
      <c r="A653" s="19" t="n">
        <v>651</v>
      </c>
      <c r="B653" s="19" t="s">
        <v>511</v>
      </c>
      <c r="C653" s="19" t="s">
        <v>434</v>
      </c>
      <c r="D653" s="22" t="str">
        <f aca="false">HYPERLINK("https://discord.com/channels/1040938900039929917/1260614271096717333/1263740275277430856", "ссылка")</f>
        <v>ссылка</v>
      </c>
      <c r="E653" s="43" t="n">
        <v>45483</v>
      </c>
      <c r="F653" s="24" t="n">
        <v>4</v>
      </c>
    </row>
    <row r="654" customFormat="false" ht="15.75" hidden="false" customHeight="false" outlineLevel="0" collapsed="false">
      <c r="A654" s="19" t="n">
        <v>652</v>
      </c>
      <c r="B654" s="19" t="s">
        <v>122</v>
      </c>
      <c r="C654" s="19" t="s">
        <v>450</v>
      </c>
      <c r="D654" s="22" t="str">
        <f aca="false">HYPERLINK("https://discord.com/channels/1040938900039929917/1259942757418668123/1263741740741824603", "ссылка")</f>
        <v>ссылка</v>
      </c>
      <c r="E654" s="43" t="n">
        <v>40002</v>
      </c>
      <c r="F654" s="24" t="n">
        <v>11</v>
      </c>
    </row>
    <row r="655" customFormat="false" ht="15.75" hidden="false" customHeight="false" outlineLevel="0" collapsed="false">
      <c r="A655" s="19" t="n">
        <v>653</v>
      </c>
      <c r="B655" s="19" t="s">
        <v>236</v>
      </c>
      <c r="C655" s="19" t="s">
        <v>759</v>
      </c>
      <c r="D655" s="22" t="str">
        <f aca="false">HYPERLINK("https://discord.com/channels/1040938900039929917/1261803134855155973/1263742390284582965", "ссылка")</f>
        <v>ссылка</v>
      </c>
      <c r="E655" s="43" t="n">
        <v>45487</v>
      </c>
      <c r="F655" s="24" t="n">
        <v>0</v>
      </c>
    </row>
    <row r="656" customFormat="false" ht="15.75" hidden="false" customHeight="false" outlineLevel="0" collapsed="false">
      <c r="A656" s="19" t="n">
        <v>654</v>
      </c>
      <c r="B656" s="19" t="s">
        <v>363</v>
      </c>
      <c r="C656" s="19" t="s">
        <v>319</v>
      </c>
      <c r="D656" s="22" t="str">
        <f aca="false">HYPERLINK("https://discord.com/channels/1040938900039929917/1261736858724073544/1263743231963697173", "ссылка")</f>
        <v>ссылка</v>
      </c>
      <c r="E656" s="43" t="n">
        <v>45486</v>
      </c>
      <c r="F656" s="24" t="n">
        <v>4</v>
      </c>
    </row>
    <row r="657" customFormat="false" ht="15.75" hidden="false" customHeight="false" outlineLevel="0" collapsed="false">
      <c r="A657" s="19" t="n">
        <v>655</v>
      </c>
      <c r="B657" s="19" t="s">
        <v>757</v>
      </c>
      <c r="C657" s="19" t="s">
        <v>698</v>
      </c>
      <c r="D657" s="22" t="str">
        <f aca="false">HYPERLINK("https://discord.com/channels/1040938900039929917/1262357783760605264/1263743744738590721", "ссылка")</f>
        <v>ссылка</v>
      </c>
      <c r="E657" s="43" t="n">
        <v>45488</v>
      </c>
      <c r="F657" s="24" t="n">
        <v>3</v>
      </c>
    </row>
    <row r="658" customFormat="false" ht="15.75" hidden="false" customHeight="false" outlineLevel="0" collapsed="false">
      <c r="A658" s="19" t="n">
        <v>656</v>
      </c>
      <c r="B658" s="19" t="s">
        <v>683</v>
      </c>
      <c r="C658" s="19" t="s">
        <v>511</v>
      </c>
      <c r="D658" s="22" t="str">
        <f aca="false">HYPERLINK("https://discord.com/channels/1040938900039929917/1261752852205015040/1263744505472094269", "ссылка")</f>
        <v>ссылка</v>
      </c>
      <c r="E658" s="43" t="n">
        <v>45486</v>
      </c>
      <c r="F658" s="24" t="n">
        <v>5</v>
      </c>
    </row>
    <row r="659" customFormat="false" ht="15.75" hidden="false" customHeight="false" outlineLevel="0" collapsed="false">
      <c r="A659" s="19" t="n">
        <v>657</v>
      </c>
      <c r="B659" s="19" t="s">
        <v>473</v>
      </c>
      <c r="C659" s="19" t="s">
        <v>768</v>
      </c>
      <c r="D659" s="24" t="s">
        <v>1013</v>
      </c>
      <c r="E659" s="43" t="n">
        <v>45493</v>
      </c>
      <c r="F659" s="24" t="n">
        <v>-15</v>
      </c>
    </row>
    <row r="660" customFormat="false" ht="15.75" hidden="false" customHeight="false" outlineLevel="0" collapsed="false">
      <c r="A660" s="19" t="n">
        <v>658</v>
      </c>
      <c r="B660" s="19" t="s">
        <v>11</v>
      </c>
      <c r="C660" s="19" t="s">
        <v>116</v>
      </c>
      <c r="D660" s="24" t="s">
        <v>1027</v>
      </c>
      <c r="E660" s="43" t="n">
        <v>45493</v>
      </c>
      <c r="F660" s="24" t="n">
        <v>-38</v>
      </c>
    </row>
    <row r="661" customFormat="false" ht="15.75" hidden="false" customHeight="false" outlineLevel="0" collapsed="false">
      <c r="A661" s="19" t="n">
        <v>659</v>
      </c>
      <c r="B661" s="19" t="s">
        <v>326</v>
      </c>
      <c r="C661" s="19" t="s">
        <v>546</v>
      </c>
      <c r="D661" s="22" t="str">
        <f aca="false">HYPERLINK("https://discord.com/channels/1040938900039929917/1263223540044267530","ссылка")</f>
        <v>ссылка</v>
      </c>
      <c r="E661" s="43" t="n">
        <v>45490</v>
      </c>
      <c r="F661" s="24" t="n">
        <v>5</v>
      </c>
    </row>
    <row r="662" customFormat="false" ht="15.75" hidden="false" customHeight="false" outlineLevel="0" collapsed="false">
      <c r="A662" s="19" t="n">
        <v>660</v>
      </c>
      <c r="B662" s="19" t="s">
        <v>326</v>
      </c>
      <c r="C662" s="19" t="s">
        <v>577</v>
      </c>
      <c r="D662" s="61" t="str">
        <f aca="false">HYPERLINK("https://discord.com/channels/1040938900039929917/1263223540044267530","ссылка")</f>
        <v>ссылка</v>
      </c>
      <c r="E662" s="43" t="n">
        <v>45490</v>
      </c>
      <c r="F662" s="24" t="n">
        <v>1</v>
      </c>
    </row>
    <row r="663" customFormat="false" ht="15.75" hidden="false" customHeight="false" outlineLevel="0" collapsed="false">
      <c r="A663" s="19" t="n">
        <v>661</v>
      </c>
      <c r="B663" s="19" t="s">
        <v>326</v>
      </c>
      <c r="C663" s="19" t="s">
        <v>417</v>
      </c>
      <c r="D663" s="62" t="str">
        <f aca="false">HYPERLINK("https://discord.com/channels/1040938900039929917/1263223540044267530","ссылка")</f>
        <v>ссылка</v>
      </c>
      <c r="E663" s="43" t="n">
        <v>45490</v>
      </c>
      <c r="F663" s="24" t="n">
        <v>2</v>
      </c>
    </row>
    <row r="664" customFormat="false" ht="15.75" hidden="false" customHeight="false" outlineLevel="0" collapsed="false">
      <c r="A664" s="19" t="n">
        <v>662</v>
      </c>
      <c r="B664" s="19" t="s">
        <v>431</v>
      </c>
      <c r="C664" s="19" t="s">
        <v>737</v>
      </c>
      <c r="D664" s="62" t="str">
        <f aca="false">HYPERLINK("https://discord.com/channels/1040938900039929917/1263526736340189195","ссылка")</f>
        <v>ссылка</v>
      </c>
      <c r="E664" s="43" t="n">
        <v>45491</v>
      </c>
      <c r="F664" s="24" t="n">
        <v>6</v>
      </c>
    </row>
    <row r="665" customFormat="false" ht="15.75" hidden="false" customHeight="false" outlineLevel="0" collapsed="false">
      <c r="A665" s="19" t="n">
        <v>663</v>
      </c>
      <c r="B665" s="19" t="s">
        <v>431</v>
      </c>
      <c r="C665" s="19" t="s">
        <v>698</v>
      </c>
      <c r="D665" s="22" t="str">
        <f aca="false">HYPERLINK("https://discord.com/channels/1040938900039929917/1263526736340189195","ссылка")</f>
        <v>ссылка</v>
      </c>
      <c r="E665" s="43" t="n">
        <v>45491</v>
      </c>
      <c r="F665" s="24" t="n">
        <v>2</v>
      </c>
    </row>
    <row r="666" customFormat="false" ht="15.75" hidden="false" customHeight="false" outlineLevel="0" collapsed="false">
      <c r="A666" s="19" t="n">
        <v>664</v>
      </c>
      <c r="B666" s="19" t="s">
        <v>431</v>
      </c>
      <c r="C666" s="19" t="s">
        <v>93</v>
      </c>
      <c r="D666" s="22" t="str">
        <f aca="false">HYPERLINK("https://discord.com/channels/1040938900039929917/1263526736340189195","ссылка")</f>
        <v>ссылка</v>
      </c>
      <c r="E666" s="43" t="n">
        <v>45491</v>
      </c>
      <c r="F666" s="24" t="n">
        <v>2</v>
      </c>
    </row>
    <row r="667" customFormat="false" ht="15.75" hidden="false" customHeight="false" outlineLevel="0" collapsed="false">
      <c r="A667" s="19" t="n">
        <v>665</v>
      </c>
      <c r="B667" s="19" t="s">
        <v>431</v>
      </c>
      <c r="C667" s="19" t="s">
        <v>236</v>
      </c>
      <c r="D667" s="62" t="str">
        <f aca="false">HYPERLINK("https://discord.com/channels/1040938900039929917/1263526736340189195","ссылка")</f>
        <v>ссылка</v>
      </c>
      <c r="E667" s="43" t="n">
        <v>45491</v>
      </c>
      <c r="F667" s="24" t="n">
        <v>2</v>
      </c>
    </row>
    <row r="668" customFormat="false" ht="15.75" hidden="false" customHeight="false" outlineLevel="0" collapsed="false">
      <c r="A668" s="19" t="n">
        <v>666</v>
      </c>
      <c r="B668" s="19" t="s">
        <v>417</v>
      </c>
      <c r="C668" s="19" t="s">
        <v>475</v>
      </c>
      <c r="D668" s="62" t="str">
        <f aca="false">HYPERLINK("https://discord.com/channels/1040938900039929917/1264112225791115286/1265166981204545630","ссылка")</f>
        <v>ссылка</v>
      </c>
      <c r="E668" s="43" t="n">
        <v>45491</v>
      </c>
      <c r="F668" s="24" t="n">
        <v>3</v>
      </c>
    </row>
    <row r="669" customFormat="false" ht="15.75" hidden="false" customHeight="false" outlineLevel="0" collapsed="false">
      <c r="A669" s="19" t="n">
        <v>667</v>
      </c>
      <c r="B669" s="19" t="s">
        <v>13</v>
      </c>
      <c r="C669" s="19" t="s">
        <v>431</v>
      </c>
      <c r="D669" s="62" t="str">
        <f aca="false">HYPERLINK("https://discord.com/channels/1040938900039929917/1262220680506638416/1265167830240722975","ссылка")</f>
        <v>ссылка</v>
      </c>
      <c r="E669" s="43" t="n">
        <v>45488</v>
      </c>
      <c r="F669" s="24" t="n">
        <v>3</v>
      </c>
    </row>
    <row r="670" customFormat="false" ht="15.75" hidden="false" customHeight="false" outlineLevel="0" collapsed="false">
      <c r="A670" s="19" t="n">
        <v>668</v>
      </c>
      <c r="B670" s="19" t="s">
        <v>13</v>
      </c>
      <c r="C670" s="19" t="s">
        <v>759</v>
      </c>
      <c r="D670" s="62" t="str">
        <f aca="false">HYPERLINK("https://discord.com/channels/1040938900039929917/1262220680506638416/1265167848494600294","ссылка")</f>
        <v>ссылка</v>
      </c>
      <c r="E670" s="43" t="n">
        <v>45488</v>
      </c>
      <c r="F670" s="24" t="n">
        <v>1</v>
      </c>
    </row>
    <row r="671" customFormat="false" ht="15.75" hidden="false" customHeight="false" outlineLevel="0" collapsed="false">
      <c r="A671" s="19" t="n">
        <v>669</v>
      </c>
      <c r="B671" s="19" t="s">
        <v>475</v>
      </c>
      <c r="C671" s="19" t="s">
        <v>495</v>
      </c>
      <c r="D671" s="62" t="str">
        <f aca="false">HYPERLINK("https://discord.com/channels/1040938900039929917/1262623169290698774/1265171063189536860","ссылка")</f>
        <v>ссылка</v>
      </c>
      <c r="E671" s="43" t="n">
        <v>45489</v>
      </c>
      <c r="F671" s="24" t="n">
        <v>4</v>
      </c>
    </row>
    <row r="672" customFormat="false" ht="15.75" hidden="false" customHeight="false" outlineLevel="0" collapsed="false">
      <c r="A672" s="19" t="n">
        <v>670</v>
      </c>
      <c r="B672" s="19" t="s">
        <v>475</v>
      </c>
      <c r="C672" s="19" t="s">
        <v>220</v>
      </c>
      <c r="D672" s="62" t="str">
        <f aca="false">HYPERLINK("https://discord.com/channels/1040938900039929917/1262623169290698774/1265171075759870015","ссылка")</f>
        <v>ссылка</v>
      </c>
      <c r="E672" s="43" t="n">
        <v>45489</v>
      </c>
      <c r="F672" s="24" t="n">
        <v>5</v>
      </c>
    </row>
    <row r="673" customFormat="false" ht="15.75" hidden="false" customHeight="false" outlineLevel="0" collapsed="false">
      <c r="A673" s="19" t="n">
        <v>671</v>
      </c>
      <c r="B673" s="19" t="s">
        <v>475</v>
      </c>
      <c r="C673" s="19" t="s">
        <v>417</v>
      </c>
      <c r="D673" s="62" t="str">
        <f aca="false">HYPERLINK("https://discord.com/channels/1040938900039929917/1262623169290698774/1265171092927025243","ссылка")</f>
        <v>ссылка</v>
      </c>
      <c r="E673" s="43" t="n">
        <v>45489</v>
      </c>
      <c r="F673" s="24" t="n">
        <v>2</v>
      </c>
    </row>
    <row r="674" customFormat="false" ht="15.75" hidden="false" customHeight="false" outlineLevel="0" collapsed="false">
      <c r="A674" s="19" t="n">
        <v>672</v>
      </c>
      <c r="B674" s="19" t="s">
        <v>475</v>
      </c>
      <c r="C674" s="19" t="s">
        <v>502</v>
      </c>
      <c r="D674" s="62" t="str">
        <f aca="false">HYPERLINK("https://discord.com/channels/1040938900039929917/1262623169290698774/1265171177278672988","ссылка")</f>
        <v>ссылка</v>
      </c>
      <c r="E674" s="43" t="n">
        <v>45489</v>
      </c>
      <c r="F674" s="24" t="n">
        <v>2</v>
      </c>
    </row>
    <row r="675" customFormat="false" ht="15.75" hidden="false" customHeight="false" outlineLevel="0" collapsed="false">
      <c r="A675" s="19" t="n">
        <v>673</v>
      </c>
      <c r="B675" s="19" t="s">
        <v>475</v>
      </c>
      <c r="C675" s="19" t="s">
        <v>336</v>
      </c>
      <c r="D675" s="62" t="str">
        <f aca="false">HYPERLINK("https://discord.com/channels/1040938900039929917/1262623169290698774/1265171193439326218","ссылка")</f>
        <v>ссылка</v>
      </c>
      <c r="E675" s="43" t="n">
        <v>45489</v>
      </c>
      <c r="F675" s="24" t="n">
        <v>2</v>
      </c>
    </row>
    <row r="676" customFormat="false" ht="15.75" hidden="false" customHeight="false" outlineLevel="0" collapsed="false">
      <c r="A676" s="19" t="n">
        <v>674</v>
      </c>
      <c r="B676" s="19" t="s">
        <v>475</v>
      </c>
      <c r="C676" s="19" t="s">
        <v>538</v>
      </c>
      <c r="D676" s="62" t="str">
        <f aca="false">HYPERLINK("https://discord.com/channels/1040938900039929917/1262623169290698774/1265171208220049520","ссылка")</f>
        <v>ссылка</v>
      </c>
      <c r="E676" s="43" t="n">
        <v>45489</v>
      </c>
      <c r="F676" s="24" t="n">
        <v>4</v>
      </c>
    </row>
    <row r="677" customFormat="false" ht="15.75" hidden="false" customHeight="false" outlineLevel="0" collapsed="false">
      <c r="A677" s="19" t="n">
        <v>675</v>
      </c>
      <c r="B677" s="19" t="s">
        <v>475</v>
      </c>
      <c r="C677" s="19" t="s">
        <v>450</v>
      </c>
      <c r="D677" s="62" t="str">
        <f aca="false">HYPERLINK("https://discord.com/channels/1040938900039929917/1262623169290698774/1265171228583268425","ссылка")</f>
        <v>ссылка</v>
      </c>
      <c r="E677" s="43" t="n">
        <v>45489</v>
      </c>
      <c r="F677" s="24" t="n">
        <v>4</v>
      </c>
    </row>
    <row r="678" customFormat="false" ht="15.75" hidden="false" customHeight="false" outlineLevel="0" collapsed="false">
      <c r="A678" s="19" t="n">
        <v>676</v>
      </c>
      <c r="B678" s="19" t="s">
        <v>475</v>
      </c>
      <c r="C678" s="19" t="s">
        <v>236</v>
      </c>
      <c r="D678" s="62" t="str">
        <f aca="false">HYPERLINK("https://discord.com/channels/1040938900039929917/1262623169290698774/1265171243062001707","ссылка")</f>
        <v>ссылка</v>
      </c>
      <c r="E678" s="43" t="n">
        <v>45489</v>
      </c>
      <c r="F678" s="24" t="n">
        <v>2</v>
      </c>
    </row>
    <row r="679" customFormat="false" ht="15.75" hidden="false" customHeight="false" outlineLevel="0" collapsed="false">
      <c r="A679" s="19" t="n">
        <v>677</v>
      </c>
      <c r="B679" s="19" t="s">
        <v>475</v>
      </c>
      <c r="C679" s="19" t="s">
        <v>26</v>
      </c>
      <c r="D679" s="62" t="str">
        <f aca="false">HYPERLINK("https://discord.com/channels/1040938900039929917/1262623169290698774/1265171263815417856","ссылка")</f>
        <v>ссылка</v>
      </c>
      <c r="E679" s="43" t="n">
        <v>45489</v>
      </c>
      <c r="F679" s="24" t="n">
        <v>1</v>
      </c>
    </row>
    <row r="680" customFormat="false" ht="15.75" hidden="false" customHeight="false" outlineLevel="0" collapsed="false">
      <c r="A680" s="19" t="n">
        <v>678</v>
      </c>
      <c r="B680" s="19" t="s">
        <v>475</v>
      </c>
      <c r="C680" s="19" t="s">
        <v>228</v>
      </c>
      <c r="D680" s="62" t="str">
        <f aca="false">HYPERLINK("https://discord.com/channels/1040938900039929917/1262623169290698774/1265171283252088843","ссылка")</f>
        <v>ссылка</v>
      </c>
      <c r="E680" s="43" t="n">
        <v>45489</v>
      </c>
      <c r="F680" s="24" t="n">
        <v>1</v>
      </c>
    </row>
    <row r="681" customFormat="false" ht="15.75" hidden="false" customHeight="false" outlineLevel="0" collapsed="false">
      <c r="A681" s="19" t="n">
        <v>679</v>
      </c>
      <c r="B681" s="19" t="s">
        <v>475</v>
      </c>
      <c r="C681" s="19" t="s">
        <v>412</v>
      </c>
      <c r="D681" s="62" t="str">
        <f aca="false">HYPERLINK("https://discord.com/channels/1040938900039929917/1262623169290698774/1265171299572125759","ссылка")</f>
        <v>ссылка</v>
      </c>
      <c r="E681" s="43" t="n">
        <v>45489</v>
      </c>
      <c r="F681" s="24" t="n">
        <v>1</v>
      </c>
    </row>
    <row r="682" customFormat="false" ht="15.75" hidden="false" customHeight="false" outlineLevel="0" collapsed="false">
      <c r="A682" s="19" t="n">
        <v>680</v>
      </c>
      <c r="B682" s="19" t="s">
        <v>475</v>
      </c>
      <c r="C682" s="19" t="s">
        <v>759</v>
      </c>
      <c r="D682" s="62" t="str">
        <f aca="false">HYPERLINK("https://discord.com/channels/1040938900039929917/1262623169290698774/1265171318878240799","ссылка")</f>
        <v>ссылка</v>
      </c>
      <c r="E682" s="43" t="n">
        <v>45489</v>
      </c>
      <c r="F682" s="24" t="n">
        <v>1</v>
      </c>
    </row>
    <row r="683" customFormat="false" ht="15.75" hidden="false" customHeight="false" outlineLevel="0" collapsed="false">
      <c r="A683" s="19" t="n">
        <v>681</v>
      </c>
      <c r="B683" s="19" t="s">
        <v>236</v>
      </c>
      <c r="C683" s="19" t="s">
        <v>671</v>
      </c>
      <c r="D683" s="62" t="str">
        <f aca="false">HYPERLINK("https://discord.com/channels/1040938900039929917/1261800904391131186/1265176175890923580","ссылка")</f>
        <v>ссылка</v>
      </c>
      <c r="E683" s="43" t="n">
        <v>45487</v>
      </c>
      <c r="F683" s="24" t="n">
        <v>2</v>
      </c>
    </row>
    <row r="684" customFormat="false" ht="15.75" hidden="false" customHeight="false" outlineLevel="0" collapsed="false">
      <c r="A684" s="19" t="n">
        <v>682</v>
      </c>
      <c r="B684" s="19" t="s">
        <v>236</v>
      </c>
      <c r="C684" s="19" t="s">
        <v>374</v>
      </c>
      <c r="D684" s="62" t="str">
        <f aca="false">HYPERLINK("https://discord.com/channels/1040938900039929917/1261800904391131186/1265176188821962793","ссылка")</f>
        <v>ссылка</v>
      </c>
      <c r="E684" s="43" t="n">
        <v>45487</v>
      </c>
      <c r="F684" s="24" t="n">
        <v>4</v>
      </c>
    </row>
    <row r="685" customFormat="false" ht="15.75" hidden="false" customHeight="false" outlineLevel="0" collapsed="false">
      <c r="A685" s="19" t="n">
        <v>683</v>
      </c>
      <c r="B685" s="19" t="s">
        <v>236</v>
      </c>
      <c r="C685" s="19" t="s">
        <v>502</v>
      </c>
      <c r="D685" s="62" t="str">
        <f aca="false">HYPERLINK("https://discord.com/channels/1040938900039929917/1261800904391131186/1265176200469413930","ссылка")</f>
        <v>ссылка</v>
      </c>
      <c r="E685" s="43" t="n">
        <v>45487</v>
      </c>
      <c r="F685" s="24" t="n">
        <v>2</v>
      </c>
    </row>
    <row r="686" customFormat="false" ht="15.75" hidden="false" customHeight="false" outlineLevel="0" collapsed="false">
      <c r="A686" s="19" t="n">
        <v>684</v>
      </c>
      <c r="B686" s="19" t="s">
        <v>495</v>
      </c>
      <c r="C686" s="19" t="s">
        <v>374</v>
      </c>
      <c r="D686" s="62" t="str">
        <f aca="false">HYPERLINK("https://discord.com/channels/1040938900039929917/1263238228048085053/1265177323532193843","ссылка")</f>
        <v>ссылка</v>
      </c>
      <c r="E686" s="43" t="n">
        <v>45490</v>
      </c>
      <c r="F686" s="24" t="n">
        <v>2</v>
      </c>
    </row>
    <row r="687" customFormat="false" ht="15.75" hidden="false" customHeight="false" outlineLevel="0" collapsed="false">
      <c r="A687" s="19" t="n">
        <v>685</v>
      </c>
      <c r="B687" s="19" t="s">
        <v>431</v>
      </c>
      <c r="C687" s="19" t="s">
        <v>13</v>
      </c>
      <c r="D687" s="62" t="str">
        <f aca="false">HYPERLINK("https://discord.com/channels/1040938900039929917/1262384586638360659/1265177917789573171","ссылка")</f>
        <v>ссылка</v>
      </c>
      <c r="E687" s="43" t="n">
        <v>45488</v>
      </c>
      <c r="F687" s="24" t="n">
        <v>3</v>
      </c>
    </row>
    <row r="688" customFormat="false" ht="15.75" hidden="false" customHeight="false" outlineLevel="0" collapsed="false">
      <c r="A688" s="19" t="n">
        <v>686</v>
      </c>
      <c r="B688" s="19" t="s">
        <v>431</v>
      </c>
      <c r="C688" s="19" t="s">
        <v>236</v>
      </c>
      <c r="D688" s="62" t="str">
        <f aca="false">HYPERLINK("https://discord.com/channels/1040938900039929917/1262384586638360659/1265177933807620169","ссылка")</f>
        <v>ссылка</v>
      </c>
      <c r="E688" s="43" t="n">
        <v>45488</v>
      </c>
      <c r="F688" s="24" t="n">
        <v>3</v>
      </c>
    </row>
    <row r="689" customFormat="false" ht="15.75" hidden="false" customHeight="false" outlineLevel="0" collapsed="false">
      <c r="A689" s="19" t="n">
        <v>687</v>
      </c>
      <c r="B689" s="19" t="s">
        <v>417</v>
      </c>
      <c r="C689" s="19" t="s">
        <v>759</v>
      </c>
      <c r="D689" s="62" t="str">
        <f aca="false">HYPERLINK("https://discord.com/channels/1040938900039929917/1262430612224999507/1265178446124945491","ссылка")</f>
        <v>ссылка</v>
      </c>
      <c r="E689" s="43" t="n">
        <v>45488</v>
      </c>
      <c r="F689" s="24" t="n">
        <v>3</v>
      </c>
    </row>
    <row r="690" customFormat="false" ht="15.75" hidden="false" customHeight="false" outlineLevel="0" collapsed="false">
      <c r="A690" s="19" t="n">
        <v>688</v>
      </c>
      <c r="B690" s="19" t="s">
        <v>374</v>
      </c>
      <c r="C690" s="19" t="s">
        <v>236</v>
      </c>
      <c r="D690" s="62" t="str">
        <f aca="false">HYPERLINK("https://discord.com/channels/1040938900039929917/1263749572908552226/1265179151883698268","ссылка")</f>
        <v>ссылка</v>
      </c>
      <c r="E690" s="43" t="n">
        <v>45492</v>
      </c>
      <c r="F690" s="24" t="n">
        <v>4</v>
      </c>
    </row>
    <row r="691" customFormat="false" ht="15.75" hidden="false" customHeight="false" outlineLevel="0" collapsed="false">
      <c r="A691" s="19" t="n">
        <v>689</v>
      </c>
      <c r="B691" s="19" t="s">
        <v>336</v>
      </c>
      <c r="C691" s="19" t="s">
        <v>1020</v>
      </c>
      <c r="D691" s="62" t="str">
        <f aca="false">HYPERLINK("https://discord.com/channels/1040938900039929917/1263595655142576279/1265179725597245452","ссылка")</f>
        <v>ссылка</v>
      </c>
      <c r="E691" s="43" t="n">
        <v>45491</v>
      </c>
      <c r="F691" s="24" t="n">
        <v>3</v>
      </c>
    </row>
    <row r="692" customFormat="false" ht="15.75" hidden="false" customHeight="false" outlineLevel="0" collapsed="false">
      <c r="A692" s="19" t="n">
        <v>690</v>
      </c>
      <c r="B692" s="19" t="s">
        <v>236</v>
      </c>
      <c r="C692" s="19" t="s">
        <v>759</v>
      </c>
      <c r="D692" s="62" t="str">
        <f aca="false">HYPERLINK("https://discord.com/channels/1040938900039929917/1262214061538410546/1265180694787915811","ссылка")</f>
        <v>ссылка</v>
      </c>
      <c r="E692" s="43" t="n">
        <v>45488</v>
      </c>
      <c r="F692" s="24" t="n">
        <v>2</v>
      </c>
    </row>
    <row r="693" customFormat="false" ht="15.75" hidden="false" customHeight="false" outlineLevel="0" collapsed="false">
      <c r="A693" s="19" t="n">
        <v>691</v>
      </c>
      <c r="B693" s="19" t="s">
        <v>236</v>
      </c>
      <c r="C693" s="19" t="s">
        <v>431</v>
      </c>
      <c r="D693" s="62" t="str">
        <f aca="false">HYPERLINK("https://discord.com/channels/1040938900039929917/1262214061538410546/1265180712571768934","ссылка")</f>
        <v>ссылка</v>
      </c>
      <c r="E693" s="43" t="n">
        <v>45488</v>
      </c>
      <c r="F693" s="24" t="n">
        <v>1</v>
      </c>
    </row>
    <row r="694" customFormat="false" ht="15.75" hidden="false" customHeight="false" outlineLevel="0" collapsed="false">
      <c r="A694" s="19" t="n">
        <v>692</v>
      </c>
      <c r="B694" s="19" t="s">
        <v>450</v>
      </c>
      <c r="C694" s="19" t="s">
        <v>13</v>
      </c>
      <c r="D694" s="22" t="str">
        <f aca="false">HYPERLINK("https://discord.com/channels/1040938900039929917/1263859189176864798","ссылка")</f>
        <v>ссылка</v>
      </c>
      <c r="E694" s="43" t="n">
        <v>45492</v>
      </c>
      <c r="F694" s="24" t="n">
        <v>4</v>
      </c>
    </row>
    <row r="695" customFormat="false" ht="15.75" hidden="false" customHeight="false" outlineLevel="0" collapsed="false">
      <c r="A695" s="19" t="n">
        <v>693</v>
      </c>
      <c r="B695" s="19" t="s">
        <v>450</v>
      </c>
      <c r="C695" s="19" t="s">
        <v>753</v>
      </c>
      <c r="D695" s="22" t="str">
        <f aca="false">HYPERLINK("https://discord.com/channels/1040938900039929917/1263859189176864798","ссылка")</f>
        <v>ссылка</v>
      </c>
      <c r="E695" s="43" t="n">
        <v>45492</v>
      </c>
      <c r="F695" s="24" t="n">
        <v>2</v>
      </c>
    </row>
    <row r="696" customFormat="false" ht="15.75" hidden="false" customHeight="false" outlineLevel="0" collapsed="false">
      <c r="A696" s="19" t="n">
        <v>694</v>
      </c>
      <c r="B696" s="19" t="s">
        <v>450</v>
      </c>
      <c r="C696" s="19" t="s">
        <v>228</v>
      </c>
      <c r="D696" s="22" t="str">
        <f aca="false">HYPERLINK("https://discord.com/channels/1040938900039929917/1263859189176864798","ссылка")</f>
        <v>ссылка</v>
      </c>
      <c r="E696" s="24" t="s">
        <v>1028</v>
      </c>
      <c r="F696" s="24" t="n">
        <v>2</v>
      </c>
    </row>
    <row r="697" customFormat="false" ht="15.75" hidden="false" customHeight="false" outlineLevel="0" collapsed="false">
      <c r="A697" s="19" t="n">
        <v>695</v>
      </c>
      <c r="B697" s="19" t="s">
        <v>450</v>
      </c>
      <c r="C697" s="19" t="s">
        <v>151</v>
      </c>
      <c r="D697" s="22" t="str">
        <f aca="false">HYPERLINK("https://discord.com/channels/1040938900039929917/1263859189176864798","ссылка")</f>
        <v>ссылка</v>
      </c>
      <c r="E697" s="43" t="n">
        <v>45492</v>
      </c>
      <c r="F697" s="24" t="n">
        <v>3</v>
      </c>
    </row>
    <row r="698" customFormat="false" ht="15.75" hidden="false" customHeight="false" outlineLevel="0" collapsed="false">
      <c r="A698" s="19" t="n">
        <v>696</v>
      </c>
      <c r="B698" s="19" t="s">
        <v>13</v>
      </c>
      <c r="C698" s="19" t="s">
        <v>737</v>
      </c>
      <c r="D698" s="62" t="str">
        <f aca="false">HYPERLINK("https://discord.com/channels/1040938900039929917/1263868365957627976","ссылка")</f>
        <v>ссылка</v>
      </c>
      <c r="E698" s="43" t="n">
        <v>45492</v>
      </c>
      <c r="F698" s="24" t="n">
        <v>2</v>
      </c>
    </row>
    <row r="699" customFormat="false" ht="15.75" hidden="false" customHeight="false" outlineLevel="0" collapsed="false">
      <c r="A699" s="19" t="n">
        <v>697</v>
      </c>
      <c r="B699" s="19" t="s">
        <v>13</v>
      </c>
      <c r="C699" s="19" t="s">
        <v>450</v>
      </c>
      <c r="D699" s="22" t="str">
        <f aca="false">HYPERLINK("https://discord.com/channels/1040938900039929917/1263868365957627976","ссылка")</f>
        <v>ссылка</v>
      </c>
      <c r="E699" s="43" t="n">
        <v>45492</v>
      </c>
      <c r="F699" s="24" t="n">
        <v>3</v>
      </c>
    </row>
    <row r="700" customFormat="false" ht="15.75" hidden="false" customHeight="false" outlineLevel="0" collapsed="false">
      <c r="A700" s="19" t="n">
        <v>698</v>
      </c>
      <c r="B700" s="19" t="s">
        <v>753</v>
      </c>
      <c r="C700" s="19" t="s">
        <v>577</v>
      </c>
      <c r="D700" s="22" t="str">
        <f aca="false">HYPERLINK("https://discord.com/channels/1040938900039929917/1263932099560472689","ссылка")</f>
        <v>ссылка</v>
      </c>
      <c r="E700" s="43" t="n">
        <v>45492</v>
      </c>
      <c r="F700" s="24" t="n">
        <v>3</v>
      </c>
    </row>
    <row r="701" customFormat="false" ht="15.75" hidden="false" customHeight="false" outlineLevel="0" collapsed="false">
      <c r="A701" s="19" t="n">
        <v>699</v>
      </c>
      <c r="B701" s="19" t="s">
        <v>753</v>
      </c>
      <c r="C701" s="19" t="s">
        <v>473</v>
      </c>
      <c r="D701" s="62" t="str">
        <f aca="false">HYPERLINK("https://discord.com/channels/1040938900039929917/1263932099560472689","ссылка")</f>
        <v>ссылка</v>
      </c>
      <c r="E701" s="43" t="n">
        <v>45492</v>
      </c>
      <c r="F701" s="24" t="n">
        <v>0</v>
      </c>
    </row>
    <row r="702" customFormat="false" ht="15.75" hidden="false" customHeight="false" outlineLevel="0" collapsed="false">
      <c r="A702" s="19" t="n">
        <v>700</v>
      </c>
      <c r="B702" s="19" t="s">
        <v>753</v>
      </c>
      <c r="C702" s="19" t="s">
        <v>417</v>
      </c>
      <c r="D702" s="22" t="str">
        <f aca="false">HYPERLINK("https://discord.com/channels/1040938900039929917/1263932099560472689","ссылка")</f>
        <v>ссылка</v>
      </c>
      <c r="E702" s="43" t="n">
        <v>45492</v>
      </c>
      <c r="F702" s="24" t="n">
        <v>3</v>
      </c>
    </row>
    <row r="703" customFormat="false" ht="15.75" hidden="false" customHeight="false" outlineLevel="0" collapsed="false">
      <c r="A703" s="19" t="n">
        <v>701</v>
      </c>
      <c r="B703" s="19" t="s">
        <v>16</v>
      </c>
      <c r="C703" s="19" t="s">
        <v>488</v>
      </c>
      <c r="D703" s="22" t="str">
        <f aca="false">HYPERLINK("https://discord.com/channels/1040938900039929917/1263804195664822423","ссылка")</f>
        <v>ссылка</v>
      </c>
      <c r="E703" s="43" t="n">
        <v>45497</v>
      </c>
      <c r="F703" s="24" t="n">
        <v>-10</v>
      </c>
    </row>
    <row r="704" customFormat="false" ht="15.75" hidden="false" customHeight="false" outlineLevel="0" collapsed="false">
      <c r="A704" s="19" t="n">
        <v>702</v>
      </c>
      <c r="B704" s="19" t="s">
        <v>577</v>
      </c>
      <c r="C704" s="19" t="s">
        <v>753</v>
      </c>
      <c r="D704" s="62" t="str">
        <f aca="false">HYPERLINK("https://discord.com/channels/1040938900039929917/1264210352342831194","ссылка")</f>
        <v>ссылка</v>
      </c>
      <c r="E704" s="43" t="n">
        <v>45493</v>
      </c>
      <c r="F704" s="24" t="n">
        <v>3</v>
      </c>
    </row>
    <row r="705" customFormat="false" ht="15.75" hidden="false" customHeight="false" outlineLevel="0" collapsed="false">
      <c r="A705" s="19" t="n">
        <v>703</v>
      </c>
      <c r="B705" s="19" t="s">
        <v>374</v>
      </c>
      <c r="C705" s="19" t="s">
        <v>236</v>
      </c>
      <c r="D705" s="22" t="str">
        <f aca="false">HYPERLINK("https://discord.com/channels/1040938900039929917/1264340219596111903","ссылка")</f>
        <v>ссылка</v>
      </c>
      <c r="E705" s="43" t="n">
        <v>45494</v>
      </c>
      <c r="F705" s="24" t="n">
        <v>5</v>
      </c>
    </row>
    <row r="706" customFormat="false" ht="15.75" hidden="false" customHeight="false" outlineLevel="0" collapsed="false">
      <c r="A706" s="19" t="n">
        <v>704</v>
      </c>
      <c r="B706" s="19" t="s">
        <v>236</v>
      </c>
      <c r="C706" s="19" t="s">
        <v>374</v>
      </c>
      <c r="D706" s="22" t="str">
        <f aca="false">HYPERLINK("https://discord.com/channels/1040938900039929917/1264341481427304519","ссылка")</f>
        <v>ссылка</v>
      </c>
      <c r="E706" s="43" t="n">
        <v>45494</v>
      </c>
      <c r="F706" s="24" t="n">
        <v>2</v>
      </c>
    </row>
    <row r="707" customFormat="false" ht="15.75" hidden="false" customHeight="false" outlineLevel="0" collapsed="false">
      <c r="A707" s="19" t="n">
        <v>705</v>
      </c>
      <c r="B707" s="19" t="s">
        <v>577</v>
      </c>
      <c r="C707" s="19" t="s">
        <v>139</v>
      </c>
      <c r="D707" s="22" t="str">
        <f aca="false">HYPERLINK("https://discord.com/channels/1040938900039929917/1264638034100617297","ссылка")</f>
        <v>ссылка</v>
      </c>
      <c r="E707" s="43" t="n">
        <v>45494</v>
      </c>
      <c r="F707" s="24" t="n">
        <v>2</v>
      </c>
    </row>
    <row r="708" customFormat="false" ht="15.75" hidden="false" customHeight="false" outlineLevel="0" collapsed="false">
      <c r="A708" s="19" t="n">
        <v>706</v>
      </c>
      <c r="B708" s="19" t="s">
        <v>502</v>
      </c>
      <c r="C708" s="19" t="s">
        <v>1020</v>
      </c>
      <c r="D708" s="22" t="str">
        <f aca="false">HYPERLINK("https://discord.com/channels/1040938900039929917/1264342240914968657","ссылка")</f>
        <v>ссылка</v>
      </c>
      <c r="E708" s="43" t="n">
        <v>45494</v>
      </c>
      <c r="F708" s="24" t="n">
        <v>-1</v>
      </c>
    </row>
    <row r="709" customFormat="false" ht="15.75" hidden="false" customHeight="false" outlineLevel="0" collapsed="false">
      <c r="A709" s="19" t="n">
        <v>707</v>
      </c>
      <c r="B709" s="19" t="s">
        <v>336</v>
      </c>
      <c r="C709" s="19" t="s">
        <v>671</v>
      </c>
      <c r="D709" s="22" t="str">
        <f aca="false">HYPERLINK("https://discord.com/channels/1040938900039929917/1264580815296266260","ссылка")</f>
        <v>ссылка</v>
      </c>
      <c r="E709" s="43" t="n">
        <v>45494</v>
      </c>
      <c r="F709" s="24" t="n">
        <v>4</v>
      </c>
    </row>
    <row r="710" customFormat="false" ht="15.75" hidden="false" customHeight="false" outlineLevel="0" collapsed="false">
      <c r="A710" s="19" t="n">
        <v>708</v>
      </c>
      <c r="B710" s="19" t="s">
        <v>671</v>
      </c>
      <c r="C710" s="19" t="s">
        <v>336</v>
      </c>
      <c r="D710" s="22" t="str">
        <f aca="false">HYPERLINK("https://discord.com/channels/1040938900039929917/1264580076679331962","ссылка")</f>
        <v>ссылка</v>
      </c>
      <c r="E710" s="43" t="n">
        <v>45494</v>
      </c>
      <c r="F710" s="24" t="n">
        <v>4</v>
      </c>
    </row>
    <row r="711" customFormat="false" ht="15.75" hidden="false" customHeight="false" outlineLevel="0" collapsed="false">
      <c r="A711" s="19" t="n">
        <v>709</v>
      </c>
      <c r="B711" s="19" t="s">
        <v>671</v>
      </c>
      <c r="C711" s="19" t="s">
        <v>450</v>
      </c>
      <c r="D711" s="22" t="str">
        <f aca="false">HYPERLINK("https://discord.com/channels/1040938900039929917/1264894675878412428","ссылка")</f>
        <v>ссылка</v>
      </c>
      <c r="E711" s="43" t="n">
        <v>45494</v>
      </c>
      <c r="F711" s="24" t="n">
        <v>7</v>
      </c>
    </row>
    <row r="712" customFormat="false" ht="15.75" hidden="false" customHeight="false" outlineLevel="0" collapsed="false">
      <c r="A712" s="19" t="n">
        <v>710</v>
      </c>
      <c r="B712" s="19" t="s">
        <v>450</v>
      </c>
      <c r="C712" s="19" t="s">
        <v>11</v>
      </c>
      <c r="D712" s="22" t="str">
        <f aca="false">HYPERLINK("https://discord.com/channels/1040938900039929917/1264873699706671256","ссылка")</f>
        <v>ссылка</v>
      </c>
      <c r="E712" s="43" t="n">
        <v>45495</v>
      </c>
      <c r="F712" s="24" t="n">
        <v>7</v>
      </c>
      <c r="G712" s="19"/>
    </row>
    <row r="713" customFormat="false" ht="15.75" hidden="false" customHeight="false" outlineLevel="0" collapsed="false">
      <c r="A713" s="19" t="n">
        <v>711</v>
      </c>
      <c r="B713" s="19" t="s">
        <v>450</v>
      </c>
      <c r="C713" s="57" t="s">
        <v>524</v>
      </c>
      <c r="D713" s="22" t="str">
        <f aca="false">HYPERLINK("https://discord.com/channels/1040938900039929917/1264873699706671256","ссылка")</f>
        <v>ссылка</v>
      </c>
      <c r="E713" s="63" t="n">
        <v>45495</v>
      </c>
      <c r="F713" s="24" t="n">
        <v>2</v>
      </c>
      <c r="G713" s="19"/>
    </row>
    <row r="714" customFormat="false" ht="15.75" hidden="false" customHeight="false" outlineLevel="0" collapsed="false">
      <c r="A714" s="19" t="n">
        <v>712</v>
      </c>
      <c r="B714" s="19" t="s">
        <v>450</v>
      </c>
      <c r="C714" s="19" t="s">
        <v>671</v>
      </c>
      <c r="D714" s="22" t="str">
        <f aca="false">HYPERLINK("https://discord.com/channels/1040938900039929917/1264873699706671256","ссылка")</f>
        <v>ссылка</v>
      </c>
      <c r="E714" s="43" t="n">
        <v>45495</v>
      </c>
      <c r="F714" s="24" t="n">
        <v>4</v>
      </c>
    </row>
    <row r="715" customFormat="false" ht="15.75" hidden="false" customHeight="false" outlineLevel="0" collapsed="false">
      <c r="A715" s="19" t="n">
        <v>713</v>
      </c>
      <c r="B715" s="19" t="s">
        <v>450</v>
      </c>
      <c r="C715" s="19" t="s">
        <v>228</v>
      </c>
      <c r="D715" s="22" t="str">
        <f aca="false">HYPERLINK("https://discord.com/channels/1040938900039929917/1264873699706671256","ссылка")</f>
        <v>ссылка</v>
      </c>
      <c r="E715" s="64" t="n">
        <v>45495</v>
      </c>
      <c r="F715" s="24" t="n">
        <v>1</v>
      </c>
    </row>
    <row r="716" customFormat="false" ht="15.75" hidden="false" customHeight="false" outlineLevel="0" collapsed="false">
      <c r="A716" s="19" t="n">
        <v>714</v>
      </c>
      <c r="B716" s="19" t="s">
        <v>450</v>
      </c>
      <c r="C716" s="19" t="s">
        <v>753</v>
      </c>
      <c r="D716" s="22" t="str">
        <f aca="false">HYPERLINK("https://discord.com/channels/1040938900039929917/1264873699706671256","ссылка")</f>
        <v>ссылка</v>
      </c>
      <c r="E716" s="63" t="n">
        <v>45495</v>
      </c>
      <c r="F716" s="24" t="n">
        <v>3</v>
      </c>
    </row>
    <row r="717" customFormat="false" ht="15.75" hidden="false" customHeight="false" outlineLevel="0" collapsed="false">
      <c r="A717" s="19" t="n">
        <v>715</v>
      </c>
      <c r="B717" s="19" t="s">
        <v>236</v>
      </c>
      <c r="C717" s="19" t="s">
        <v>671</v>
      </c>
      <c r="D717" s="22" t="str">
        <f aca="false">HYPERLINK("https://discord.com/channels/1040938900039929917/1264349904659026012","ссылка")</f>
        <v>ссылка</v>
      </c>
      <c r="E717" s="43" t="n">
        <v>45494</v>
      </c>
      <c r="F717" s="24" t="n">
        <v>2</v>
      </c>
    </row>
    <row r="718" customFormat="false" ht="15.75" hidden="false" customHeight="false" outlineLevel="0" collapsed="false">
      <c r="A718" s="19" t="n">
        <v>716</v>
      </c>
      <c r="B718" s="19" t="s">
        <v>236</v>
      </c>
      <c r="C718" s="19" t="s">
        <v>88</v>
      </c>
      <c r="D718" s="22" t="str">
        <f aca="false">HYPERLINK("https://discord.com/channels/1040938900039929917/1264349904659026012","ссылка")</f>
        <v>ссылка</v>
      </c>
      <c r="E718" s="43" t="n">
        <v>45494</v>
      </c>
      <c r="F718" s="24" t="n">
        <v>2</v>
      </c>
    </row>
    <row r="719" customFormat="false" ht="15.75" hidden="false" customHeight="false" outlineLevel="0" collapsed="false">
      <c r="A719" s="19" t="n">
        <v>717</v>
      </c>
      <c r="B719" s="19" t="s">
        <v>363</v>
      </c>
      <c r="C719" s="19" t="s">
        <v>577</v>
      </c>
      <c r="D719" s="22" t="str">
        <f aca="false">HYPERLINK("https://discord.com/channels/1040938900039929917/1264540802835546165","ссылка")</f>
        <v>ссылка</v>
      </c>
      <c r="E719" s="43" t="n">
        <v>45494</v>
      </c>
      <c r="F719" s="24" t="n">
        <v>3</v>
      </c>
    </row>
    <row r="720" customFormat="false" ht="15.75" hidden="false" customHeight="false" outlineLevel="0" collapsed="false">
      <c r="A720" s="19" t="n">
        <v>718</v>
      </c>
      <c r="B720" s="19" t="s">
        <v>363</v>
      </c>
      <c r="C720" s="19" t="s">
        <v>26</v>
      </c>
      <c r="D720" s="22" t="str">
        <f aca="false">HYPERLINK("https://discord.com/channels/1040938900039929917/1264540802835546165","ссылка")</f>
        <v>ссылка</v>
      </c>
      <c r="E720" s="43" t="n">
        <v>45494</v>
      </c>
      <c r="F720" s="24" t="n">
        <v>8</v>
      </c>
    </row>
    <row r="721" customFormat="false" ht="15.75" hidden="false" customHeight="false" outlineLevel="0" collapsed="false">
      <c r="A721" s="19" t="n">
        <v>719</v>
      </c>
      <c r="B721" s="19" t="s">
        <v>228</v>
      </c>
      <c r="C721" s="19" t="s">
        <v>591</v>
      </c>
      <c r="D721" s="22" t="str">
        <f aca="false">HYPERLINK("ссылка","ссылка")</f>
        <v>ссылка</v>
      </c>
      <c r="E721" s="43" t="n">
        <v>45495</v>
      </c>
      <c r="F721" s="24" t="n">
        <v>-6</v>
      </c>
    </row>
    <row r="722" customFormat="false" ht="15.75" hidden="false" customHeight="false" outlineLevel="0" collapsed="false">
      <c r="A722" s="19" t="n">
        <v>720</v>
      </c>
      <c r="B722" s="19" t="s">
        <v>13</v>
      </c>
      <c r="C722" s="19" t="s">
        <v>643</v>
      </c>
      <c r="D722" s="22" t="str">
        <f aca="false">HYPERLINK("https://discord.com/channels/1040938900039929917/1263604797035118603","ссылка")</f>
        <v>ссылка</v>
      </c>
      <c r="E722" s="43" t="n">
        <v>45492</v>
      </c>
      <c r="F722" s="24" t="n">
        <v>-30</v>
      </c>
    </row>
    <row r="723" customFormat="false" ht="15.75" hidden="false" customHeight="false" outlineLevel="0" collapsed="false">
      <c r="A723" s="19" t="n">
        <v>721</v>
      </c>
      <c r="B723" s="19" t="s">
        <v>13</v>
      </c>
      <c r="C723" s="19" t="s">
        <v>616</v>
      </c>
      <c r="D723" s="22" t="str">
        <f aca="false">HYPERLINK("https://discord.com/channels/1040938900039929917/1263604797035118603","ссылка")</f>
        <v>ссылка</v>
      </c>
      <c r="E723" s="43" t="n">
        <v>45492</v>
      </c>
      <c r="F723" s="24" t="n">
        <v>-5</v>
      </c>
    </row>
    <row r="724" customFormat="false" ht="15.75" hidden="false" customHeight="false" outlineLevel="0" collapsed="false">
      <c r="A724" s="19" t="n">
        <v>722</v>
      </c>
      <c r="B724" s="19" t="s">
        <v>1020</v>
      </c>
      <c r="C724" s="19" t="s">
        <v>139</v>
      </c>
      <c r="D724" s="22" t="str">
        <f aca="false">HYPERLINK("https://discord.com/channels/1040938900039929917/1264566659537047586","ссылка")</f>
        <v>ссылка</v>
      </c>
      <c r="E724" s="43" t="n">
        <v>45494</v>
      </c>
      <c r="F724" s="24" t="n">
        <v>-1</v>
      </c>
    </row>
    <row r="725" customFormat="false" ht="15.75" hidden="false" customHeight="false" outlineLevel="0" collapsed="false">
      <c r="A725" s="19" t="n">
        <v>723</v>
      </c>
      <c r="B725" s="19" t="s">
        <v>741</v>
      </c>
      <c r="C725" s="19" t="s">
        <v>374</v>
      </c>
      <c r="D725" s="22" t="str">
        <f aca="false">HYPERLINK("https://discord.com/channels/1040938900039929917/1265386734435307551/1266654935530078281","ссылка")</f>
        <v>ссылка</v>
      </c>
      <c r="E725" s="43" t="n">
        <v>45496</v>
      </c>
      <c r="F725" s="24" t="n">
        <v>5</v>
      </c>
    </row>
    <row r="726" customFormat="false" ht="15.75" hidden="false" customHeight="false" outlineLevel="0" collapsed="false">
      <c r="A726" s="19" t="n">
        <v>724</v>
      </c>
      <c r="B726" s="19" t="s">
        <v>741</v>
      </c>
      <c r="C726" s="19" t="s">
        <v>502</v>
      </c>
      <c r="D726" s="22" t="str">
        <f aca="false">HYPERLINK("https://discord.com/channels/1040938900039929917/1265386734435307551/1266654951774621818","ссылка")</f>
        <v>ссылка</v>
      </c>
      <c r="E726" s="43" t="n">
        <v>45496</v>
      </c>
      <c r="F726" s="24" t="n">
        <v>5</v>
      </c>
    </row>
    <row r="727" customFormat="false" ht="15.75" hidden="false" customHeight="false" outlineLevel="0" collapsed="false">
      <c r="A727" s="19" t="n">
        <v>725</v>
      </c>
      <c r="B727" s="19" t="s">
        <v>737</v>
      </c>
      <c r="C727" s="19" t="s">
        <v>502</v>
      </c>
      <c r="D727" s="22" t="str">
        <f aca="false">HYPERLINK("https://discord.com/channels/1040938900039929917/1264784949769404489","ссылка")</f>
        <v>ссылка</v>
      </c>
      <c r="E727" s="43" t="n">
        <v>45495</v>
      </c>
      <c r="F727" s="24" t="n">
        <v>4</v>
      </c>
    </row>
    <row r="728" customFormat="false" ht="15.75" hidden="false" customHeight="false" outlineLevel="0" collapsed="false">
      <c r="A728" s="19" t="n">
        <v>726</v>
      </c>
      <c r="B728" s="19" t="s">
        <v>737</v>
      </c>
      <c r="C728" s="19" t="s">
        <v>440</v>
      </c>
      <c r="D728" s="22" t="str">
        <f aca="false">HYPERLINK("https://discord.com/channels/1040938900039929917/1264784949769404489","ссылка")</f>
        <v>ссылка</v>
      </c>
      <c r="E728" s="43" t="n">
        <v>45495</v>
      </c>
      <c r="F728" s="24" t="n">
        <v>3</v>
      </c>
    </row>
    <row r="729" customFormat="false" ht="15.75" hidden="false" customHeight="false" outlineLevel="0" collapsed="false">
      <c r="A729" s="19" t="n">
        <v>727</v>
      </c>
      <c r="B729" s="19" t="s">
        <v>737</v>
      </c>
      <c r="C729" s="19" t="s">
        <v>417</v>
      </c>
      <c r="D729" s="22" t="str">
        <f aca="false">HYPERLINK("https://discord.com/channels/1040938900039929917/1264784949769404489","ссылка")</f>
        <v>ссылка</v>
      </c>
      <c r="E729" s="43" t="n">
        <v>45495</v>
      </c>
      <c r="F729" s="24" t="n">
        <v>2</v>
      </c>
    </row>
    <row r="730" customFormat="false" ht="15.75" hidden="false" customHeight="false" outlineLevel="0" collapsed="false">
      <c r="A730" s="19" t="n">
        <v>728</v>
      </c>
      <c r="B730" s="19" t="s">
        <v>753</v>
      </c>
      <c r="C730" s="19" t="s">
        <v>763</v>
      </c>
      <c r="D730" s="22" t="str">
        <f aca="false">HYPERLINK("https://discord.com/channels/1040938900039929917/1265426537201668167","ссылка")</f>
        <v>ссылка</v>
      </c>
      <c r="E730" s="43" t="n">
        <v>45497</v>
      </c>
      <c r="F730" s="24" t="n">
        <v>5</v>
      </c>
    </row>
    <row r="731" customFormat="false" ht="15.75" hidden="false" customHeight="false" outlineLevel="0" collapsed="false">
      <c r="A731" s="19" t="n">
        <v>729</v>
      </c>
      <c r="B731" s="19" t="s">
        <v>473</v>
      </c>
      <c r="C731" s="19" t="s">
        <v>431</v>
      </c>
      <c r="D731" s="22" t="str">
        <f aca="false">HYPERLINK("https://discord.com/channels/1040938900039929917/1265165950030975088","ссылка")</f>
        <v>ссылка</v>
      </c>
      <c r="E731" s="43" t="n">
        <v>45496</v>
      </c>
      <c r="F731" s="24" t="n">
        <v>4</v>
      </c>
    </row>
    <row r="732" customFormat="false" ht="15.75" hidden="false" customHeight="false" outlineLevel="0" collapsed="false">
      <c r="A732" s="19" t="n">
        <v>730</v>
      </c>
      <c r="B732" s="19" t="s">
        <v>671</v>
      </c>
      <c r="C732" s="19" t="s">
        <v>236</v>
      </c>
      <c r="D732" s="22" t="str">
        <f aca="false">HYPERLINK("https://discord.com/channels/1040938900039929917/1265396381368062055","ссылка")</f>
        <v>ссылка</v>
      </c>
      <c r="E732" s="43" t="n">
        <v>45496</v>
      </c>
      <c r="F732" s="24" t="n">
        <v>2</v>
      </c>
    </row>
    <row r="733" customFormat="false" ht="15.75" hidden="false" customHeight="false" outlineLevel="0" collapsed="false">
      <c r="A733" s="19" t="n">
        <v>731</v>
      </c>
      <c r="B733" s="19" t="s">
        <v>417</v>
      </c>
      <c r="C733" s="19" t="s">
        <v>151</v>
      </c>
      <c r="D733" s="22" t="str">
        <f aca="false">HYPERLINK("https://discord.com/channels/1040938900039929917/1263959127244406817","ссылка")</f>
        <v>ссылка</v>
      </c>
      <c r="E733" s="43" t="n">
        <v>45492</v>
      </c>
      <c r="F733" s="24" t="n">
        <v>3</v>
      </c>
    </row>
    <row r="734" customFormat="false" ht="15.75" hidden="false" customHeight="false" outlineLevel="0" collapsed="false">
      <c r="A734" s="19" t="n">
        <v>732</v>
      </c>
      <c r="B734" s="19" t="s">
        <v>671</v>
      </c>
      <c r="C734" s="19" t="s">
        <v>1020</v>
      </c>
      <c r="D734" s="22" t="str">
        <f aca="false">HYPERLINK("https://discord.com/channels/1040938900039929917/1265400741192007690","ссылка")</f>
        <v>ссылка</v>
      </c>
      <c r="E734" s="43" t="n">
        <v>45496</v>
      </c>
      <c r="F734" s="24" t="n">
        <v>-5</v>
      </c>
    </row>
    <row r="735" customFormat="false" ht="15.75" hidden="false" customHeight="false" outlineLevel="0" collapsed="false">
      <c r="A735" s="19" t="n">
        <v>733</v>
      </c>
      <c r="B735" s="65" t="s">
        <v>11</v>
      </c>
      <c r="C735" s="19" t="s">
        <v>236</v>
      </c>
      <c r="D735" s="24" t="s">
        <v>1029</v>
      </c>
      <c r="E735" s="43" t="n">
        <v>45500</v>
      </c>
      <c r="F735" s="24" t="n">
        <v>1</v>
      </c>
    </row>
    <row r="736" customFormat="false" ht="15.75" hidden="false" customHeight="false" outlineLevel="0" collapsed="false">
      <c r="A736" s="19" t="n">
        <v>734</v>
      </c>
      <c r="B736" s="65" t="s">
        <v>11</v>
      </c>
      <c r="C736" s="19" t="s">
        <v>475</v>
      </c>
      <c r="D736" s="24" t="s">
        <v>1029</v>
      </c>
      <c r="E736" s="43" t="n">
        <v>45500</v>
      </c>
      <c r="F736" s="24" t="n">
        <v>1</v>
      </c>
    </row>
    <row r="737" customFormat="false" ht="15.75" hidden="false" customHeight="false" outlineLevel="0" collapsed="false">
      <c r="A737" s="19" t="n">
        <v>735</v>
      </c>
      <c r="B737" s="65" t="s">
        <v>11</v>
      </c>
      <c r="C737" s="19" t="s">
        <v>450</v>
      </c>
      <c r="D737" s="24" t="s">
        <v>1030</v>
      </c>
      <c r="E737" s="43" t="n">
        <v>45500</v>
      </c>
      <c r="F737" s="24" t="n">
        <v>5</v>
      </c>
    </row>
    <row r="738" customFormat="false" ht="15.75" hidden="false" customHeight="false" outlineLevel="0" collapsed="false">
      <c r="A738" s="19" t="n">
        <v>736</v>
      </c>
      <c r="B738" s="66" t="s">
        <v>11</v>
      </c>
      <c r="C738" s="19" t="s">
        <v>374</v>
      </c>
      <c r="D738" s="24" t="s">
        <v>1031</v>
      </c>
      <c r="E738" s="43" t="n">
        <v>45500</v>
      </c>
      <c r="F738" s="24" t="n">
        <v>1</v>
      </c>
      <c r="G738" s="19" t="s">
        <v>1032</v>
      </c>
    </row>
    <row r="739" customFormat="false" ht="15.75" hidden="false" customHeight="false" outlineLevel="0" collapsed="false">
      <c r="A739" s="19" t="n">
        <v>737</v>
      </c>
      <c r="B739" s="66" t="s">
        <v>11</v>
      </c>
      <c r="C739" s="19" t="s">
        <v>88</v>
      </c>
      <c r="D739" s="24" t="s">
        <v>1033</v>
      </c>
      <c r="E739" s="43" t="n">
        <v>45500</v>
      </c>
      <c r="F739" s="24" t="n">
        <v>9</v>
      </c>
      <c r="G739" s="19" t="s">
        <v>1034</v>
      </c>
    </row>
    <row r="740" customFormat="false" ht="15.75" hidden="false" customHeight="false" outlineLevel="0" collapsed="false">
      <c r="A740" s="19" t="n">
        <v>738</v>
      </c>
      <c r="B740" s="65" t="s">
        <v>473</v>
      </c>
      <c r="C740" s="19" t="s">
        <v>778</v>
      </c>
      <c r="D740" s="24" t="s">
        <v>1035</v>
      </c>
      <c r="E740" s="43" t="n">
        <v>45501</v>
      </c>
      <c r="F740" s="24" t="n">
        <v>-15</v>
      </c>
    </row>
    <row r="741" customFormat="false" ht="15.75" hidden="false" customHeight="false" outlineLevel="0" collapsed="false">
      <c r="A741" s="19" t="n">
        <v>739</v>
      </c>
      <c r="B741" s="65" t="s">
        <v>11</v>
      </c>
      <c r="C741" s="19" t="s">
        <v>780</v>
      </c>
      <c r="D741" s="24" t="s">
        <v>1003</v>
      </c>
      <c r="E741" s="43" t="n">
        <v>45501</v>
      </c>
      <c r="F741" s="24" t="n">
        <v>10</v>
      </c>
    </row>
    <row r="742" customFormat="false" ht="15.75" hidden="false" customHeight="false" outlineLevel="0" collapsed="false">
      <c r="A742" s="19" t="n">
        <v>740</v>
      </c>
      <c r="B742" s="65" t="s">
        <v>1022</v>
      </c>
      <c r="C742" s="19" t="s">
        <v>417</v>
      </c>
      <c r="D742" s="22" t="str">
        <f aca="false">HYPERLINK("https://discord.com/channels/1040938900039929917/1265002740904366181","ссылка")</f>
        <v>ссылка</v>
      </c>
      <c r="E742" s="43" t="n">
        <v>45495</v>
      </c>
      <c r="F742" s="24" t="n">
        <v>4</v>
      </c>
    </row>
    <row r="743" customFormat="false" ht="15.75" hidden="false" customHeight="false" outlineLevel="0" collapsed="false">
      <c r="A743" s="19" t="n">
        <v>741</v>
      </c>
      <c r="B743" s="19" t="s">
        <v>763</v>
      </c>
      <c r="C743" s="19" t="s">
        <v>753</v>
      </c>
      <c r="D743" s="22" t="str">
        <f aca="false">HYPERLINK("https://discord.com/channels/1040938900039929917/1265458124488441938",("ссылка"))</f>
        <v>ссылка</v>
      </c>
      <c r="E743" s="43" t="n">
        <v>45497</v>
      </c>
      <c r="F743" s="24" t="n">
        <v>5</v>
      </c>
    </row>
    <row r="744" customFormat="false" ht="15.75" hidden="false" customHeight="false" outlineLevel="0" collapsed="false">
      <c r="A744" s="19" t="n">
        <v>742</v>
      </c>
      <c r="B744" s="19" t="s">
        <v>139</v>
      </c>
      <c r="C744" s="19" t="s">
        <v>288</v>
      </c>
      <c r="D744" s="22" t="str">
        <f aca="false">HYPERLINK("https://discord.com/channels/1040938900039929917/1265785727879221369","ссылка")</f>
        <v>ссылка</v>
      </c>
      <c r="E744" s="43" t="n">
        <v>45498</v>
      </c>
      <c r="F744" s="24" t="n">
        <v>4</v>
      </c>
    </row>
    <row r="745" customFormat="false" ht="15.75" hidden="false" customHeight="false" outlineLevel="0" collapsed="false">
      <c r="A745" s="19" t="n">
        <v>743</v>
      </c>
      <c r="B745" s="19" t="s">
        <v>577</v>
      </c>
      <c r="C745" s="19" t="s">
        <v>264</v>
      </c>
      <c r="D745" s="22" t="str">
        <f aca="false">HYPERLINK("https://discord.com/channels/1040938900039929917/1266463965442080818","ссылка")</f>
        <v>ссылка</v>
      </c>
      <c r="E745" s="43" t="n">
        <v>45499</v>
      </c>
      <c r="F745" s="24" t="n">
        <v>3</v>
      </c>
    </row>
    <row r="746" customFormat="false" ht="15.75" hidden="false" customHeight="false" outlineLevel="0" collapsed="false">
      <c r="A746" s="19" t="n">
        <v>744</v>
      </c>
      <c r="B746" s="19" t="s">
        <v>270</v>
      </c>
      <c r="C746" s="19" t="s">
        <v>116</v>
      </c>
      <c r="D746" s="22" t="str">
        <f aca="false">HYPERLINK("https://discord.com/channels/1040938900039929917/1266172599096971336","ссылка")</f>
        <v>ссылка</v>
      </c>
      <c r="E746" s="43" t="n">
        <v>45499</v>
      </c>
      <c r="F746" s="24" t="n">
        <v>5</v>
      </c>
    </row>
    <row r="747" customFormat="false" ht="15.75" hidden="false" customHeight="false" outlineLevel="0" collapsed="false">
      <c r="A747" s="19" t="n">
        <v>745</v>
      </c>
      <c r="B747" s="19" t="s">
        <v>11</v>
      </c>
      <c r="C747" s="19" t="s">
        <v>522</v>
      </c>
      <c r="D747" s="24" t="s">
        <v>1006</v>
      </c>
      <c r="E747" s="43" t="n">
        <v>45502</v>
      </c>
      <c r="F747" s="24" t="n">
        <v>-34</v>
      </c>
    </row>
    <row r="748" customFormat="false" ht="15.75" hidden="false" customHeight="false" outlineLevel="0" collapsed="false">
      <c r="A748" s="19" t="n">
        <v>746</v>
      </c>
      <c r="B748" s="19" t="s">
        <v>753</v>
      </c>
      <c r="C748" s="19" t="s">
        <v>486</v>
      </c>
      <c r="D748" s="22" t="str">
        <f aca="false">HYPERLINK("https://discord.com/channels/1040938900039929917/1265411333315100784","ссылка")</f>
        <v>ссылка</v>
      </c>
      <c r="E748" s="43" t="n">
        <v>45496</v>
      </c>
      <c r="F748" s="24" t="n">
        <v>-30</v>
      </c>
    </row>
    <row r="749" customFormat="false" ht="15.75" hidden="false" customHeight="false" outlineLevel="0" collapsed="false">
      <c r="A749" s="19" t="n">
        <v>747</v>
      </c>
      <c r="B749" s="19" t="s">
        <v>116</v>
      </c>
      <c r="C749" s="19" t="s">
        <v>270</v>
      </c>
      <c r="D749" s="22" t="str">
        <f aca="false">HYPERLINK("https://discord.com/channels/1040938900039929917/1266355927825649706","ссылка")</f>
        <v>ссылка</v>
      </c>
      <c r="E749" s="43" t="n">
        <v>45499</v>
      </c>
      <c r="F749" s="24" t="n">
        <v>5</v>
      </c>
    </row>
    <row r="750" customFormat="false" ht="15.75" hidden="false" customHeight="false" outlineLevel="0" collapsed="false">
      <c r="A750" s="19" t="n">
        <v>748</v>
      </c>
      <c r="B750" s="19" t="s">
        <v>326</v>
      </c>
      <c r="C750" s="19" t="s">
        <v>667</v>
      </c>
      <c r="D750" s="22" t="str">
        <f aca="false">HYPERLINK("https://discord.com/channels/1040938900039929917/1266492585837330445","ссылка")</f>
        <v>ссылка</v>
      </c>
      <c r="E750" s="43" t="n">
        <v>45499</v>
      </c>
      <c r="F750" s="24" t="n">
        <v>3</v>
      </c>
    </row>
    <row r="751" customFormat="false" ht="15.75" hidden="false" customHeight="false" outlineLevel="0" collapsed="false">
      <c r="A751" s="19" t="n">
        <v>749</v>
      </c>
      <c r="B751" s="19" t="s">
        <v>326</v>
      </c>
      <c r="C751" s="19" t="s">
        <v>139</v>
      </c>
      <c r="D751" s="22" t="str">
        <f aca="false">HYPERLINK("https://discord.com/channels/1040938900039929917/1266492585837330445","ссылка")</f>
        <v>ссылка</v>
      </c>
      <c r="E751" s="43" t="n">
        <v>45499</v>
      </c>
      <c r="F751" s="24" t="n">
        <v>1</v>
      </c>
    </row>
    <row r="752" customFormat="false" ht="15.75" hidden="false" customHeight="false" outlineLevel="0" collapsed="false">
      <c r="A752" s="19" t="n">
        <v>750</v>
      </c>
      <c r="B752" s="19" t="s">
        <v>11</v>
      </c>
      <c r="C752" s="19" t="s">
        <v>784</v>
      </c>
      <c r="D752" s="24" t="s">
        <v>1003</v>
      </c>
      <c r="E752" s="43" t="n">
        <v>45503</v>
      </c>
      <c r="F752" s="24" t="n">
        <v>10</v>
      </c>
    </row>
    <row r="753" customFormat="false" ht="15.75" hidden="false" customHeight="false" outlineLevel="0" collapsed="false">
      <c r="A753" s="19" t="n">
        <v>751</v>
      </c>
      <c r="B753" s="19" t="s">
        <v>131</v>
      </c>
      <c r="C753" s="19" t="s">
        <v>647</v>
      </c>
      <c r="D753" s="22" t="str">
        <f aca="false">HYPERLINK("https://discord.com/channels/1040938900039929917/1266848948371324958","ссылка")</f>
        <v>ссылка</v>
      </c>
      <c r="E753" s="43" t="n">
        <v>45409</v>
      </c>
      <c r="F753" s="24" t="n">
        <v>15</v>
      </c>
    </row>
    <row r="754" customFormat="false" ht="15.75" hidden="false" customHeight="false" outlineLevel="0" collapsed="false">
      <c r="A754" s="19" t="n">
        <v>752</v>
      </c>
      <c r="B754" s="19" t="s">
        <v>131</v>
      </c>
      <c r="C754" s="19" t="s">
        <v>667</v>
      </c>
      <c r="D754" s="22" t="str">
        <f aca="false">HYPERLINK("https://discord.com/channels/1040938900039929917/1266848948371324958","ссылка")</f>
        <v>ссылка</v>
      </c>
      <c r="E754" s="63" t="n">
        <v>45409</v>
      </c>
      <c r="F754" s="24" t="n">
        <v>15</v>
      </c>
    </row>
    <row r="755" customFormat="false" ht="15.75" hidden="false" customHeight="false" outlineLevel="0" collapsed="false">
      <c r="A755" s="19" t="n">
        <v>753</v>
      </c>
      <c r="B755" s="19" t="s">
        <v>131</v>
      </c>
      <c r="C755" s="19" t="s">
        <v>11</v>
      </c>
      <c r="D755" s="67" t="str">
        <f aca="false">HYPERLINK("https://discord.com/channels/1040938900039929917/1266848948371324958","ссылка")</f>
        <v>ссылка</v>
      </c>
      <c r="E755" s="63" t="n">
        <v>45409</v>
      </c>
      <c r="F755" s="24" t="n">
        <v>15</v>
      </c>
    </row>
    <row r="756" customFormat="false" ht="15.75" hidden="false" customHeight="false" outlineLevel="0" collapsed="false">
      <c r="A756" s="19" t="n">
        <v>754</v>
      </c>
      <c r="B756" s="19" t="s">
        <v>131</v>
      </c>
      <c r="C756" s="19" t="s">
        <v>759</v>
      </c>
      <c r="D756" s="68" t="str">
        <f aca="false">HYPERLINK("https://discord.com/channels/1040938900039929917/1266848948371324958","ссылка")</f>
        <v>ссылка</v>
      </c>
      <c r="E756" s="63" t="n">
        <v>45409</v>
      </c>
      <c r="F756" s="24" t="n">
        <v>15</v>
      </c>
    </row>
    <row r="757" customFormat="false" ht="15.75" hidden="false" customHeight="false" outlineLevel="0" collapsed="false">
      <c r="A757" s="19" t="n">
        <v>755</v>
      </c>
      <c r="B757" s="19" t="s">
        <v>131</v>
      </c>
      <c r="C757" s="19" t="s">
        <v>417</v>
      </c>
      <c r="D757" s="67" t="str">
        <f aca="false">HYPERLINK("https://discord.com/channels/1040938900039929917/1266848948371324958","ссылка")</f>
        <v>ссылка</v>
      </c>
      <c r="E757" s="63" t="n">
        <v>45409</v>
      </c>
      <c r="F757" s="24" t="n">
        <v>12</v>
      </c>
    </row>
    <row r="758" customFormat="false" ht="15.75" hidden="false" customHeight="false" outlineLevel="0" collapsed="false">
      <c r="A758" s="19" t="n">
        <v>756</v>
      </c>
      <c r="B758" s="19" t="s">
        <v>488</v>
      </c>
      <c r="C758" s="19" t="s">
        <v>657</v>
      </c>
      <c r="D758" s="67" t="str">
        <f aca="false">HYPERLINK("https://discord.com/channels/1040938900039929917/1266736229366501386","ссылка")</f>
        <v>ссылка</v>
      </c>
      <c r="E758" s="63" t="n">
        <v>45409</v>
      </c>
      <c r="F758" s="24" t="n">
        <v>-5</v>
      </c>
    </row>
    <row r="759" customFormat="false" ht="15.75" hidden="false" customHeight="false" outlineLevel="0" collapsed="false">
      <c r="A759" s="19" t="n">
        <v>757</v>
      </c>
      <c r="B759" s="19" t="s">
        <v>288</v>
      </c>
      <c r="C759" s="19" t="s">
        <v>139</v>
      </c>
      <c r="D759" s="68" t="str">
        <f aca="false">HYPERLINK("https://discord.com/channels/1040938900039929917/1266529450586013830","ссылка")</f>
        <v>ссылка</v>
      </c>
      <c r="E759" s="43" t="n">
        <v>45409</v>
      </c>
      <c r="F759" s="24" t="n">
        <v>3</v>
      </c>
    </row>
    <row r="760" customFormat="false" ht="15.75" hidden="false" customHeight="false" outlineLevel="0" collapsed="false">
      <c r="A760" s="19" t="n">
        <v>758</v>
      </c>
      <c r="B760" s="19" t="s">
        <v>288</v>
      </c>
      <c r="C760" s="19" t="s">
        <v>510</v>
      </c>
      <c r="D760" s="62" t="str">
        <f aca="false">HYPERLINK("https://discord.com/channels/1040938900039929917/1266529450586013830","ссылка")</f>
        <v>ссылка</v>
      </c>
      <c r="E760" s="43" t="n">
        <v>45409</v>
      </c>
      <c r="F760" s="24" t="n">
        <v>3</v>
      </c>
    </row>
    <row r="761" customFormat="false" ht="15.75" hidden="false" customHeight="false" outlineLevel="0" collapsed="false">
      <c r="A761" s="19" t="n">
        <v>759</v>
      </c>
      <c r="B761" s="19" t="s">
        <v>431</v>
      </c>
      <c r="C761" s="19" t="s">
        <v>326</v>
      </c>
      <c r="D761" s="27" t="str">
        <f aca="false">HYPERLINK("https://discord.com/channels/1040938900039929917/1267191531882811415","ссылка")</f>
        <v>ссылка</v>
      </c>
      <c r="E761" s="43" t="n">
        <v>45501</v>
      </c>
      <c r="F761" s="24" t="n">
        <v>2</v>
      </c>
    </row>
    <row r="762" customFormat="false" ht="15.75" hidden="false" customHeight="false" outlineLevel="0" collapsed="false">
      <c r="A762" s="19" t="n">
        <v>760</v>
      </c>
      <c r="B762" s="19" t="s">
        <v>16</v>
      </c>
      <c r="C762" s="19" t="s">
        <v>778</v>
      </c>
      <c r="D762" s="27" t="str">
        <f aca="false">HYPERLINK("https://discord.com/channels/1040938900039929917/1267499770520277034","ссылка")</f>
        <v>ссылка</v>
      </c>
      <c r="E762" s="43" t="n">
        <v>45504</v>
      </c>
      <c r="F762" s="24" t="n">
        <v>4</v>
      </c>
    </row>
    <row r="763" customFormat="false" ht="15.75" hidden="false" customHeight="false" outlineLevel="0" collapsed="false">
      <c r="A763" s="19" t="n">
        <v>761</v>
      </c>
      <c r="B763" s="19" t="s">
        <v>510</v>
      </c>
      <c r="C763" s="19" t="s">
        <v>410</v>
      </c>
      <c r="D763" s="27" t="str">
        <f aca="false">HYPERLINK("https://discordapp.com/channels/1040938900039929917/1267619022766342265","ссылка")</f>
        <v>ссылка</v>
      </c>
      <c r="E763" s="43" t="n">
        <v>45503</v>
      </c>
      <c r="F763" s="24" t="n">
        <v>10</v>
      </c>
    </row>
    <row r="764" customFormat="false" ht="15.75" hidden="false" customHeight="false" outlineLevel="0" collapsed="false">
      <c r="A764" s="19" t="n">
        <v>762</v>
      </c>
      <c r="B764" s="19" t="s">
        <v>16</v>
      </c>
      <c r="C764" s="19" t="s">
        <v>1020</v>
      </c>
      <c r="D764" s="27" t="str">
        <f aca="false">HYPERLINK("https://discord.com/channels/1040938900039929917/1266793787380990084","ссылка")</f>
        <v>ссылка</v>
      </c>
      <c r="E764" s="43" t="n">
        <v>45506</v>
      </c>
      <c r="F764" s="24" t="n">
        <v>-10</v>
      </c>
    </row>
    <row r="765" customFormat="false" ht="15.75" hidden="false" customHeight="false" outlineLevel="0" collapsed="false">
      <c r="A765" s="19" t="n">
        <v>763</v>
      </c>
      <c r="B765" s="19" t="s">
        <v>88</v>
      </c>
      <c r="C765" s="19" t="s">
        <v>786</v>
      </c>
      <c r="D765" s="24" t="s">
        <v>1003</v>
      </c>
      <c r="E765" s="43" t="n">
        <v>45506</v>
      </c>
      <c r="F765" s="24" t="n">
        <v>10</v>
      </c>
    </row>
    <row r="766" customFormat="false" ht="15.75" hidden="false" customHeight="false" outlineLevel="0" collapsed="false">
      <c r="A766" s="19" t="n">
        <v>764</v>
      </c>
      <c r="B766" s="19" t="s">
        <v>16</v>
      </c>
      <c r="C766" s="19" t="s">
        <v>1020</v>
      </c>
      <c r="D766" s="22" t="str">
        <f aca="false">HYPERLINK("https://discord.com/channels/1040938900039929917/1267754806429352057","ссылка")</f>
        <v>ссылка</v>
      </c>
      <c r="E766" s="43" t="n">
        <v>45507</v>
      </c>
      <c r="F766" s="24" t="n">
        <v>-5</v>
      </c>
    </row>
    <row r="767" customFormat="false" ht="15.75" hidden="false" customHeight="false" outlineLevel="0" collapsed="false">
      <c r="A767" s="19" t="n">
        <v>765</v>
      </c>
      <c r="B767" s="19" t="s">
        <v>16</v>
      </c>
      <c r="C767" s="19" t="s">
        <v>488</v>
      </c>
      <c r="D767" s="22" t="str">
        <f aca="false">HYPERLINK("https://discord.com/channels/1040938900039929917/1267754806429352057","ссылка")</f>
        <v>ссылка</v>
      </c>
      <c r="E767" s="43" t="n">
        <v>45507</v>
      </c>
      <c r="F767" s="24" t="n">
        <v>-5</v>
      </c>
    </row>
    <row r="768" customFormat="false" ht="15.75" hidden="false" customHeight="false" outlineLevel="0" collapsed="false">
      <c r="A768" s="19" t="n">
        <v>766</v>
      </c>
      <c r="B768" s="19" t="s">
        <v>266</v>
      </c>
      <c r="C768" s="19" t="s">
        <v>131</v>
      </c>
      <c r="D768" s="22" t="str">
        <f aca="false">HYPERLINK("https://discordapp.com/channels/1040938900039929917/1248719901489889401","ссылка")</f>
        <v>ссылка</v>
      </c>
      <c r="E768" s="43" t="n">
        <v>45453</v>
      </c>
      <c r="F768" s="24" t="n">
        <v>5</v>
      </c>
    </row>
    <row r="769" customFormat="false" ht="15.75" hidden="false" customHeight="false" outlineLevel="0" collapsed="false">
      <c r="A769" s="19" t="n">
        <v>767</v>
      </c>
      <c r="B769" s="19" t="s">
        <v>131</v>
      </c>
      <c r="C769" s="19" t="s">
        <v>511</v>
      </c>
      <c r="D769" s="22" t="str">
        <f aca="false">HYPERLINK("https://discordapp.com/channels/1040938900039929917/1268319952713289849","ссылка")</f>
        <v>ссылка</v>
      </c>
      <c r="E769" s="43" t="n">
        <v>45505</v>
      </c>
      <c r="F769" s="24" t="n">
        <v>10</v>
      </c>
    </row>
    <row r="770" customFormat="false" ht="15.75" hidden="false" customHeight="false" outlineLevel="0" collapsed="false">
      <c r="A770" s="19" t="n">
        <v>768</v>
      </c>
      <c r="B770" s="19" t="s">
        <v>131</v>
      </c>
      <c r="C770" s="19" t="s">
        <v>363</v>
      </c>
      <c r="D770" s="22" t="str">
        <f aca="false">HYPERLINK("https://discordapp.com/channels/1040938900039929917/1268319952713289849","ссылка")</f>
        <v>ссылка</v>
      </c>
      <c r="E770" s="43" t="n">
        <v>45505</v>
      </c>
      <c r="F770" s="24" t="n">
        <v>3</v>
      </c>
    </row>
    <row r="771" customFormat="false" ht="15.75" hidden="false" customHeight="false" outlineLevel="0" collapsed="false">
      <c r="A771" s="19" t="n">
        <v>769</v>
      </c>
      <c r="B771" s="19" t="s">
        <v>511</v>
      </c>
      <c r="C771" s="19" t="s">
        <v>131</v>
      </c>
      <c r="D771" s="22" t="str">
        <f aca="false">HYPERLINK("https://discordapp.com/channels/1040938900039929917/1268298879514837113","ссылка")</f>
        <v>ссылка</v>
      </c>
      <c r="E771" s="43" t="n">
        <v>45504</v>
      </c>
      <c r="F771" s="24" t="n">
        <v>10</v>
      </c>
    </row>
    <row r="772" customFormat="false" ht="15.75" hidden="false" customHeight="false" outlineLevel="0" collapsed="false">
      <c r="A772" s="19" t="n">
        <v>770</v>
      </c>
      <c r="B772" s="19" t="s">
        <v>511</v>
      </c>
      <c r="C772" s="19" t="s">
        <v>647</v>
      </c>
      <c r="D772" s="22" t="str">
        <f aca="false">HYPERLINK("https://discordapp.com/channels/1040938900039929917/1268298879514837113","ссылка")</f>
        <v>ссылка</v>
      </c>
      <c r="E772" s="63" t="n">
        <v>45504</v>
      </c>
      <c r="F772" s="24" t="n">
        <v>10</v>
      </c>
    </row>
    <row r="773" customFormat="false" ht="15.75" hidden="false" customHeight="false" outlineLevel="0" collapsed="false">
      <c r="A773" s="19" t="n">
        <v>771</v>
      </c>
      <c r="B773" s="66" t="s">
        <v>511</v>
      </c>
      <c r="C773" s="19" t="s">
        <v>95</v>
      </c>
      <c r="D773" s="22" t="str">
        <f aca="false">HYPERLINK("https://discordapp.com/channels/1040938900039929917/1268298879514837113","ссылка")</f>
        <v>ссылка</v>
      </c>
      <c r="E773" s="63" t="n">
        <v>45504</v>
      </c>
      <c r="F773" s="24" t="n">
        <v>7</v>
      </c>
    </row>
    <row r="774" customFormat="false" ht="15.75" hidden="false" customHeight="false" outlineLevel="0" collapsed="false">
      <c r="A774" s="19" t="n">
        <v>772</v>
      </c>
      <c r="B774" s="66" t="s">
        <v>511</v>
      </c>
      <c r="C774" s="19" t="s">
        <v>410</v>
      </c>
      <c r="D774" s="22" t="str">
        <f aca="false">HYPERLINK("https://discordapp.com/channels/1040938900039929917/1268298879514837113","ссылка")</f>
        <v>ссылка</v>
      </c>
      <c r="E774" s="63" t="n">
        <v>45504</v>
      </c>
      <c r="F774" s="24" t="n">
        <v>5</v>
      </c>
    </row>
    <row r="775" customFormat="false" ht="15.75" hidden="false" customHeight="false" outlineLevel="0" collapsed="false">
      <c r="A775" s="19" t="n">
        <v>773</v>
      </c>
      <c r="B775" s="19" t="s">
        <v>417</v>
      </c>
      <c r="C775" s="19" t="s">
        <v>88</v>
      </c>
      <c r="D775" s="22" t="str">
        <f aca="false">HYPERLINK("https://discordapp.com/channels/1040938900039929917/1264957324758614036","ссылка")</f>
        <v>ссылка</v>
      </c>
      <c r="E775" s="69" t="n">
        <v>45495</v>
      </c>
      <c r="F775" s="24" t="n">
        <v>0</v>
      </c>
      <c r="G775" s="70" t="s">
        <v>1036</v>
      </c>
    </row>
    <row r="776" customFormat="false" ht="15.75" hidden="false" customHeight="false" outlineLevel="0" collapsed="false">
      <c r="A776" s="19" t="n">
        <v>774</v>
      </c>
      <c r="B776" s="19" t="s">
        <v>417</v>
      </c>
      <c r="C776" s="19" t="s">
        <v>1022</v>
      </c>
      <c r="D776" s="22" t="str">
        <f aca="false">HYPERLINK("https://discordapp.com/channels/1040938900039929917/1264957324758614036","ссылка")</f>
        <v>ссылка</v>
      </c>
      <c r="E776" s="63" t="n">
        <v>45495</v>
      </c>
      <c r="F776" s="24" t="n">
        <v>4</v>
      </c>
    </row>
    <row r="777" customFormat="false" ht="15.75" hidden="false" customHeight="false" outlineLevel="0" collapsed="false">
      <c r="A777" s="19" t="n">
        <v>775</v>
      </c>
      <c r="B777" s="19" t="s">
        <v>417</v>
      </c>
      <c r="C777" s="19" t="s">
        <v>737</v>
      </c>
      <c r="D777" s="22" t="str">
        <f aca="false">HYPERLINK("https://discordapp.com/channels/1040938900039929917/1264957324758614036","ссылка")</f>
        <v>ссылка</v>
      </c>
      <c r="E777" s="64" t="n">
        <v>45495</v>
      </c>
      <c r="F777" s="24" t="n">
        <v>3</v>
      </c>
    </row>
    <row r="778" customFormat="false" ht="15.75" hidden="false" customHeight="false" outlineLevel="0" collapsed="false">
      <c r="A778" s="19" t="n">
        <v>776</v>
      </c>
      <c r="B778" s="19" t="s">
        <v>417</v>
      </c>
      <c r="C778" s="19" t="s">
        <v>1037</v>
      </c>
      <c r="D778" s="22" t="str">
        <f aca="false">HYPERLINK("https://discordapp.com/channels/1040938900039929917/1264957324758614036","ссылка")</f>
        <v>ссылка</v>
      </c>
      <c r="E778" s="43" t="n">
        <v>45495</v>
      </c>
      <c r="F778" s="24" t="n">
        <v>4</v>
      </c>
    </row>
    <row r="779" customFormat="false" ht="15.75" hidden="false" customHeight="false" outlineLevel="0" collapsed="false">
      <c r="A779" s="19" t="n">
        <v>777</v>
      </c>
      <c r="B779" s="19" t="s">
        <v>417</v>
      </c>
      <c r="C779" s="19" t="s">
        <v>719</v>
      </c>
      <c r="D779" s="22" t="str">
        <f aca="false">HYPERLINK("https://discordapp.com/channels/1040938900039929917/1264957324758614036","ссылка")</f>
        <v>ссылка</v>
      </c>
      <c r="E779" s="63" t="n">
        <v>45495</v>
      </c>
      <c r="F779" s="24" t="n">
        <v>2</v>
      </c>
    </row>
    <row r="780" customFormat="false" ht="15.75" hidden="false" customHeight="false" outlineLevel="0" collapsed="false">
      <c r="A780" s="19" t="n">
        <v>778</v>
      </c>
      <c r="B780" s="19" t="s">
        <v>310</v>
      </c>
      <c r="C780" s="19" t="s">
        <v>792</v>
      </c>
      <c r="D780" s="24" t="s">
        <v>4</v>
      </c>
      <c r="E780" s="43" t="n">
        <v>45476</v>
      </c>
      <c r="F780" s="24" t="n">
        <v>-15</v>
      </c>
    </row>
    <row r="781" customFormat="false" ht="15.75" hidden="false" customHeight="false" outlineLevel="0" collapsed="false">
      <c r="A781" s="19" t="n">
        <v>779</v>
      </c>
      <c r="B781" s="19" t="s">
        <v>310</v>
      </c>
      <c r="C781" s="19" t="s">
        <v>794</v>
      </c>
      <c r="D781" s="24" t="s">
        <v>4</v>
      </c>
      <c r="E781" s="43" t="n">
        <v>45476</v>
      </c>
      <c r="F781" s="24" t="n">
        <v>-15</v>
      </c>
    </row>
    <row r="782" customFormat="false" ht="15.75" hidden="false" customHeight="false" outlineLevel="0" collapsed="false">
      <c r="A782" s="19" t="n">
        <v>780</v>
      </c>
      <c r="B782" s="19" t="s">
        <v>410</v>
      </c>
      <c r="C782" s="19" t="s">
        <v>139</v>
      </c>
      <c r="D782" s="22" t="str">
        <f aca="false">HYPERLINK("https://discordapp.com/channels/1040938900039929917/1269214333464875050","ссылка")</f>
        <v>ссылка</v>
      </c>
      <c r="E782" s="43" t="n">
        <v>45476</v>
      </c>
      <c r="F782" s="24" t="n">
        <v>10</v>
      </c>
    </row>
    <row r="783" customFormat="false" ht="15.75" hidden="false" customHeight="false" outlineLevel="0" collapsed="false">
      <c r="A783" s="19" t="n">
        <v>781</v>
      </c>
      <c r="B783" s="19" t="s">
        <v>502</v>
      </c>
      <c r="C783" s="19" t="s">
        <v>374</v>
      </c>
      <c r="D783" s="22" t="str">
        <f aca="false">HYPERLINK("https://discordapp.com/channels/1040938900039929917/1269433481998372914","ссылка")</f>
        <v>ссылка</v>
      </c>
      <c r="E783" s="43" t="n">
        <v>45476</v>
      </c>
      <c r="F783" s="24" t="n">
        <v>5</v>
      </c>
    </row>
    <row r="784" customFormat="false" ht="15.75" hidden="false" customHeight="false" outlineLevel="0" collapsed="false">
      <c r="A784" s="19" t="n">
        <v>782</v>
      </c>
      <c r="B784" s="19" t="s">
        <v>6</v>
      </c>
      <c r="C784" s="19" t="s">
        <v>178</v>
      </c>
      <c r="D784" s="22" t="str">
        <f aca="false">HYPERLINK("https://discordapp.com/channels/1040938900039929917/1267955952087470090","ссылка")</f>
        <v>ссылка</v>
      </c>
      <c r="E784" s="43" t="n">
        <v>45504</v>
      </c>
      <c r="F784" s="24" t="n">
        <v>-10</v>
      </c>
    </row>
    <row r="785" customFormat="false" ht="15.75" hidden="false" customHeight="false" outlineLevel="0" collapsed="false">
      <c r="A785" s="19" t="n">
        <v>783</v>
      </c>
      <c r="B785" s="19" t="s">
        <v>6</v>
      </c>
      <c r="C785" s="19" t="s">
        <v>577</v>
      </c>
      <c r="D785" s="22" t="str">
        <f aca="false">HYPERLINK("https://discordapp.com/channels/1040938900039929917/1267955952087470090","ссылка")</f>
        <v>ссылка</v>
      </c>
      <c r="E785" s="43" t="n">
        <v>45504</v>
      </c>
      <c r="F785" s="24" t="n">
        <v>-10</v>
      </c>
    </row>
    <row r="786" customFormat="false" ht="15.75" hidden="false" customHeight="false" outlineLevel="0" collapsed="false">
      <c r="A786" s="19" t="n">
        <v>784</v>
      </c>
      <c r="B786" s="19" t="s">
        <v>61</v>
      </c>
      <c r="C786" s="19" t="s">
        <v>266</v>
      </c>
      <c r="D786" s="22" t="str">
        <f aca="false">HYPERLINK(" https://discordapp.com/channels/1040938900039929917/1269078586158092381","ссылка")</f>
        <v>ссылка</v>
      </c>
      <c r="E786" s="43" t="n">
        <v>45507</v>
      </c>
      <c r="F786" s="24" t="n">
        <v>13</v>
      </c>
    </row>
    <row r="787" customFormat="false" ht="15.75" hidden="false" customHeight="false" outlineLevel="0" collapsed="false">
      <c r="A787" s="19" t="n">
        <v>785</v>
      </c>
      <c r="B787" s="19" t="s">
        <v>61</v>
      </c>
      <c r="C787" s="19" t="s">
        <v>417</v>
      </c>
      <c r="D787" s="22" t="str">
        <f aca="false">HYPERLINK(" https://discordapp.com/channels/1040938900039929917/1269078586158092381","ссылка")</f>
        <v>ссылка</v>
      </c>
      <c r="E787" s="63" t="n">
        <v>45507</v>
      </c>
      <c r="F787" s="24" t="n">
        <v>0</v>
      </c>
      <c r="G787" s="24" t="s">
        <v>1038</v>
      </c>
    </row>
    <row r="788" customFormat="false" ht="15.75" hidden="false" customHeight="false" outlineLevel="0" collapsed="false">
      <c r="A788" s="19" t="n">
        <v>786</v>
      </c>
      <c r="B788" s="19" t="s">
        <v>61</v>
      </c>
      <c r="C788" s="19" t="s">
        <v>431</v>
      </c>
      <c r="D788" s="22" t="str">
        <f aca="false">HYPERLINK(" https://discordapp.com/channels/1040938900039929917/1269078586158092381","ссылка")</f>
        <v>ссылка</v>
      </c>
      <c r="E788" s="63" t="n">
        <v>45507</v>
      </c>
      <c r="F788" s="24" t="n">
        <v>10</v>
      </c>
    </row>
    <row r="789" customFormat="false" ht="15.75" hidden="false" customHeight="false" outlineLevel="0" collapsed="false">
      <c r="A789" s="19" t="n">
        <v>787</v>
      </c>
      <c r="B789" s="19" t="s">
        <v>61</v>
      </c>
      <c r="C789" s="19" t="s">
        <v>122</v>
      </c>
      <c r="D789" s="22" t="str">
        <f aca="false">HYPERLINK(" https://discordapp.com/channels/1040938900039929917/1269078586158092381","ссылка")</f>
        <v>ссылка</v>
      </c>
      <c r="E789" s="63" t="n">
        <v>45507</v>
      </c>
      <c r="F789" s="24" t="n">
        <v>10</v>
      </c>
    </row>
    <row r="790" customFormat="false" ht="15.75" hidden="false" customHeight="false" outlineLevel="0" collapsed="false">
      <c r="A790" s="19" t="n">
        <v>788</v>
      </c>
      <c r="B790" s="19" t="s">
        <v>310</v>
      </c>
      <c r="C790" s="19" t="s">
        <v>61</v>
      </c>
      <c r="D790" s="22" t="str">
        <f aca="false">HYPERLINK(" https://discordapp.com/channels/1040938900039929917/1269078586158092381","за отзыв")</f>
        <v>за отзыв</v>
      </c>
      <c r="E790" s="43" t="n">
        <v>45507</v>
      </c>
      <c r="F790" s="24" t="n">
        <v>1</v>
      </c>
    </row>
    <row r="791" customFormat="false" ht="15.75" hidden="false" customHeight="false" outlineLevel="0" collapsed="false">
      <c r="A791" s="19" t="n">
        <v>789</v>
      </c>
      <c r="B791" s="19" t="s">
        <v>741</v>
      </c>
      <c r="C791" s="19" t="s">
        <v>151</v>
      </c>
      <c r="D791" s="22" t="s">
        <v>1039</v>
      </c>
      <c r="E791" s="43" t="n">
        <v>45508</v>
      </c>
      <c r="F791" s="24" t="n">
        <v>5</v>
      </c>
    </row>
    <row r="792" customFormat="false" ht="15.75" hidden="false" customHeight="false" outlineLevel="0" collapsed="false">
      <c r="A792" s="19" t="n">
        <v>790</v>
      </c>
      <c r="B792" s="19" t="s">
        <v>266</v>
      </c>
      <c r="C792" s="19" t="s">
        <v>61</v>
      </c>
      <c r="D792" s="22" t="s">
        <v>1039</v>
      </c>
      <c r="E792" s="43" t="n">
        <v>45509</v>
      </c>
      <c r="F792" s="24" t="n">
        <v>15</v>
      </c>
    </row>
    <row r="793" customFormat="false" ht="15.75" hidden="false" customHeight="false" outlineLevel="0" collapsed="false">
      <c r="A793" s="19" t="n">
        <v>791</v>
      </c>
      <c r="B793" s="19" t="s">
        <v>88</v>
      </c>
      <c r="C793" s="19" t="s">
        <v>434</v>
      </c>
      <c r="D793" s="22" t="s">
        <v>1039</v>
      </c>
      <c r="E793" s="43" t="n">
        <v>45508</v>
      </c>
      <c r="F793" s="24" t="n">
        <v>3</v>
      </c>
    </row>
    <row r="794" customFormat="false" ht="15.75" hidden="false" customHeight="false" outlineLevel="0" collapsed="false">
      <c r="A794" s="19" t="n">
        <v>792</v>
      </c>
      <c r="B794" s="19" t="s">
        <v>88</v>
      </c>
      <c r="C794" s="19" t="s">
        <v>139</v>
      </c>
      <c r="D794" s="22" t="s">
        <v>1039</v>
      </c>
      <c r="E794" s="43" t="n">
        <v>45508</v>
      </c>
      <c r="F794" s="24" t="n">
        <v>2</v>
      </c>
    </row>
    <row r="795" customFormat="false" ht="15.75" hidden="false" customHeight="false" outlineLevel="0" collapsed="false">
      <c r="A795" s="19" t="n">
        <v>793</v>
      </c>
      <c r="B795" s="19" t="s">
        <v>310</v>
      </c>
      <c r="C795" s="19" t="s">
        <v>122</v>
      </c>
      <c r="D795" s="22" t="s">
        <v>1039</v>
      </c>
      <c r="E795" s="43" t="n">
        <v>45508</v>
      </c>
      <c r="F795" s="24" t="n">
        <v>-7</v>
      </c>
    </row>
    <row r="796" customFormat="false" ht="15.75" hidden="false" customHeight="false" outlineLevel="0" collapsed="false">
      <c r="A796" s="19" t="n">
        <v>794</v>
      </c>
      <c r="B796" s="19" t="s">
        <v>310</v>
      </c>
      <c r="C796" s="19" t="s">
        <v>784</v>
      </c>
      <c r="D796" s="22" t="s">
        <v>1039</v>
      </c>
      <c r="E796" s="43" t="n">
        <v>45508</v>
      </c>
      <c r="F796" s="24" t="n">
        <v>-7</v>
      </c>
    </row>
    <row r="797" customFormat="false" ht="15.75" hidden="false" customHeight="false" outlineLevel="0" collapsed="false">
      <c r="A797" s="19" t="n">
        <v>795</v>
      </c>
      <c r="B797" s="19" t="s">
        <v>131</v>
      </c>
      <c r="C797" s="19" t="s">
        <v>647</v>
      </c>
      <c r="D797" s="22" t="s">
        <v>1039</v>
      </c>
      <c r="E797" s="43" t="n">
        <v>45507</v>
      </c>
      <c r="F797" s="24" t="n">
        <v>7</v>
      </c>
    </row>
    <row r="798" customFormat="false" ht="15.75" hidden="false" customHeight="false" outlineLevel="0" collapsed="false">
      <c r="A798" s="19" t="n">
        <v>796</v>
      </c>
      <c r="B798" s="19" t="s">
        <v>131</v>
      </c>
      <c r="C798" s="19" t="s">
        <v>622</v>
      </c>
      <c r="D798" s="22" t="s">
        <v>1039</v>
      </c>
      <c r="E798" s="43" t="n">
        <v>45507</v>
      </c>
      <c r="F798" s="24" t="n">
        <v>5</v>
      </c>
    </row>
    <row r="799" customFormat="false" ht="15.75" hidden="false" customHeight="false" outlineLevel="0" collapsed="false">
      <c r="A799" s="19" t="n">
        <v>797</v>
      </c>
      <c r="B799" s="19" t="s">
        <v>131</v>
      </c>
      <c r="C799" s="19" t="s">
        <v>507</v>
      </c>
      <c r="D799" s="22" t="s">
        <v>1039</v>
      </c>
      <c r="E799" s="43" t="n">
        <v>45507</v>
      </c>
      <c r="F799" s="24" t="n">
        <v>5</v>
      </c>
    </row>
    <row r="800" customFormat="false" ht="15.75" hidden="false" customHeight="false" outlineLevel="0" collapsed="false">
      <c r="A800" s="19" t="n">
        <v>798</v>
      </c>
      <c r="B800" s="19" t="s">
        <v>131</v>
      </c>
      <c r="C800" s="19" t="s">
        <v>778</v>
      </c>
      <c r="D800" s="22" t="s">
        <v>1039</v>
      </c>
      <c r="E800" s="43" t="n">
        <v>45507</v>
      </c>
      <c r="F800" s="24" t="n">
        <v>3</v>
      </c>
    </row>
    <row r="801" customFormat="false" ht="15.75" hidden="false" customHeight="false" outlineLevel="0" collapsed="false">
      <c r="A801" s="19" t="n">
        <v>799</v>
      </c>
      <c r="B801" s="19" t="s">
        <v>88</v>
      </c>
      <c r="C801" s="19" t="s">
        <v>809</v>
      </c>
      <c r="D801" s="24" t="s">
        <v>1003</v>
      </c>
      <c r="E801" s="43" t="n">
        <v>45513</v>
      </c>
      <c r="F801" s="24" t="n">
        <v>10</v>
      </c>
    </row>
    <row r="802" customFormat="false" ht="15.75" hidden="false" customHeight="false" outlineLevel="0" collapsed="false">
      <c r="A802" s="19" t="n">
        <v>800</v>
      </c>
      <c r="B802" s="19" t="s">
        <v>741</v>
      </c>
      <c r="C802" s="19" t="s">
        <v>266</v>
      </c>
      <c r="D802" s="22" t="str">
        <f aca="false">HYPERLINK("https://discordapp.com/channels/1040938900039929917/1270256862335471745","ссылка")</f>
        <v>ссылка</v>
      </c>
      <c r="E802" s="43" t="n">
        <v>45510</v>
      </c>
      <c r="F802" s="24" t="n">
        <v>5</v>
      </c>
    </row>
    <row r="803" customFormat="false" ht="15.75" hidden="false" customHeight="false" outlineLevel="0" collapsed="false">
      <c r="A803" s="19" t="n">
        <v>801</v>
      </c>
      <c r="B803" s="19" t="s">
        <v>741</v>
      </c>
      <c r="C803" s="19" t="s">
        <v>431</v>
      </c>
      <c r="D803" s="22" t="str">
        <f aca="false">HYPERLINK("https://discordapp.com/channels/1040938900039929917/1270256862335471745","ссылка")</f>
        <v>ссылка</v>
      </c>
      <c r="E803" s="43" t="n">
        <v>45510</v>
      </c>
      <c r="F803" s="24" t="n">
        <v>15</v>
      </c>
    </row>
    <row r="804" customFormat="false" ht="15.75" hidden="false" customHeight="false" outlineLevel="0" collapsed="false">
      <c r="A804" s="19" t="n">
        <v>802</v>
      </c>
      <c r="B804" s="19" t="s">
        <v>741</v>
      </c>
      <c r="C804" s="19" t="s">
        <v>326</v>
      </c>
      <c r="D804" s="22" t="str">
        <f aca="false">HYPERLINK("https://discordapp.com/channels/1040938900039929917/1270256862335471745","ссылка")</f>
        <v>ссылка</v>
      </c>
      <c r="E804" s="43" t="n">
        <v>45510</v>
      </c>
      <c r="F804" s="24" t="n">
        <v>15</v>
      </c>
    </row>
    <row r="805" customFormat="false" ht="15.75" hidden="false" customHeight="false" outlineLevel="0" collapsed="false">
      <c r="A805" s="19" t="n">
        <v>803</v>
      </c>
      <c r="B805" s="19" t="s">
        <v>310</v>
      </c>
      <c r="C805" s="19" t="s">
        <v>741</v>
      </c>
      <c r="D805" s="22" t="str">
        <f aca="false">HYPERLINK("https://discordapp.com/channels/1040938900039929917/1270256862335471745","ссылка")</f>
        <v>ссылка</v>
      </c>
      <c r="E805" s="63" t="n">
        <v>45510</v>
      </c>
      <c r="F805" s="24" t="n">
        <v>1</v>
      </c>
      <c r="G805" s="19" t="s">
        <v>1040</v>
      </c>
    </row>
    <row r="806" customFormat="false" ht="15.75" hidden="false" customHeight="false" outlineLevel="0" collapsed="false">
      <c r="A806" s="19" t="n">
        <v>804</v>
      </c>
      <c r="B806" s="19" t="s">
        <v>450</v>
      </c>
      <c r="C806" s="19" t="s">
        <v>131</v>
      </c>
      <c r="D806" s="22" t="s">
        <v>1039</v>
      </c>
      <c r="E806" s="43" t="n">
        <v>45507</v>
      </c>
      <c r="F806" s="24" t="n">
        <v>1</v>
      </c>
    </row>
    <row r="807" customFormat="false" ht="15.75" hidden="false" customHeight="false" outlineLevel="0" collapsed="false">
      <c r="A807" s="19" t="n">
        <v>805</v>
      </c>
      <c r="B807" s="19" t="s">
        <v>310</v>
      </c>
      <c r="C807" s="19" t="s">
        <v>741</v>
      </c>
      <c r="D807" s="22" t="str">
        <f aca="false">HYPERLINK("https://discordapp.com/channels/1040938900039929917/1269716789416427570","ссылка")</f>
        <v>ссылка</v>
      </c>
      <c r="E807" s="43" t="n">
        <v>45510</v>
      </c>
      <c r="F807" s="24" t="n">
        <v>1</v>
      </c>
    </row>
    <row r="808" customFormat="false" ht="15.75" hidden="false" customHeight="false" outlineLevel="0" collapsed="false">
      <c r="A808" s="19" t="n">
        <v>806</v>
      </c>
      <c r="B808" s="19" t="s">
        <v>88</v>
      </c>
      <c r="C808" s="19" t="s">
        <v>811</v>
      </c>
      <c r="D808" s="24" t="s">
        <v>1003</v>
      </c>
      <c r="E808" s="43" t="n">
        <v>45515</v>
      </c>
      <c r="F808" s="24" t="n">
        <v>10</v>
      </c>
    </row>
    <row r="809" customFormat="false" ht="15.75" hidden="false" customHeight="false" outlineLevel="0" collapsed="false">
      <c r="A809" s="19" t="n">
        <v>807</v>
      </c>
      <c r="B809" s="19" t="s">
        <v>776</v>
      </c>
      <c r="C809" s="19" t="s">
        <v>122</v>
      </c>
      <c r="D809" s="22" t="str">
        <f aca="false">HYPERLINK("https://discordapp.com/channels/1040938900039929917/1271543903648088084","ссылка")</f>
        <v>ссылка</v>
      </c>
      <c r="E809" s="43" t="n">
        <v>45513</v>
      </c>
      <c r="F809" s="24" t="n">
        <v>-7</v>
      </c>
    </row>
    <row r="810" customFormat="false" ht="15.75" hidden="false" customHeight="false" outlineLevel="0" collapsed="false">
      <c r="A810" s="19" t="n">
        <v>808</v>
      </c>
      <c r="B810" s="19" t="s">
        <v>326</v>
      </c>
      <c r="C810" s="19" t="s">
        <v>1020</v>
      </c>
      <c r="D810" s="22" t="str">
        <f aca="false">HYPERLINK("https://discordapp.com/channels/1040938900039929917/1271823461416960051","ссылка")</f>
        <v>ссылка</v>
      </c>
      <c r="E810" s="43" t="n">
        <v>45514</v>
      </c>
      <c r="F810" s="24" t="n">
        <v>-4</v>
      </c>
    </row>
    <row r="811" customFormat="false" ht="15.75" hidden="false" customHeight="false" outlineLevel="0" collapsed="false">
      <c r="A811" s="19" t="n">
        <v>809</v>
      </c>
      <c r="B811" s="19" t="s">
        <v>310</v>
      </c>
      <c r="C811" s="19" t="s">
        <v>326</v>
      </c>
      <c r="D811" s="22" t="str">
        <f aca="false">HYPERLINK("https://discordapp.com/channels/1040938900039929917/1271823461416960051","ссылка")</f>
        <v>ссылка</v>
      </c>
      <c r="E811" s="43" t="n">
        <v>45514</v>
      </c>
      <c r="F811" s="24" t="n">
        <v>1</v>
      </c>
    </row>
    <row r="812" customFormat="false" ht="15.75" hidden="false" customHeight="false" outlineLevel="0" collapsed="false">
      <c r="A812" s="19" t="n">
        <v>810</v>
      </c>
      <c r="B812" s="19" t="s">
        <v>88</v>
      </c>
      <c r="C812" s="19" t="s">
        <v>815</v>
      </c>
      <c r="D812" s="24" t="s">
        <v>1003</v>
      </c>
      <c r="E812" s="43" t="n">
        <v>45516</v>
      </c>
      <c r="F812" s="24" t="n">
        <v>10</v>
      </c>
    </row>
    <row r="813" customFormat="false" ht="15.75" hidden="false" customHeight="false" outlineLevel="0" collapsed="false">
      <c r="A813" s="19" t="n">
        <v>811</v>
      </c>
      <c r="B813" s="19" t="s">
        <v>475</v>
      </c>
      <c r="C813" s="19" t="s">
        <v>495</v>
      </c>
      <c r="D813" s="22" t="s">
        <v>1039</v>
      </c>
      <c r="E813" s="43" t="n">
        <v>45515</v>
      </c>
      <c r="F813" s="24" t="n">
        <v>2</v>
      </c>
    </row>
    <row r="814" customFormat="false" ht="15.75" hidden="false" customHeight="false" outlineLevel="0" collapsed="false">
      <c r="A814" s="19" t="n">
        <v>812</v>
      </c>
      <c r="B814" s="19" t="s">
        <v>450</v>
      </c>
      <c r="C814" s="19" t="s">
        <v>475</v>
      </c>
      <c r="D814" s="22" t="s">
        <v>1039</v>
      </c>
      <c r="E814" s="43" t="n">
        <v>45515</v>
      </c>
      <c r="F814" s="24" t="n">
        <v>1</v>
      </c>
    </row>
    <row r="815" customFormat="false" ht="15.75" hidden="false" customHeight="false" outlineLevel="0" collapsed="false">
      <c r="A815" s="19" t="n">
        <v>813</v>
      </c>
      <c r="B815" s="19" t="s">
        <v>450</v>
      </c>
      <c r="C815" s="19" t="s">
        <v>800</v>
      </c>
      <c r="D815" s="22" t="str">
        <f aca="false">HYPERLINK("https://discordapp.com/channels/1040938900039929917/1272116470339469312","ссылка")</f>
        <v>ссылка</v>
      </c>
      <c r="E815" s="43" t="n">
        <v>45515</v>
      </c>
      <c r="F815" s="24" t="n">
        <v>-7</v>
      </c>
    </row>
    <row r="816" customFormat="false" ht="15.75" hidden="false" customHeight="false" outlineLevel="0" collapsed="false">
      <c r="A816" s="19" t="n">
        <v>814</v>
      </c>
      <c r="B816" s="19" t="s">
        <v>310</v>
      </c>
      <c r="C816" s="19" t="s">
        <v>450</v>
      </c>
      <c r="D816" s="22" t="str">
        <f aca="false">HYPERLINK("https://discordapp.com/channels/1040938900039929917/1272116470339469312","ссылка")</f>
        <v>ссылка</v>
      </c>
      <c r="E816" s="43" t="n">
        <v>45515</v>
      </c>
      <c r="F816" s="24" t="n">
        <v>1</v>
      </c>
    </row>
    <row r="817" customFormat="false" ht="15.75" hidden="false" customHeight="false" outlineLevel="0" collapsed="false">
      <c r="A817" s="19" t="n">
        <v>815</v>
      </c>
      <c r="B817" s="19" t="s">
        <v>577</v>
      </c>
      <c r="C817" s="19" t="s">
        <v>733</v>
      </c>
      <c r="D817" s="22" t="str">
        <f aca="false">HYPERLINK("https://discordapp.com/channels/1040938900039929917/1272997482644635680","ссылка")</f>
        <v>ссылка</v>
      </c>
      <c r="E817" s="43" t="n">
        <v>45517</v>
      </c>
      <c r="F817" s="24" t="n">
        <v>3</v>
      </c>
    </row>
    <row r="818" customFormat="false" ht="15.75" hidden="false" customHeight="false" outlineLevel="0" collapsed="false">
      <c r="A818" s="19" t="n">
        <v>816</v>
      </c>
      <c r="B818" s="19" t="s">
        <v>310</v>
      </c>
      <c r="C818" s="19" t="s">
        <v>577</v>
      </c>
      <c r="D818" s="22" t="str">
        <f aca="false">HYPERLINK("https://discordapp.com/channels/1040938900039929917/1272997482644635680","ссылка")</f>
        <v>ссылка</v>
      </c>
      <c r="E818" s="43" t="n">
        <v>45517</v>
      </c>
      <c r="F818" s="24" t="n">
        <v>1</v>
      </c>
    </row>
    <row r="819" customFormat="false" ht="15.75" hidden="false" customHeight="false" outlineLevel="0" collapsed="false">
      <c r="A819" s="19" t="n">
        <v>817</v>
      </c>
      <c r="B819" s="19" t="s">
        <v>88</v>
      </c>
      <c r="C819" s="19" t="s">
        <v>826</v>
      </c>
      <c r="D819" s="24" t="s">
        <v>1041</v>
      </c>
      <c r="E819" s="43" t="n">
        <v>45519</v>
      </c>
      <c r="F819" s="24" t="n">
        <v>-15</v>
      </c>
    </row>
    <row r="820" customFormat="false" ht="15.75" hidden="false" customHeight="false" outlineLevel="0" collapsed="false">
      <c r="A820" s="19" t="n">
        <v>818</v>
      </c>
      <c r="B820" s="19" t="s">
        <v>522</v>
      </c>
      <c r="C820" s="19" t="s">
        <v>577</v>
      </c>
      <c r="D820" s="22" t="s">
        <v>1039</v>
      </c>
      <c r="E820" s="43" t="n">
        <v>45517</v>
      </c>
      <c r="F820" s="24" t="n">
        <v>5</v>
      </c>
    </row>
    <row r="821" customFormat="false" ht="15.75" hidden="false" customHeight="false" outlineLevel="0" collapsed="false">
      <c r="A821" s="19" t="n">
        <v>819</v>
      </c>
      <c r="B821" s="19" t="s">
        <v>737</v>
      </c>
      <c r="C821" s="19" t="s">
        <v>759</v>
      </c>
      <c r="D821" s="22" t="str">
        <f aca="false">HYPERLINK("https://discordapp.com/channels/1040938900039929917/1273151061745729577","ссылка")</f>
        <v>ссылка</v>
      </c>
      <c r="E821" s="43" t="n">
        <v>45518</v>
      </c>
      <c r="F821" s="24" t="n">
        <v>7</v>
      </c>
    </row>
    <row r="822" customFormat="false" ht="15.75" hidden="false" customHeight="false" outlineLevel="0" collapsed="false">
      <c r="A822" s="19" t="n">
        <v>820</v>
      </c>
      <c r="B822" s="19" t="s">
        <v>310</v>
      </c>
      <c r="C822" s="19" t="s">
        <v>737</v>
      </c>
      <c r="D822" s="22" t="str">
        <f aca="false">HYPERLINK("https://discordapp.com/channels/1040938900039929917/1273151061745729577","ссылка")</f>
        <v>ссылка</v>
      </c>
      <c r="E822" s="43" t="n">
        <v>45518</v>
      </c>
      <c r="F822" s="24" t="n">
        <v>1</v>
      </c>
    </row>
    <row r="823" customFormat="false" ht="15.75" hidden="false" customHeight="false" outlineLevel="0" collapsed="false">
      <c r="A823" s="19" t="n">
        <v>821</v>
      </c>
      <c r="B823" s="19" t="s">
        <v>759</v>
      </c>
      <c r="C823" s="19" t="s">
        <v>577</v>
      </c>
      <c r="D823" s="22" t="str">
        <f aca="false">HYPERLINK("https://discordapp.com/channels/1040938900039929917/1273348143777321093","ссылка")</f>
        <v>ссылка</v>
      </c>
      <c r="E823" s="63" t="n">
        <v>45518</v>
      </c>
      <c r="F823" s="24" t="n">
        <v>5</v>
      </c>
    </row>
    <row r="824" customFormat="false" ht="15.75" hidden="false" customHeight="false" outlineLevel="0" collapsed="false">
      <c r="A824" s="19" t="n">
        <v>822</v>
      </c>
      <c r="B824" s="19" t="s">
        <v>759</v>
      </c>
      <c r="C824" s="19" t="s">
        <v>733</v>
      </c>
      <c r="D824" s="22" t="str">
        <f aca="false">HYPERLINK("https://discordapp.com/channels/1040938900039929917/1273348143777321093","ссылка")</f>
        <v>ссылка</v>
      </c>
      <c r="E824" s="63" t="n">
        <v>45518</v>
      </c>
      <c r="F824" s="24" t="n">
        <v>5</v>
      </c>
    </row>
    <row r="825" customFormat="false" ht="15.75" hidden="false" customHeight="false" outlineLevel="0" collapsed="false">
      <c r="A825" s="19" t="n">
        <v>823</v>
      </c>
      <c r="B825" s="19" t="s">
        <v>310</v>
      </c>
      <c r="C825" s="19" t="s">
        <v>759</v>
      </c>
      <c r="D825" s="22" t="str">
        <f aca="false">HYPERLINK("https://discordapp.com/channels/1040938900039929917/1273348143777321093","ссылка")</f>
        <v>ссылка</v>
      </c>
      <c r="E825" s="63" t="n">
        <v>45518</v>
      </c>
      <c r="F825" s="24" t="n">
        <v>1</v>
      </c>
    </row>
    <row r="826" customFormat="false" ht="15.75" hidden="false" customHeight="false" outlineLevel="0" collapsed="false">
      <c r="A826" s="19" t="n">
        <v>824</v>
      </c>
      <c r="B826" s="19" t="s">
        <v>475</v>
      </c>
      <c r="C826" s="19" t="s">
        <v>450</v>
      </c>
      <c r="D826" s="22" t="str">
        <f aca="false">HYPERLINK("https://discordapp.com/channels/1040938900039929917/1273337783305633845","ссылка")</f>
        <v>ссылка</v>
      </c>
      <c r="E826" s="43" t="n">
        <v>45518</v>
      </c>
      <c r="F826" s="24" t="n">
        <v>6</v>
      </c>
    </row>
    <row r="827" customFormat="false" ht="15.75" hidden="false" customHeight="false" outlineLevel="0" collapsed="false">
      <c r="A827" s="19" t="n">
        <v>825</v>
      </c>
      <c r="B827" s="19" t="s">
        <v>475</v>
      </c>
      <c r="C827" s="19" t="s">
        <v>326</v>
      </c>
      <c r="D827" s="22" t="str">
        <f aca="false">HYPERLINK("https://discordapp.com/channels/1040938900039929917/1273337783305633845","ссылка")</f>
        <v>ссылка</v>
      </c>
      <c r="E827" s="43" t="n">
        <v>45518</v>
      </c>
      <c r="F827" s="24" t="n">
        <v>4</v>
      </c>
    </row>
    <row r="828" customFormat="false" ht="15.75" hidden="false" customHeight="false" outlineLevel="0" collapsed="false">
      <c r="A828" s="19" t="n">
        <v>826</v>
      </c>
      <c r="B828" s="19" t="s">
        <v>475</v>
      </c>
      <c r="C828" s="19" t="s">
        <v>767</v>
      </c>
      <c r="D828" s="22" t="str">
        <f aca="false">HYPERLINK("https://discordapp.com/channels/1040938900039929917/1273337783305633845","ссылка")</f>
        <v>ссылка</v>
      </c>
      <c r="E828" s="63" t="n">
        <v>45518</v>
      </c>
      <c r="F828" s="24" t="n">
        <v>4</v>
      </c>
    </row>
    <row r="829" customFormat="false" ht="15.75" hidden="false" customHeight="false" outlineLevel="0" collapsed="false">
      <c r="A829" s="19" t="n">
        <v>827</v>
      </c>
      <c r="B829" s="19" t="s">
        <v>475</v>
      </c>
      <c r="C829" s="19" t="s">
        <v>737</v>
      </c>
      <c r="D829" s="22" t="str">
        <f aca="false">HYPERLINK("https://discordapp.com/channels/1040938900039929917/1273337783305633845","ссылка")</f>
        <v>ссылка</v>
      </c>
      <c r="E829" s="63" t="n">
        <v>45518</v>
      </c>
      <c r="F829" s="24" t="n">
        <v>3</v>
      </c>
    </row>
    <row r="830" customFormat="false" ht="15.75" hidden="false" customHeight="false" outlineLevel="0" collapsed="false">
      <c r="A830" s="19" t="n">
        <v>828</v>
      </c>
      <c r="B830" s="19" t="s">
        <v>475</v>
      </c>
      <c r="C830" s="19" t="s">
        <v>495</v>
      </c>
      <c r="D830" s="22" t="str">
        <f aca="false">HYPERLINK("https://discordapp.com/channels/1040938900039929917/1273337783305633845","ссылка")</f>
        <v>ссылка</v>
      </c>
      <c r="E830" s="63" t="n">
        <v>45518</v>
      </c>
      <c r="F830" s="24" t="n">
        <v>2</v>
      </c>
    </row>
    <row r="831" customFormat="false" ht="15.75" hidden="false" customHeight="false" outlineLevel="0" collapsed="false">
      <c r="A831" s="19" t="n">
        <v>829</v>
      </c>
      <c r="B831" s="19" t="s">
        <v>475</v>
      </c>
      <c r="C831" s="19" t="s">
        <v>643</v>
      </c>
      <c r="D831" s="22" t="str">
        <f aca="false">HYPERLINK("https://discordapp.com/channels/1040938900039929917/1273337783305633845","ссылка")</f>
        <v>ссылка</v>
      </c>
      <c r="E831" s="63" t="n">
        <v>45518</v>
      </c>
      <c r="F831" s="24" t="n">
        <v>2</v>
      </c>
    </row>
    <row r="832" customFormat="false" ht="15.75" hidden="false" customHeight="false" outlineLevel="0" collapsed="false">
      <c r="A832" s="19" t="n">
        <v>830</v>
      </c>
      <c r="B832" s="19" t="s">
        <v>310</v>
      </c>
      <c r="C832" s="19" t="s">
        <v>475</v>
      </c>
      <c r="D832" s="22" t="str">
        <f aca="false">HYPERLINK("https://discordapp.com/channels/1040938900039929917/1273337783305633845","ссылка")</f>
        <v>ссылка</v>
      </c>
      <c r="E832" s="63" t="n">
        <v>45518</v>
      </c>
      <c r="F832" s="24" t="n">
        <v>1</v>
      </c>
    </row>
    <row r="833" customFormat="false" ht="15.75" hidden="false" customHeight="false" outlineLevel="0" collapsed="false">
      <c r="A833" s="19" t="n">
        <v>831</v>
      </c>
      <c r="B833" s="19" t="s">
        <v>450</v>
      </c>
      <c r="C833" s="19" t="s">
        <v>266</v>
      </c>
      <c r="D833" s="22" t="s">
        <v>1039</v>
      </c>
      <c r="E833" s="63" t="n">
        <v>45517</v>
      </c>
      <c r="F833" s="24" t="n">
        <v>1</v>
      </c>
    </row>
    <row r="834" customFormat="false" ht="15.75" hidden="false" customHeight="false" outlineLevel="0" collapsed="false">
      <c r="A834" s="19" t="n">
        <v>832</v>
      </c>
      <c r="B834" s="19" t="s">
        <v>266</v>
      </c>
      <c r="C834" s="19" t="s">
        <v>431</v>
      </c>
      <c r="D834" s="22" t="s">
        <v>1039</v>
      </c>
      <c r="E834" s="63" t="n">
        <v>45517</v>
      </c>
      <c r="F834" s="24" t="n">
        <v>0</v>
      </c>
      <c r="G834" s="24" t="s">
        <v>1038</v>
      </c>
    </row>
    <row r="835" customFormat="false" ht="15.75" hidden="false" customHeight="false" outlineLevel="0" collapsed="false">
      <c r="A835" s="19" t="n">
        <v>833</v>
      </c>
      <c r="B835" s="19" t="s">
        <v>266</v>
      </c>
      <c r="C835" s="19" t="s">
        <v>495</v>
      </c>
      <c r="D835" s="22" t="s">
        <v>1039</v>
      </c>
      <c r="E835" s="63" t="n">
        <v>45517</v>
      </c>
      <c r="F835" s="24" t="n">
        <v>7</v>
      </c>
    </row>
    <row r="836" customFormat="false" ht="15.75" hidden="false" customHeight="false" outlineLevel="0" collapsed="false">
      <c r="A836" s="19" t="n">
        <v>834</v>
      </c>
      <c r="B836" s="19" t="s">
        <v>266</v>
      </c>
      <c r="C836" s="19" t="s">
        <v>326</v>
      </c>
      <c r="D836" s="22" t="s">
        <v>1039</v>
      </c>
      <c r="E836" s="63" t="n">
        <v>45517</v>
      </c>
      <c r="F836" s="24" t="n">
        <v>7</v>
      </c>
    </row>
    <row r="837" customFormat="false" ht="15.75" hidden="false" customHeight="false" outlineLevel="0" collapsed="false">
      <c r="A837" s="19" t="n">
        <v>835</v>
      </c>
      <c r="B837" s="19" t="s">
        <v>450</v>
      </c>
      <c r="C837" s="19" t="s">
        <v>475</v>
      </c>
      <c r="D837" s="22" t="str">
        <f aca="false">HYPERLINK("https://discordapp.com/channels/1040938900039929917/1273341343049060503","ссылка")</f>
        <v>ссылка</v>
      </c>
      <c r="E837" s="43" t="n">
        <v>45518</v>
      </c>
      <c r="F837" s="24" t="n">
        <v>5</v>
      </c>
    </row>
    <row r="838" customFormat="false" ht="15.75" hidden="false" customHeight="false" outlineLevel="0" collapsed="false">
      <c r="A838" s="19" t="n">
        <v>836</v>
      </c>
      <c r="B838" s="19" t="s">
        <v>11</v>
      </c>
      <c r="C838" s="19" t="s">
        <v>431</v>
      </c>
      <c r="D838" s="31" t="s">
        <v>1042</v>
      </c>
      <c r="E838" s="71" t="n">
        <v>45521</v>
      </c>
      <c r="F838" s="31" t="n">
        <v>-1</v>
      </c>
    </row>
    <row r="839" customFormat="false" ht="15.75" hidden="false" customHeight="false" outlineLevel="0" collapsed="false">
      <c r="A839" s="19" t="n">
        <v>837</v>
      </c>
      <c r="B839" s="19" t="s">
        <v>11</v>
      </c>
      <c r="C839" s="19" t="s">
        <v>450</v>
      </c>
      <c r="D839" s="31" t="s">
        <v>1042</v>
      </c>
      <c r="E839" s="71" t="n">
        <v>45521</v>
      </c>
      <c r="F839" s="31" t="n">
        <v>-4</v>
      </c>
    </row>
    <row r="840" customFormat="false" ht="15.75" hidden="false" customHeight="false" outlineLevel="0" collapsed="false">
      <c r="A840" s="19" t="n">
        <v>838</v>
      </c>
      <c r="B840" s="19" t="s">
        <v>11</v>
      </c>
      <c r="C840" s="19" t="s">
        <v>495</v>
      </c>
      <c r="D840" s="31" t="s">
        <v>1042</v>
      </c>
      <c r="E840" s="71" t="n">
        <v>45521</v>
      </c>
      <c r="F840" s="31" t="n">
        <v>-4</v>
      </c>
    </row>
    <row r="841" customFormat="false" ht="15.75" hidden="false" customHeight="false" outlineLevel="0" collapsed="false">
      <c r="A841" s="19" t="n">
        <v>839</v>
      </c>
      <c r="B841" s="19" t="s">
        <v>475</v>
      </c>
      <c r="C841" s="19" t="s">
        <v>228</v>
      </c>
      <c r="D841" s="22" t="s">
        <v>1039</v>
      </c>
      <c r="E841" s="43" t="n">
        <v>45519</v>
      </c>
      <c r="F841" s="24" t="n">
        <v>0</v>
      </c>
      <c r="G841" s="24" t="s">
        <v>1038</v>
      </c>
    </row>
    <row r="842" customFormat="false" ht="15.75" hidden="false" customHeight="false" outlineLevel="0" collapsed="false">
      <c r="A842" s="19" t="n">
        <v>840</v>
      </c>
      <c r="B842" s="19" t="s">
        <v>475</v>
      </c>
      <c r="C842" s="19" t="s">
        <v>51</v>
      </c>
      <c r="D842" s="22" t="s">
        <v>1039</v>
      </c>
      <c r="E842" s="43" t="n">
        <v>45519</v>
      </c>
      <c r="F842" s="24" t="n">
        <v>2</v>
      </c>
    </row>
    <row r="843" customFormat="false" ht="15.75" hidden="false" customHeight="false" outlineLevel="0" collapsed="false">
      <c r="A843" s="19" t="n">
        <v>841</v>
      </c>
      <c r="B843" s="19" t="s">
        <v>450</v>
      </c>
      <c r="C843" s="19" t="s">
        <v>475</v>
      </c>
      <c r="D843" s="22" t="s">
        <v>1039</v>
      </c>
      <c r="E843" s="43" t="n">
        <v>45519</v>
      </c>
      <c r="F843" s="24" t="n">
        <v>1</v>
      </c>
    </row>
    <row r="844" customFormat="false" ht="15.75" hidden="false" customHeight="false" outlineLevel="0" collapsed="false">
      <c r="A844" s="19" t="n">
        <v>842</v>
      </c>
      <c r="B844" s="19" t="s">
        <v>88</v>
      </c>
      <c r="C844" s="19" t="s">
        <v>61</v>
      </c>
      <c r="D844" s="24" t="s">
        <v>1043</v>
      </c>
      <c r="E844" s="43" t="n">
        <v>45522</v>
      </c>
      <c r="F844" s="24" t="n">
        <v>5</v>
      </c>
    </row>
    <row r="845" customFormat="false" ht="15.75" hidden="false" customHeight="false" outlineLevel="0" collapsed="false">
      <c r="A845" s="19" t="n">
        <v>843</v>
      </c>
      <c r="B845" s="19" t="s">
        <v>88</v>
      </c>
      <c r="C845" s="19" t="s">
        <v>657</v>
      </c>
      <c r="D845" s="24" t="s">
        <v>1044</v>
      </c>
      <c r="E845" s="43" t="n">
        <v>45522</v>
      </c>
      <c r="F845" s="24" t="n">
        <v>1</v>
      </c>
    </row>
    <row r="846" customFormat="false" ht="15.75" hidden="false" customHeight="false" outlineLevel="0" collapsed="false">
      <c r="A846" s="19" t="n">
        <v>844</v>
      </c>
      <c r="B846" s="19" t="s">
        <v>88</v>
      </c>
      <c r="C846" s="19" t="s">
        <v>414</v>
      </c>
      <c r="D846" s="24" t="s">
        <v>1003</v>
      </c>
      <c r="E846" s="43" t="n">
        <v>45522</v>
      </c>
      <c r="F846" s="24" t="n">
        <v>10</v>
      </c>
    </row>
    <row r="847" customFormat="false" ht="15.75" hidden="false" customHeight="false" outlineLevel="0" collapsed="false">
      <c r="A847" s="19" t="n">
        <v>845</v>
      </c>
      <c r="B847" s="19" t="s">
        <v>88</v>
      </c>
      <c r="C847" s="19" t="s">
        <v>832</v>
      </c>
      <c r="D847" s="24" t="s">
        <v>1045</v>
      </c>
      <c r="E847" s="43" t="n">
        <v>45522</v>
      </c>
      <c r="F847" s="24" t="n">
        <v>-15</v>
      </c>
    </row>
    <row r="848" customFormat="false" ht="15.75" hidden="false" customHeight="false" outlineLevel="0" collapsed="false">
      <c r="A848" s="19" t="n">
        <v>846</v>
      </c>
      <c r="B848" s="19" t="s">
        <v>538</v>
      </c>
      <c r="C848" s="19" t="s">
        <v>430</v>
      </c>
      <c r="D848" s="22" t="s">
        <v>1039</v>
      </c>
      <c r="E848" s="43" t="n">
        <v>45521</v>
      </c>
      <c r="F848" s="24" t="n">
        <v>5</v>
      </c>
    </row>
    <row r="849" customFormat="false" ht="15.75" hidden="false" customHeight="false" outlineLevel="0" collapsed="false">
      <c r="A849" s="19" t="n">
        <v>847</v>
      </c>
      <c r="B849" s="19" t="s">
        <v>538</v>
      </c>
      <c r="C849" s="19" t="s">
        <v>759</v>
      </c>
      <c r="D849" s="22" t="s">
        <v>1039</v>
      </c>
      <c r="E849" s="43" t="n">
        <v>45521</v>
      </c>
      <c r="F849" s="24" t="n">
        <v>3</v>
      </c>
    </row>
    <row r="850" customFormat="false" ht="15.75" hidden="false" customHeight="false" outlineLevel="0" collapsed="false">
      <c r="A850" s="19" t="n">
        <v>848</v>
      </c>
      <c r="B850" s="19" t="s">
        <v>538</v>
      </c>
      <c r="C850" s="19" t="s">
        <v>733</v>
      </c>
      <c r="D850" s="22" t="s">
        <v>1039</v>
      </c>
      <c r="E850" s="43" t="n">
        <v>45521</v>
      </c>
      <c r="F850" s="24" t="n">
        <v>3</v>
      </c>
    </row>
    <row r="851" customFormat="false" ht="15.75" hidden="false" customHeight="false" outlineLevel="0" collapsed="false">
      <c r="A851" s="19" t="n">
        <v>849</v>
      </c>
      <c r="B851" s="19" t="s">
        <v>450</v>
      </c>
      <c r="C851" s="19" t="s">
        <v>538</v>
      </c>
      <c r="D851" s="22" t="s">
        <v>1039</v>
      </c>
      <c r="E851" s="43" t="n">
        <v>45521</v>
      </c>
      <c r="F851" s="24" t="n">
        <v>1</v>
      </c>
    </row>
    <row r="852" customFormat="false" ht="15.75" hidden="false" customHeight="false" outlineLevel="0" collapsed="false">
      <c r="A852" s="19" t="n">
        <v>850</v>
      </c>
      <c r="B852" s="19" t="s">
        <v>266</v>
      </c>
      <c r="C852" s="19" t="s">
        <v>412</v>
      </c>
      <c r="D852" s="22" t="str">
        <f aca="false">HYPERLINK("https://discordapp.com/channels/1040938900039929917/1274393342133796948","ссылка")</f>
        <v>ссылка</v>
      </c>
      <c r="E852" s="43" t="n">
        <v>45521</v>
      </c>
      <c r="F852" s="24" t="n">
        <v>-4</v>
      </c>
    </row>
    <row r="853" customFormat="false" ht="15.75" hidden="false" customHeight="false" outlineLevel="0" collapsed="false">
      <c r="A853" s="19" t="n">
        <v>851</v>
      </c>
      <c r="B853" s="19" t="s">
        <v>310</v>
      </c>
      <c r="C853" s="19" t="s">
        <v>266</v>
      </c>
      <c r="D853" s="22" t="str">
        <f aca="false">HYPERLINK("https://discordapp.com/channels/1040938900039929917/1274393342133796948","ссылка")</f>
        <v>ссылка</v>
      </c>
      <c r="E853" s="43" t="n">
        <v>45521</v>
      </c>
      <c r="F853" s="24" t="n">
        <v>1</v>
      </c>
    </row>
    <row r="854" customFormat="false" ht="15.75" hidden="false" customHeight="false" outlineLevel="0" collapsed="false">
      <c r="A854" s="19" t="n">
        <v>852</v>
      </c>
      <c r="B854" s="19" t="s">
        <v>450</v>
      </c>
      <c r="C854" s="19" t="s">
        <v>417</v>
      </c>
      <c r="D854" s="22" t="s">
        <v>1039</v>
      </c>
      <c r="E854" s="43" t="n">
        <v>45518</v>
      </c>
      <c r="F854" s="24" t="n">
        <v>0</v>
      </c>
      <c r="G854" s="24" t="s">
        <v>1038</v>
      </c>
    </row>
    <row r="855" customFormat="false" ht="15.75" hidden="false" customHeight="false" outlineLevel="0" collapsed="false">
      <c r="A855" s="19" t="n">
        <v>853</v>
      </c>
      <c r="B855" s="19" t="s">
        <v>249</v>
      </c>
      <c r="C855" s="19" t="s">
        <v>796</v>
      </c>
      <c r="D855" s="22" t="str">
        <f aca="false">HYPERLINK("https://discordapp.com/channels/1040938900039929917/1274689963979444304","ссылка")</f>
        <v>ссылка</v>
      </c>
      <c r="E855" s="43" t="n">
        <v>45522</v>
      </c>
      <c r="F855" s="24" t="n">
        <v>-7</v>
      </c>
    </row>
    <row r="856" customFormat="false" ht="15.75" hidden="false" customHeight="false" outlineLevel="0" collapsed="false">
      <c r="A856" s="19" t="n">
        <v>854</v>
      </c>
      <c r="B856" s="19" t="s">
        <v>249</v>
      </c>
      <c r="C856" s="19" t="s">
        <v>759</v>
      </c>
      <c r="D856" s="22" t="str">
        <f aca="false">HYPERLINK("https://discordapp.com/channels/1040938900039929917/1274689963979444304","ссылка")</f>
        <v>ссылка</v>
      </c>
      <c r="E856" s="43" t="n">
        <v>45522</v>
      </c>
      <c r="F856" s="24" t="n">
        <v>-5</v>
      </c>
    </row>
    <row r="857" customFormat="false" ht="15.75" hidden="false" customHeight="false" outlineLevel="0" collapsed="false">
      <c r="A857" s="19" t="n">
        <v>855</v>
      </c>
      <c r="B857" s="19" t="s">
        <v>310</v>
      </c>
      <c r="C857" s="19" t="s">
        <v>249</v>
      </c>
      <c r="D857" s="22" t="str">
        <f aca="false">HYPERLINK("https://discordapp.com/channels/1040938900039929917/1274689963979444304","ссылка")</f>
        <v>ссылка</v>
      </c>
      <c r="E857" s="43" t="n">
        <v>45522</v>
      </c>
      <c r="F857" s="24" t="n">
        <v>1</v>
      </c>
    </row>
    <row r="858" customFormat="false" ht="15.75" hidden="false" customHeight="false" outlineLevel="0" collapsed="false">
      <c r="A858" s="19" t="n">
        <v>856</v>
      </c>
      <c r="B858" s="19" t="s">
        <v>88</v>
      </c>
      <c r="C858" s="19" t="s">
        <v>838</v>
      </c>
      <c r="D858" s="24" t="s">
        <v>1003</v>
      </c>
      <c r="E858" s="43" t="n">
        <v>45526</v>
      </c>
      <c r="F858" s="24" t="n">
        <v>10</v>
      </c>
    </row>
    <row r="859" customFormat="false" ht="15.75" hidden="false" customHeight="false" outlineLevel="0" collapsed="false">
      <c r="A859" s="19" t="n">
        <v>857</v>
      </c>
      <c r="B859" s="19" t="s">
        <v>88</v>
      </c>
      <c r="C859" s="19" t="s">
        <v>841</v>
      </c>
      <c r="D859" s="24" t="s">
        <v>1003</v>
      </c>
      <c r="E859" s="43" t="n">
        <v>45526</v>
      </c>
      <c r="F859" s="24" t="n">
        <v>10</v>
      </c>
    </row>
    <row r="860" customFormat="false" ht="15.75" hidden="false" customHeight="false" outlineLevel="0" collapsed="false">
      <c r="A860" s="19" t="n">
        <v>858</v>
      </c>
      <c r="B860" s="19" t="s">
        <v>61</v>
      </c>
      <c r="C860" s="19" t="s">
        <v>351</v>
      </c>
      <c r="D860" s="22" t="s">
        <v>1039</v>
      </c>
      <c r="E860" s="43" t="n">
        <v>45524</v>
      </c>
      <c r="F860" s="24" t="n">
        <v>-20</v>
      </c>
    </row>
    <row r="861" customFormat="false" ht="15.75" hidden="false" customHeight="false" outlineLevel="0" collapsed="false">
      <c r="A861" s="19" t="n">
        <v>859</v>
      </c>
      <c r="B861" s="19" t="s">
        <v>450</v>
      </c>
      <c r="C861" s="19" t="s">
        <v>61</v>
      </c>
      <c r="D861" s="22" t="s">
        <v>1039</v>
      </c>
      <c r="E861" s="43" t="n">
        <v>45524</v>
      </c>
      <c r="F861" s="24" t="n">
        <v>1</v>
      </c>
    </row>
    <row r="862" customFormat="false" ht="15.75" hidden="false" customHeight="false" outlineLevel="0" collapsed="false">
      <c r="A862" s="19" t="n">
        <v>860</v>
      </c>
      <c r="B862" s="19" t="s">
        <v>88</v>
      </c>
      <c r="C862" s="19" t="s">
        <v>843</v>
      </c>
      <c r="D862" s="24" t="s">
        <v>1046</v>
      </c>
      <c r="E862" s="43" t="n">
        <v>45526</v>
      </c>
      <c r="F862" s="24" t="n">
        <v>-15</v>
      </c>
    </row>
    <row r="863" customFormat="false" ht="15.75" hidden="false" customHeight="false" outlineLevel="0" collapsed="false">
      <c r="A863" s="19" t="n">
        <v>861</v>
      </c>
      <c r="B863" s="19" t="s">
        <v>11</v>
      </c>
      <c r="C863" s="19" t="s">
        <v>845</v>
      </c>
      <c r="D863" s="24" t="s">
        <v>1003</v>
      </c>
      <c r="E863" s="43" t="n">
        <v>45526</v>
      </c>
      <c r="F863" s="24" t="n">
        <v>10</v>
      </c>
    </row>
    <row r="864" customFormat="false" ht="15.75" hidden="false" customHeight="false" outlineLevel="0" collapsed="false">
      <c r="A864" s="19" t="n">
        <v>862</v>
      </c>
      <c r="B864" s="19" t="s">
        <v>347</v>
      </c>
      <c r="C864" s="19" t="s">
        <v>492</v>
      </c>
      <c r="D864" s="22" t="str">
        <f aca="false">HYPERLINK("https://discordapp.com/channels/1040938900039929917/1275854991487406130","ссылка")</f>
        <v>ссылка</v>
      </c>
      <c r="E864" s="43" t="n">
        <v>45525</v>
      </c>
      <c r="F864" s="24" t="n">
        <v>-15</v>
      </c>
    </row>
    <row r="865" customFormat="false" ht="15.75" hidden="false" customHeight="false" outlineLevel="0" collapsed="false">
      <c r="A865" s="19" t="n">
        <v>863</v>
      </c>
      <c r="B865" s="19" t="s">
        <v>310</v>
      </c>
      <c r="C865" s="19" t="s">
        <v>347</v>
      </c>
      <c r="D865" s="22" t="str">
        <f aca="false">HYPERLINK("https://discordapp.com/channels/1040938900039929917/1275854991487406130","ссылка")</f>
        <v>ссылка</v>
      </c>
      <c r="E865" s="43" t="n">
        <v>45525</v>
      </c>
      <c r="F865" s="24" t="n">
        <v>1</v>
      </c>
    </row>
    <row r="866" customFormat="false" ht="15.75" hidden="false" customHeight="false" outlineLevel="0" collapsed="false">
      <c r="A866" s="19" t="n">
        <v>864</v>
      </c>
      <c r="B866" s="19" t="s">
        <v>122</v>
      </c>
      <c r="C866" s="19" t="s">
        <v>815</v>
      </c>
      <c r="D866" s="22" t="str">
        <f aca="false">HYPERLINK("https://discordapp.com/channels/1040938900039929917/1275182751569674361","ссылка")</f>
        <v>ссылка</v>
      </c>
      <c r="E866" s="43" t="n">
        <v>45523</v>
      </c>
      <c r="F866" s="24" t="n">
        <v>-10</v>
      </c>
    </row>
    <row r="867" customFormat="false" ht="15.75" hidden="false" customHeight="false" outlineLevel="0" collapsed="false">
      <c r="A867" s="19" t="n">
        <v>865</v>
      </c>
      <c r="B867" s="19" t="s">
        <v>310</v>
      </c>
      <c r="C867" s="19" t="s">
        <v>122</v>
      </c>
      <c r="D867" s="22" t="str">
        <f aca="false">HYPERLINK("https://discordapp.com/channels/1040938900039929917/1275182751569674361","ссылка")</f>
        <v>ссылка</v>
      </c>
      <c r="E867" s="43" t="n">
        <v>45523</v>
      </c>
      <c r="F867" s="24" t="n">
        <v>1</v>
      </c>
    </row>
    <row r="868" customFormat="false" ht="15.75" hidden="false" customHeight="false" outlineLevel="0" collapsed="false">
      <c r="A868" s="19" t="n">
        <v>866</v>
      </c>
      <c r="B868" s="19" t="s">
        <v>546</v>
      </c>
      <c r="C868" s="19" t="s">
        <v>657</v>
      </c>
      <c r="D868" s="22" t="s">
        <v>1039</v>
      </c>
      <c r="E868" s="43" t="n">
        <v>45523</v>
      </c>
      <c r="F868" s="24" t="n">
        <v>-5</v>
      </c>
    </row>
    <row r="869" customFormat="false" ht="15.75" hidden="false" customHeight="false" outlineLevel="0" collapsed="false">
      <c r="A869" s="19" t="n">
        <v>867</v>
      </c>
      <c r="B869" s="19" t="s">
        <v>450</v>
      </c>
      <c r="C869" s="19" t="s">
        <v>546</v>
      </c>
      <c r="D869" s="22" t="s">
        <v>1039</v>
      </c>
      <c r="E869" s="43" t="n">
        <v>45523</v>
      </c>
      <c r="F869" s="24" t="n">
        <v>1</v>
      </c>
    </row>
    <row r="870" customFormat="false" ht="15.75" hidden="false" customHeight="false" outlineLevel="0" collapsed="false">
      <c r="A870" s="19" t="n">
        <v>868</v>
      </c>
      <c r="B870" s="19" t="s">
        <v>676</v>
      </c>
      <c r="C870" s="19" t="s">
        <v>417</v>
      </c>
      <c r="D870" s="22" t="str">
        <f aca="false">HYPERLINK("https://discordapp.com/channels/1040938900039929917/1275533491605471243","ссылка")</f>
        <v>ссылка</v>
      </c>
      <c r="E870" s="43" t="n">
        <v>45524</v>
      </c>
      <c r="F870" s="24" t="n">
        <v>3</v>
      </c>
    </row>
    <row r="871" customFormat="false" ht="15.75" hidden="false" customHeight="false" outlineLevel="0" collapsed="false">
      <c r="A871" s="19" t="n">
        <v>869</v>
      </c>
      <c r="B871" s="19" t="s">
        <v>676</v>
      </c>
      <c r="C871" s="19" t="s">
        <v>737</v>
      </c>
      <c r="D871" s="22" t="str">
        <f aca="false">HYPERLINK("https://discordapp.com/channels/1040938900039929917/1275533491605471243","ссылка")</f>
        <v>ссылка</v>
      </c>
      <c r="E871" s="43" t="n">
        <v>45524</v>
      </c>
      <c r="F871" s="24" t="n">
        <v>2</v>
      </c>
    </row>
    <row r="872" customFormat="false" ht="15.75" hidden="false" customHeight="false" outlineLevel="0" collapsed="false">
      <c r="A872" s="19" t="n">
        <v>870</v>
      </c>
      <c r="B872" s="19" t="s">
        <v>676</v>
      </c>
      <c r="C872" s="19" t="s">
        <v>61</v>
      </c>
      <c r="D872" s="22" t="str">
        <f aca="false">HYPERLINK("https://discordapp.com/channels/1040938900039929917/1275533491605471243","ссылка")</f>
        <v>ссылка</v>
      </c>
      <c r="E872" s="43" t="n">
        <v>45524</v>
      </c>
      <c r="F872" s="24" t="n">
        <v>1</v>
      </c>
    </row>
    <row r="873" customFormat="false" ht="15.75" hidden="false" customHeight="false" outlineLevel="0" collapsed="false">
      <c r="A873" s="19" t="n">
        <v>871</v>
      </c>
      <c r="B873" s="19" t="s">
        <v>310</v>
      </c>
      <c r="C873" s="19" t="s">
        <v>676</v>
      </c>
      <c r="D873" s="22" t="str">
        <f aca="false">HYPERLINK("https://discordapp.com/channels/1040938900039929917/1275533491605471243","ссылка")</f>
        <v>ссылка</v>
      </c>
      <c r="E873" s="43" t="n">
        <v>45524</v>
      </c>
      <c r="F873" s="24" t="n">
        <v>1</v>
      </c>
    </row>
    <row r="874" customFormat="false" ht="15.75" hidden="false" customHeight="false" outlineLevel="0" collapsed="false">
      <c r="A874" s="19" t="n">
        <v>872</v>
      </c>
      <c r="B874" s="19" t="s">
        <v>310</v>
      </c>
      <c r="C874" s="19" t="s">
        <v>321</v>
      </c>
      <c r="D874" s="22" t="str">
        <f aca="false">HYPERLINK("https://discordapp.com/channels/1040938900039929917/1276253413780492348","ссылка")</f>
        <v>ссылка</v>
      </c>
      <c r="E874" s="43" t="n">
        <v>45527</v>
      </c>
      <c r="F874" s="24" t="n">
        <v>-8</v>
      </c>
      <c r="G874" s="19" t="s">
        <v>1047</v>
      </c>
    </row>
    <row r="875" customFormat="false" ht="15.75" hidden="false" customHeight="false" outlineLevel="0" collapsed="false">
      <c r="A875" s="19" t="n">
        <v>873</v>
      </c>
      <c r="B875" s="19" t="s">
        <v>450</v>
      </c>
      <c r="C875" s="19" t="s">
        <v>1020</v>
      </c>
      <c r="D875" s="22" t="s">
        <v>1039</v>
      </c>
      <c r="E875" s="43" t="n">
        <v>45525</v>
      </c>
      <c r="F875" s="24" t="n">
        <v>1</v>
      </c>
    </row>
    <row r="876" customFormat="false" ht="15.75" hidden="false" customHeight="false" outlineLevel="0" collapsed="false">
      <c r="A876" s="19" t="n">
        <v>874</v>
      </c>
      <c r="B876" s="19" t="s">
        <v>326</v>
      </c>
      <c r="C876" s="19" t="s">
        <v>122</v>
      </c>
      <c r="D876" s="22" t="s">
        <v>1039</v>
      </c>
      <c r="E876" s="43" t="n">
        <v>45526</v>
      </c>
      <c r="F876" s="24" t="n">
        <v>-5</v>
      </c>
    </row>
    <row r="877" customFormat="false" ht="15.75" hidden="false" customHeight="false" outlineLevel="0" collapsed="false">
      <c r="A877" s="19" t="n">
        <v>875</v>
      </c>
      <c r="B877" s="19" t="s">
        <v>450</v>
      </c>
      <c r="C877" s="19" t="s">
        <v>326</v>
      </c>
      <c r="D877" s="22" t="s">
        <v>1039</v>
      </c>
      <c r="E877" s="43" t="n">
        <v>45526</v>
      </c>
      <c r="F877" s="24" t="n">
        <v>1</v>
      </c>
    </row>
    <row r="878" customFormat="false" ht="15.75" hidden="false" customHeight="false" outlineLevel="0" collapsed="false">
      <c r="A878" s="19" t="n">
        <v>876</v>
      </c>
      <c r="B878" s="19" t="s">
        <v>321</v>
      </c>
      <c r="C878" s="19" t="s">
        <v>836</v>
      </c>
      <c r="D878" s="22" t="str">
        <f aca="false">HYPERLINK("https://discordapp.com/channels/1040938900039929917/1275910754859487306","ссылка")</f>
        <v>ссылка</v>
      </c>
      <c r="E878" s="43" t="n">
        <v>45525</v>
      </c>
      <c r="F878" s="24" t="n">
        <v>-5</v>
      </c>
    </row>
    <row r="879" customFormat="false" ht="15.75" hidden="false" customHeight="false" outlineLevel="0" collapsed="false">
      <c r="A879" s="19" t="n">
        <v>877</v>
      </c>
      <c r="B879" s="19" t="s">
        <v>310</v>
      </c>
      <c r="C879" s="19" t="s">
        <v>321</v>
      </c>
      <c r="D879" s="22" t="str">
        <f aca="false">HYPERLINK("https://discordapp.com/channels/1040938900039929917/1275910754859487306","ссылка")</f>
        <v>ссылка</v>
      </c>
      <c r="E879" s="43" t="n">
        <v>45525</v>
      </c>
      <c r="F879" s="24" t="n">
        <v>1</v>
      </c>
    </row>
    <row r="880" customFormat="false" ht="15.75" hidden="false" customHeight="false" outlineLevel="0" collapsed="false">
      <c r="A880" s="19" t="n">
        <v>878</v>
      </c>
      <c r="B880" s="19" t="s">
        <v>321</v>
      </c>
      <c r="C880" s="19" t="s">
        <v>490</v>
      </c>
      <c r="D880" s="22" t="str">
        <f aca="false">HYPERLINK("https://discordapp.com/channels/1040938900039929917/1276229650951180318","ссылка")</f>
        <v>ссылка</v>
      </c>
      <c r="E880" s="43" t="n">
        <v>45525</v>
      </c>
      <c r="F880" s="24" t="n">
        <v>-4</v>
      </c>
    </row>
    <row r="881" customFormat="false" ht="15.75" hidden="false" customHeight="false" outlineLevel="0" collapsed="false">
      <c r="A881" s="19" t="n">
        <v>879</v>
      </c>
      <c r="B881" s="19" t="s">
        <v>310</v>
      </c>
      <c r="C881" s="19" t="s">
        <v>321</v>
      </c>
      <c r="D881" s="22" t="str">
        <f aca="false">HYPERLINK("https://discordapp.com/channels/1040938900039929917/1276229650951180318","ссылка")</f>
        <v>ссылка</v>
      </c>
      <c r="E881" s="43" t="n">
        <v>45525</v>
      </c>
      <c r="F881" s="24" t="n">
        <v>1</v>
      </c>
    </row>
    <row r="882" customFormat="false" ht="15.75" hidden="false" customHeight="false" outlineLevel="0" collapsed="false">
      <c r="A882" s="19" t="n">
        <v>880</v>
      </c>
      <c r="B882" s="19" t="s">
        <v>778</v>
      </c>
      <c r="C882" s="19" t="s">
        <v>826</v>
      </c>
      <c r="D882" s="22" t="s">
        <v>1039</v>
      </c>
      <c r="E882" s="43" t="n">
        <v>45526</v>
      </c>
      <c r="F882" s="24" t="n">
        <v>10</v>
      </c>
    </row>
    <row r="883" customFormat="false" ht="15.75" hidden="false" customHeight="false" outlineLevel="0" collapsed="false">
      <c r="A883" s="19" t="n">
        <v>881</v>
      </c>
      <c r="B883" s="19" t="s">
        <v>778</v>
      </c>
      <c r="C883" s="19" t="s">
        <v>495</v>
      </c>
      <c r="D883" s="22" t="s">
        <v>1039</v>
      </c>
      <c r="E883" s="43" t="n">
        <v>45526</v>
      </c>
      <c r="F883" s="24" t="n">
        <v>0</v>
      </c>
      <c r="G883" s="24" t="s">
        <v>1038</v>
      </c>
    </row>
    <row r="884" customFormat="false" ht="15.75" hidden="false" customHeight="false" outlineLevel="0" collapsed="false">
      <c r="A884" s="19" t="n">
        <v>882</v>
      </c>
      <c r="B884" s="19" t="s">
        <v>778</v>
      </c>
      <c r="C884" s="19" t="s">
        <v>698</v>
      </c>
      <c r="D884" s="22" t="s">
        <v>1039</v>
      </c>
      <c r="E884" s="43" t="n">
        <v>45526</v>
      </c>
      <c r="F884" s="24" t="n">
        <v>10</v>
      </c>
    </row>
    <row r="885" customFormat="false" ht="15.75" hidden="false" customHeight="false" outlineLevel="0" collapsed="false">
      <c r="A885" s="19" t="n">
        <v>883</v>
      </c>
      <c r="B885" s="19" t="s">
        <v>778</v>
      </c>
      <c r="C885" s="19" t="s">
        <v>796</v>
      </c>
      <c r="D885" s="22" t="s">
        <v>1039</v>
      </c>
      <c r="E885" s="43" t="n">
        <v>45526</v>
      </c>
      <c r="F885" s="24" t="n">
        <v>10</v>
      </c>
    </row>
    <row r="886" customFormat="false" ht="15.75" hidden="false" customHeight="false" outlineLevel="0" collapsed="false">
      <c r="A886" s="19" t="n">
        <v>884</v>
      </c>
      <c r="B886" s="19" t="s">
        <v>450</v>
      </c>
      <c r="C886" s="19" t="s">
        <v>778</v>
      </c>
      <c r="D886" s="22" t="s">
        <v>1039</v>
      </c>
      <c r="E886" s="43" t="n">
        <v>45526</v>
      </c>
      <c r="F886" s="24" t="n">
        <v>1</v>
      </c>
    </row>
    <row r="887" customFormat="false" ht="15.75" hidden="false" customHeight="false" outlineLevel="0" collapsed="false">
      <c r="A887" s="19" t="n">
        <v>885</v>
      </c>
      <c r="B887" s="19" t="s">
        <v>450</v>
      </c>
      <c r="C887" s="19" t="s">
        <v>417</v>
      </c>
      <c r="D887" s="22" t="s">
        <v>1039</v>
      </c>
      <c r="E887" s="43" t="n">
        <v>45522</v>
      </c>
      <c r="F887" s="24" t="n">
        <v>0</v>
      </c>
      <c r="G887" s="24" t="s">
        <v>1038</v>
      </c>
    </row>
    <row r="888" customFormat="false" ht="15.75" hidden="false" customHeight="false" outlineLevel="0" collapsed="false">
      <c r="A888" s="19" t="n">
        <v>886</v>
      </c>
      <c r="B888" s="19" t="s">
        <v>450</v>
      </c>
      <c r="C888" s="19" t="s">
        <v>417</v>
      </c>
      <c r="D888" s="31" t="s">
        <v>1042</v>
      </c>
      <c r="E888" s="43" t="n">
        <v>45522</v>
      </c>
      <c r="F888" s="24" t="n">
        <v>-3</v>
      </c>
    </row>
    <row r="889" customFormat="false" ht="15.75" hidden="false" customHeight="false" outlineLevel="0" collapsed="false">
      <c r="A889" s="19" t="n">
        <v>887</v>
      </c>
      <c r="B889" s="19" t="s">
        <v>450</v>
      </c>
      <c r="C889" s="19" t="s">
        <v>687</v>
      </c>
      <c r="D889" s="22" t="s">
        <v>1039</v>
      </c>
      <c r="E889" s="43" t="n">
        <v>45524</v>
      </c>
      <c r="F889" s="24" t="n">
        <v>1</v>
      </c>
    </row>
    <row r="890" customFormat="false" ht="15.75" hidden="false" customHeight="false" outlineLevel="0" collapsed="false">
      <c r="A890" s="19" t="n">
        <v>888</v>
      </c>
      <c r="B890" s="19" t="s">
        <v>450</v>
      </c>
      <c r="C890" s="19" t="s">
        <v>116</v>
      </c>
      <c r="D890" s="22" t="s">
        <v>1039</v>
      </c>
      <c r="E890" s="43" t="n">
        <v>45527</v>
      </c>
      <c r="F890" s="24" t="n">
        <v>-10</v>
      </c>
    </row>
    <row r="891" customFormat="false" ht="15.75" hidden="false" customHeight="false" outlineLevel="0" collapsed="false">
      <c r="A891" s="19" t="n">
        <v>889</v>
      </c>
      <c r="B891" s="19" t="s">
        <v>538</v>
      </c>
      <c r="C891" s="19" t="s">
        <v>643</v>
      </c>
      <c r="D891" s="22" t="str">
        <f aca="false">HYPERLINK("https://discord.com/channels/1040938900039929917/1275785081696555063","ссылка")</f>
        <v>ссылка</v>
      </c>
      <c r="E891" s="43" t="n">
        <v>45525</v>
      </c>
      <c r="F891" s="24" t="n">
        <v>-12</v>
      </c>
      <c r="G891" s="72" t="s">
        <v>1048</v>
      </c>
    </row>
    <row r="892" customFormat="false" ht="15.75" hidden="false" customHeight="false" outlineLevel="0" collapsed="false">
      <c r="A892" s="19" t="n">
        <v>890</v>
      </c>
      <c r="B892" s="19" t="s">
        <v>310</v>
      </c>
      <c r="C892" s="19" t="s">
        <v>538</v>
      </c>
      <c r="D892" s="22" t="str">
        <f aca="false">HYPERLINK("https://discord.com/channels/1040938900039929917/1275785081696555063","ссылка")</f>
        <v>ссылка</v>
      </c>
      <c r="E892" s="43" t="n">
        <v>45525</v>
      </c>
      <c r="F892" s="24" t="n">
        <v>1</v>
      </c>
    </row>
    <row r="893" customFormat="false" ht="15.75" hidden="false" customHeight="false" outlineLevel="0" collapsed="false">
      <c r="A893" s="19" t="n">
        <v>891</v>
      </c>
      <c r="B893" s="19" t="s">
        <v>30</v>
      </c>
      <c r="C893" s="19" t="s">
        <v>836</v>
      </c>
      <c r="D893" s="22" t="str">
        <f aca="false">HYPERLINK("https://discord.com/channels/1040938900039929917/1277295555323629568","ссылка")</f>
        <v>ссылка</v>
      </c>
      <c r="E893" s="43" t="n">
        <v>45529</v>
      </c>
      <c r="F893" s="24" t="n">
        <v>-2</v>
      </c>
    </row>
    <row r="894" customFormat="false" ht="15.75" hidden="false" customHeight="false" outlineLevel="0" collapsed="false">
      <c r="A894" s="19" t="n">
        <v>892</v>
      </c>
      <c r="B894" s="19" t="s">
        <v>139</v>
      </c>
      <c r="C894" s="19" t="s">
        <v>624</v>
      </c>
      <c r="D894" s="22" t="s">
        <v>1039</v>
      </c>
      <c r="E894" s="43" t="n">
        <v>45529</v>
      </c>
      <c r="F894" s="24" t="n">
        <v>-15</v>
      </c>
    </row>
    <row r="895" customFormat="false" ht="15.75" hidden="false" customHeight="false" outlineLevel="0" collapsed="false">
      <c r="A895" s="19" t="n">
        <v>893</v>
      </c>
      <c r="B895" s="19" t="s">
        <v>450</v>
      </c>
      <c r="C895" s="19" t="s">
        <v>139</v>
      </c>
      <c r="D895" s="22" t="s">
        <v>1039</v>
      </c>
      <c r="E895" s="43" t="n">
        <v>45529</v>
      </c>
      <c r="F895" s="24" t="n">
        <v>1</v>
      </c>
    </row>
    <row r="896" customFormat="false" ht="15.75" hidden="false" customHeight="false" outlineLevel="0" collapsed="false">
      <c r="A896" s="19" t="n">
        <v>894</v>
      </c>
      <c r="B896" s="19" t="s">
        <v>1020</v>
      </c>
      <c r="C896" s="19" t="s">
        <v>696</v>
      </c>
      <c r="D896" s="22" t="s">
        <v>1039</v>
      </c>
      <c r="E896" s="43" t="n">
        <v>45529</v>
      </c>
      <c r="F896" s="24" t="n">
        <v>-15</v>
      </c>
    </row>
    <row r="897" customFormat="false" ht="15.75" hidden="false" customHeight="false" outlineLevel="0" collapsed="false">
      <c r="A897" s="19" t="n">
        <v>895</v>
      </c>
      <c r="B897" s="19" t="s">
        <v>450</v>
      </c>
      <c r="C897" s="19" t="s">
        <v>1020</v>
      </c>
      <c r="D897" s="22" t="s">
        <v>1039</v>
      </c>
      <c r="E897" s="43" t="n">
        <v>45529</v>
      </c>
      <c r="F897" s="24" t="n">
        <v>1</v>
      </c>
    </row>
    <row r="898" customFormat="false" ht="15.75" hidden="false" customHeight="false" outlineLevel="0" collapsed="false">
      <c r="A898" s="19" t="n">
        <v>896</v>
      </c>
      <c r="B898" s="19" t="s">
        <v>11</v>
      </c>
      <c r="C898" s="19" t="s">
        <v>849</v>
      </c>
      <c r="D898" s="24" t="s">
        <v>1049</v>
      </c>
      <c r="E898" s="43" t="n">
        <v>45533</v>
      </c>
      <c r="F898" s="24" t="n">
        <v>-15</v>
      </c>
    </row>
    <row r="899" customFormat="false" ht="15.75" hidden="false" customHeight="false" outlineLevel="0" collapsed="false">
      <c r="A899" s="19" t="n">
        <v>897</v>
      </c>
      <c r="B899" s="19" t="s">
        <v>310</v>
      </c>
      <c r="C899" s="19" t="s">
        <v>430</v>
      </c>
      <c r="D899" s="22" t="s">
        <v>1039</v>
      </c>
      <c r="E899" s="43" t="n">
        <v>45530</v>
      </c>
      <c r="F899" s="24" t="n">
        <v>7</v>
      </c>
    </row>
    <row r="900" customFormat="false" ht="15.75" hidden="false" customHeight="false" outlineLevel="0" collapsed="false">
      <c r="A900" s="19" t="n">
        <v>898</v>
      </c>
      <c r="B900" s="19" t="s">
        <v>310</v>
      </c>
      <c r="C900" s="19" t="s">
        <v>1020</v>
      </c>
      <c r="D900" s="22" t="s">
        <v>1039</v>
      </c>
      <c r="E900" s="43" t="n">
        <v>45530</v>
      </c>
      <c r="F900" s="24" t="n">
        <v>5</v>
      </c>
    </row>
    <row r="901" customFormat="false" ht="15.75" hidden="false" customHeight="false" outlineLevel="0" collapsed="false">
      <c r="A901" s="19" t="n">
        <v>899</v>
      </c>
      <c r="B901" s="19" t="s">
        <v>310</v>
      </c>
      <c r="C901" s="19" t="s">
        <v>434</v>
      </c>
      <c r="D901" s="22" t="s">
        <v>1039</v>
      </c>
      <c r="E901" s="43" t="n">
        <v>45530</v>
      </c>
      <c r="F901" s="24" t="n">
        <v>2</v>
      </c>
    </row>
    <row r="902" customFormat="false" ht="15.75" hidden="false" customHeight="false" outlineLevel="0" collapsed="false">
      <c r="A902" s="19" t="n">
        <v>900</v>
      </c>
      <c r="B902" s="19" t="s">
        <v>450</v>
      </c>
      <c r="C902" s="19" t="s">
        <v>310</v>
      </c>
      <c r="D902" s="22" t="s">
        <v>1039</v>
      </c>
      <c r="E902" s="43" t="n">
        <v>45530</v>
      </c>
      <c r="F902" s="24" t="n">
        <v>1</v>
      </c>
    </row>
    <row r="903" customFormat="false" ht="15.75" hidden="false" customHeight="false" outlineLevel="0" collapsed="false">
      <c r="A903" s="19" t="n">
        <v>901</v>
      </c>
      <c r="B903" s="19" t="s">
        <v>228</v>
      </c>
      <c r="C903" s="19" t="s">
        <v>676</v>
      </c>
      <c r="D903" s="22" t="str">
        <f aca="false">HYPERLINK("https://discord.com/channels/1040938900039929917/1278024104292909189","ссылка")</f>
        <v>ссылка</v>
      </c>
      <c r="E903" s="43" t="n">
        <v>45531</v>
      </c>
      <c r="F903" s="24" t="n">
        <v>-10</v>
      </c>
    </row>
    <row r="904" customFormat="false" ht="15.75" hidden="false" customHeight="false" outlineLevel="0" collapsed="false">
      <c r="A904" s="19" t="n">
        <v>902</v>
      </c>
      <c r="B904" s="19" t="s">
        <v>310</v>
      </c>
      <c r="C904" s="19" t="s">
        <v>431</v>
      </c>
      <c r="D904" s="22" t="s">
        <v>1039</v>
      </c>
      <c r="E904" s="43" t="n">
        <v>45532</v>
      </c>
      <c r="F904" s="24" t="n">
        <v>0</v>
      </c>
      <c r="G904" s="24" t="s">
        <v>1038</v>
      </c>
    </row>
    <row r="905" customFormat="false" ht="15.75" hidden="false" customHeight="false" outlineLevel="0" collapsed="false">
      <c r="A905" s="19" t="n">
        <v>903</v>
      </c>
      <c r="B905" s="19" t="s">
        <v>450</v>
      </c>
      <c r="C905" s="19" t="s">
        <v>310</v>
      </c>
      <c r="D905" s="22" t="s">
        <v>1039</v>
      </c>
      <c r="E905" s="43" t="n">
        <v>45532</v>
      </c>
      <c r="F905" s="24" t="n">
        <v>1</v>
      </c>
    </row>
    <row r="906" customFormat="false" ht="15.75" hidden="false" customHeight="false" outlineLevel="0" collapsed="false">
      <c r="A906" s="19" t="n">
        <v>904</v>
      </c>
      <c r="B906" s="19" t="s">
        <v>745</v>
      </c>
      <c r="C906" s="19" t="s">
        <v>767</v>
      </c>
      <c r="D906" s="22" t="str">
        <f aca="false">HYPERLINK("https://discord.com/channels/1040938900039929917/1278466120579547270","ссылка")</f>
        <v>ссылка</v>
      </c>
      <c r="E906" s="43" t="n">
        <v>45533</v>
      </c>
      <c r="F906" s="24" t="n">
        <v>-13</v>
      </c>
    </row>
    <row r="907" customFormat="false" ht="15.75" hidden="false" customHeight="false" outlineLevel="0" collapsed="false">
      <c r="A907" s="19" t="n">
        <v>905</v>
      </c>
      <c r="B907" s="19" t="s">
        <v>310</v>
      </c>
      <c r="C907" s="19" t="s">
        <v>745</v>
      </c>
      <c r="D907" s="22" t="str">
        <f aca="false">HYPERLINK("https://discord.com/channels/1040938900039929917/1278466120579547270","ссылка")</f>
        <v>ссылка</v>
      </c>
      <c r="E907" s="43" t="n">
        <v>45533</v>
      </c>
      <c r="F907" s="24" t="n">
        <v>1</v>
      </c>
    </row>
    <row r="908" customFormat="false" ht="15.75" hidden="false" customHeight="false" outlineLevel="0" collapsed="false">
      <c r="A908" s="19" t="n">
        <v>906</v>
      </c>
      <c r="B908" s="19" t="s">
        <v>1020</v>
      </c>
      <c r="C908" s="19" t="s">
        <v>359</v>
      </c>
      <c r="D908" s="22" t="str">
        <f aca="false">HYPERLINK("https://discord.com/channels/1040938900039929917/1279718732163321959","ссылка")</f>
        <v>ссылка</v>
      </c>
      <c r="E908" s="43" t="n">
        <v>45536</v>
      </c>
      <c r="F908" s="24" t="n">
        <v>-30</v>
      </c>
      <c r="G908" s="19" t="s">
        <v>1047</v>
      </c>
    </row>
    <row r="909" customFormat="false" ht="15.75" hidden="false" customHeight="false" outlineLevel="0" collapsed="false">
      <c r="A909" s="19" t="n">
        <v>907</v>
      </c>
      <c r="B909" s="19" t="s">
        <v>431</v>
      </c>
      <c r="C909" s="19" t="s">
        <v>488</v>
      </c>
      <c r="D909" s="22" t="s">
        <v>1039</v>
      </c>
      <c r="E909" s="43" t="n">
        <v>45533</v>
      </c>
      <c r="F909" s="24" t="n">
        <v>-3</v>
      </c>
    </row>
    <row r="910" customFormat="false" ht="15.75" hidden="false" customHeight="false" outlineLevel="0" collapsed="false">
      <c r="A910" s="19" t="n">
        <v>908</v>
      </c>
      <c r="B910" s="19" t="s">
        <v>450</v>
      </c>
      <c r="C910" s="19" t="s">
        <v>431</v>
      </c>
      <c r="D910" s="22" t="s">
        <v>1039</v>
      </c>
      <c r="E910" s="43" t="n">
        <v>45533</v>
      </c>
      <c r="F910" s="24" t="n">
        <v>1</v>
      </c>
    </row>
    <row r="911" customFormat="false" ht="15.75" hidden="false" customHeight="false" outlineLevel="0" collapsed="false">
      <c r="A911" s="19" t="n">
        <v>909</v>
      </c>
      <c r="B911" s="19" t="s">
        <v>310</v>
      </c>
      <c r="C911" s="19" t="s">
        <v>11</v>
      </c>
      <c r="D911" s="22" t="s">
        <v>1039</v>
      </c>
      <c r="E911" s="43" t="n">
        <v>45534</v>
      </c>
      <c r="F911" s="24" t="n">
        <v>20</v>
      </c>
    </row>
    <row r="912" customFormat="false" ht="15.75" hidden="false" customHeight="false" outlineLevel="0" collapsed="false">
      <c r="A912" s="19" t="n">
        <v>910</v>
      </c>
      <c r="B912" s="19" t="s">
        <v>450</v>
      </c>
      <c r="C912" s="19" t="s">
        <v>310</v>
      </c>
      <c r="D912" s="22" t="s">
        <v>1039</v>
      </c>
      <c r="E912" s="43" t="n">
        <v>45534</v>
      </c>
      <c r="F912" s="24" t="n">
        <v>1</v>
      </c>
    </row>
    <row r="913" customFormat="false" ht="15.75" hidden="false" customHeight="false" outlineLevel="0" collapsed="false">
      <c r="A913" s="19" t="n">
        <v>911</v>
      </c>
      <c r="B913" s="19" t="s">
        <v>577</v>
      </c>
      <c r="C913" s="19" t="s">
        <v>389</v>
      </c>
      <c r="D913" s="22" t="s">
        <v>1039</v>
      </c>
      <c r="E913" s="43" t="n">
        <v>45535</v>
      </c>
      <c r="F913" s="24" t="n">
        <v>5</v>
      </c>
    </row>
    <row r="914" customFormat="false" ht="15.75" hidden="false" customHeight="false" outlineLevel="0" collapsed="false">
      <c r="A914" s="19" t="n">
        <v>912</v>
      </c>
      <c r="B914" s="19" t="s">
        <v>577</v>
      </c>
      <c r="C914" s="19" t="s">
        <v>139</v>
      </c>
      <c r="D914" s="22" t="s">
        <v>1039</v>
      </c>
      <c r="E914" s="43" t="n">
        <v>45535</v>
      </c>
      <c r="F914" s="24" t="n">
        <v>3</v>
      </c>
    </row>
    <row r="915" customFormat="false" ht="15.75" hidden="false" customHeight="false" outlineLevel="0" collapsed="false">
      <c r="A915" s="19" t="n">
        <v>913</v>
      </c>
      <c r="B915" s="19" t="s">
        <v>577</v>
      </c>
      <c r="C915" s="57" t="s">
        <v>524</v>
      </c>
      <c r="D915" s="22" t="s">
        <v>1039</v>
      </c>
      <c r="E915" s="43" t="n">
        <v>45535</v>
      </c>
      <c r="F915" s="24" t="n">
        <v>3</v>
      </c>
    </row>
    <row r="916" customFormat="false" ht="15.75" hidden="false" customHeight="false" outlineLevel="0" collapsed="false">
      <c r="A916" s="19" t="n">
        <v>914</v>
      </c>
      <c r="B916" s="19" t="s">
        <v>450</v>
      </c>
      <c r="C916" s="19" t="s">
        <v>577</v>
      </c>
      <c r="D916" s="22" t="s">
        <v>1039</v>
      </c>
      <c r="E916" s="43" t="n">
        <v>45535</v>
      </c>
      <c r="F916" s="24" t="n">
        <v>1</v>
      </c>
    </row>
    <row r="917" customFormat="false" ht="15.75" hidden="false" customHeight="false" outlineLevel="0" collapsed="false">
      <c r="A917" s="19" t="n">
        <v>915</v>
      </c>
      <c r="B917" s="19" t="s">
        <v>310</v>
      </c>
      <c r="C917" s="19" t="s">
        <v>1020</v>
      </c>
      <c r="D917" s="22" t="str">
        <f aca="false">HYPERLINK("https://discord.com/channels/1040938900039929917/1279718732163321959","ссылка")</f>
        <v>ссылка</v>
      </c>
      <c r="E917" s="43" t="n">
        <v>45536</v>
      </c>
      <c r="F917" s="24" t="n">
        <v>1</v>
      </c>
    </row>
    <row r="918" customFormat="false" ht="15.75" hidden="false" customHeight="false" outlineLevel="0" collapsed="false">
      <c r="A918" s="19" t="n">
        <v>916</v>
      </c>
      <c r="B918" s="19" t="s">
        <v>823</v>
      </c>
      <c r="C918" s="19" t="s">
        <v>759</v>
      </c>
      <c r="D918" s="22" t="s">
        <v>1039</v>
      </c>
      <c r="E918" s="43" t="n">
        <v>45536</v>
      </c>
      <c r="F918" s="24" t="n">
        <v>-5</v>
      </c>
    </row>
    <row r="919" customFormat="false" ht="15.75" hidden="false" customHeight="false" outlineLevel="0" collapsed="false">
      <c r="A919" s="19" t="n">
        <v>917</v>
      </c>
      <c r="B919" s="19" t="s">
        <v>310</v>
      </c>
      <c r="C919" s="19" t="s">
        <v>834</v>
      </c>
      <c r="D919" s="22" t="s">
        <v>1039</v>
      </c>
      <c r="E919" s="43" t="n">
        <v>45537</v>
      </c>
      <c r="F919" s="24" t="n">
        <v>1</v>
      </c>
    </row>
    <row r="920" customFormat="false" ht="15.75" hidden="false" customHeight="false" outlineLevel="0" collapsed="false">
      <c r="A920" s="19" t="n">
        <v>918</v>
      </c>
      <c r="B920" s="19" t="s">
        <v>236</v>
      </c>
      <c r="C920" s="19" t="s">
        <v>189</v>
      </c>
      <c r="D920" s="22" t="s">
        <v>1039</v>
      </c>
      <c r="E920" s="43" t="n">
        <v>45539</v>
      </c>
      <c r="F920" s="24" t="n">
        <v>5</v>
      </c>
    </row>
    <row r="921" customFormat="false" ht="15.75" hidden="false" customHeight="false" outlineLevel="0" collapsed="false">
      <c r="A921" s="19" t="n">
        <v>919</v>
      </c>
      <c r="B921" s="19" t="s">
        <v>450</v>
      </c>
      <c r="C921" s="19" t="s">
        <v>236</v>
      </c>
      <c r="D921" s="22" t="s">
        <v>1039</v>
      </c>
      <c r="E921" s="43" t="n">
        <v>45539</v>
      </c>
      <c r="F921" s="24" t="n">
        <v>1</v>
      </c>
    </row>
    <row r="922" customFormat="false" ht="15.75" hidden="false" customHeight="false" outlineLevel="0" collapsed="false">
      <c r="A922" s="19" t="n">
        <v>920</v>
      </c>
      <c r="B922" s="19" t="s">
        <v>189</v>
      </c>
      <c r="C922" s="19" t="s">
        <v>236</v>
      </c>
      <c r="D922" s="22" t="s">
        <v>1039</v>
      </c>
      <c r="E922" s="43" t="n">
        <v>45539</v>
      </c>
      <c r="F922" s="24" t="n">
        <v>5</v>
      </c>
    </row>
    <row r="923" customFormat="false" ht="15.75" hidden="false" customHeight="false" outlineLevel="0" collapsed="false">
      <c r="A923" s="19" t="n">
        <v>921</v>
      </c>
      <c r="B923" s="19" t="s">
        <v>450</v>
      </c>
      <c r="C923" s="19" t="s">
        <v>189</v>
      </c>
      <c r="D923" s="22" t="s">
        <v>1039</v>
      </c>
      <c r="E923" s="43" t="n">
        <v>45539</v>
      </c>
      <c r="F923" s="24" t="n">
        <v>1</v>
      </c>
    </row>
    <row r="924" customFormat="false" ht="15.75" hidden="false" customHeight="false" outlineLevel="0" collapsed="false">
      <c r="A924" s="19" t="n">
        <v>922</v>
      </c>
      <c r="B924" s="19" t="s">
        <v>564</v>
      </c>
      <c r="C924" s="19" t="s">
        <v>109</v>
      </c>
      <c r="D924" s="22" t="s">
        <v>1039</v>
      </c>
      <c r="E924" s="43" t="n">
        <v>45537</v>
      </c>
      <c r="F924" s="24" t="n">
        <v>-5</v>
      </c>
    </row>
    <row r="925" customFormat="false" ht="15.75" hidden="false" customHeight="false" outlineLevel="0" collapsed="false">
      <c r="A925" s="19" t="n">
        <v>923</v>
      </c>
      <c r="B925" s="19" t="s">
        <v>450</v>
      </c>
      <c r="C925" s="19" t="s">
        <v>564</v>
      </c>
      <c r="D925" s="22" t="s">
        <v>1039</v>
      </c>
      <c r="E925" s="43" t="n">
        <v>45537</v>
      </c>
      <c r="F925" s="24" t="n">
        <v>1</v>
      </c>
    </row>
    <row r="926" customFormat="false" ht="15.75" hidden="false" customHeight="false" outlineLevel="0" collapsed="false">
      <c r="A926" s="19" t="n">
        <v>924</v>
      </c>
      <c r="B926" s="19" t="s">
        <v>88</v>
      </c>
      <c r="C926" s="19" t="s">
        <v>823</v>
      </c>
      <c r="D926" s="24" t="s">
        <v>1003</v>
      </c>
      <c r="E926" s="43" t="n">
        <v>45543</v>
      </c>
      <c r="F926" s="24" t="n">
        <v>10</v>
      </c>
    </row>
    <row r="927" customFormat="false" ht="15.75" hidden="false" customHeight="false" outlineLevel="0" collapsed="false">
      <c r="A927" s="19" t="n">
        <v>925</v>
      </c>
      <c r="B927" s="19" t="s">
        <v>88</v>
      </c>
      <c r="C927" s="19" t="s">
        <v>866</v>
      </c>
      <c r="D927" s="24" t="s">
        <v>1050</v>
      </c>
      <c r="E927" s="43" t="n">
        <v>45544</v>
      </c>
      <c r="F927" s="24" t="n">
        <v>-15</v>
      </c>
    </row>
    <row r="928" customFormat="false" ht="15.75" hidden="false" customHeight="false" outlineLevel="0" collapsed="false">
      <c r="A928" s="19" t="n">
        <v>926</v>
      </c>
      <c r="B928" s="19" t="s">
        <v>266</v>
      </c>
      <c r="C928" s="19" t="s">
        <v>98</v>
      </c>
      <c r="D928" s="22" t="s">
        <v>1039</v>
      </c>
      <c r="E928" s="43" t="n">
        <v>45541</v>
      </c>
      <c r="F928" s="24" t="n">
        <v>-15</v>
      </c>
    </row>
    <row r="929" customFormat="false" ht="15.75" hidden="false" customHeight="false" outlineLevel="0" collapsed="false">
      <c r="A929" s="19" t="n">
        <v>927</v>
      </c>
      <c r="B929" s="19" t="s">
        <v>266</v>
      </c>
      <c r="C929" s="19" t="s">
        <v>475</v>
      </c>
      <c r="D929" s="22" t="s">
        <v>1039</v>
      </c>
      <c r="E929" s="43" t="n">
        <v>45541</v>
      </c>
      <c r="F929" s="24" t="n">
        <v>-5</v>
      </c>
    </row>
    <row r="930" customFormat="false" ht="15.75" hidden="false" customHeight="false" outlineLevel="0" collapsed="false">
      <c r="A930" s="19" t="n">
        <v>928</v>
      </c>
      <c r="B930" s="19" t="s">
        <v>450</v>
      </c>
      <c r="C930" s="19" t="s">
        <v>266</v>
      </c>
      <c r="D930" s="22" t="s">
        <v>1039</v>
      </c>
      <c r="E930" s="43" t="n">
        <v>45541</v>
      </c>
      <c r="F930" s="24" t="n">
        <v>1</v>
      </c>
    </row>
    <row r="931" customFormat="false" ht="15.75" hidden="false" customHeight="false" outlineLevel="0" collapsed="false">
      <c r="A931" s="19" t="n">
        <v>929</v>
      </c>
      <c r="B931" s="19" t="s">
        <v>310</v>
      </c>
      <c r="C931" s="19" t="s">
        <v>824</v>
      </c>
      <c r="D931" s="22" t="str">
        <f aca="false">HYPERLINK("https://discord.com/channels/1040938900039929917/1282406022312624209","ссылка")</f>
        <v>ссылка</v>
      </c>
      <c r="E931" s="43" t="n">
        <v>45543</v>
      </c>
      <c r="F931" s="24" t="n">
        <v>1</v>
      </c>
    </row>
    <row r="932" customFormat="false" ht="15.75" hidden="false" customHeight="false" outlineLevel="0" collapsed="false">
      <c r="A932" s="19" t="n">
        <v>930</v>
      </c>
      <c r="B932" s="19" t="s">
        <v>88</v>
      </c>
      <c r="C932" s="19" t="s">
        <v>871</v>
      </c>
      <c r="D932" s="24" t="s">
        <v>1003</v>
      </c>
      <c r="E932" s="43" t="n">
        <v>45547</v>
      </c>
      <c r="F932" s="24" t="n">
        <v>10</v>
      </c>
    </row>
    <row r="933" customFormat="false" ht="15.75" hidden="false" customHeight="false" outlineLevel="0" collapsed="false">
      <c r="A933" s="19" t="n">
        <v>931</v>
      </c>
      <c r="B933" s="19" t="s">
        <v>88</v>
      </c>
      <c r="C933" s="19" t="s">
        <v>873</v>
      </c>
      <c r="D933" s="24" t="s">
        <v>1003</v>
      </c>
      <c r="E933" s="43" t="n">
        <v>45547</v>
      </c>
      <c r="F933" s="24" t="n">
        <v>10</v>
      </c>
    </row>
    <row r="934" customFormat="false" ht="15.75" hidden="false" customHeight="false" outlineLevel="0" collapsed="false">
      <c r="A934" s="19" t="n">
        <v>932</v>
      </c>
      <c r="B934" s="19" t="s">
        <v>450</v>
      </c>
      <c r="C934" s="19" t="s">
        <v>847</v>
      </c>
      <c r="D934" s="22" t="s">
        <v>1039</v>
      </c>
      <c r="E934" s="43" t="n">
        <v>45546</v>
      </c>
      <c r="F934" s="24" t="n">
        <v>-5</v>
      </c>
    </row>
    <row r="935" customFormat="false" ht="15.75" hidden="false" customHeight="false" outlineLevel="0" collapsed="false">
      <c r="A935" s="19" t="n">
        <v>933</v>
      </c>
      <c r="B935" s="19" t="s">
        <v>450</v>
      </c>
      <c r="C935" s="19" t="s">
        <v>107</v>
      </c>
      <c r="D935" s="22" t="s">
        <v>1039</v>
      </c>
      <c r="E935" s="43" t="n">
        <v>45544</v>
      </c>
      <c r="F935" s="24" t="n">
        <v>1</v>
      </c>
    </row>
    <row r="936" customFormat="false" ht="15.75" hidden="false" customHeight="false" outlineLevel="0" collapsed="false">
      <c r="A936" s="19" t="n">
        <v>934</v>
      </c>
      <c r="B936" s="19" t="s">
        <v>189</v>
      </c>
      <c r="C936" s="19" t="s">
        <v>1020</v>
      </c>
      <c r="D936" s="22" t="s">
        <v>1039</v>
      </c>
      <c r="E936" s="43" t="n">
        <v>45544</v>
      </c>
      <c r="F936" s="24" t="n">
        <v>5</v>
      </c>
    </row>
    <row r="937" customFormat="false" ht="15.75" hidden="false" customHeight="false" outlineLevel="0" collapsed="false">
      <c r="A937" s="19" t="n">
        <v>935</v>
      </c>
      <c r="B937" s="19" t="s">
        <v>189</v>
      </c>
      <c r="C937" s="19" t="s">
        <v>93</v>
      </c>
      <c r="D937" s="22" t="s">
        <v>1039</v>
      </c>
      <c r="E937" s="43" t="n">
        <v>45544</v>
      </c>
      <c r="F937" s="24" t="n">
        <v>5</v>
      </c>
    </row>
    <row r="938" customFormat="false" ht="15.75" hidden="false" customHeight="false" outlineLevel="0" collapsed="false">
      <c r="A938" s="19" t="n">
        <v>936</v>
      </c>
      <c r="B938" s="19" t="s">
        <v>450</v>
      </c>
      <c r="C938" s="19" t="s">
        <v>189</v>
      </c>
      <c r="D938" s="22" t="s">
        <v>1039</v>
      </c>
      <c r="E938" s="43" t="n">
        <v>45544</v>
      </c>
      <c r="F938" s="24" t="n">
        <v>1</v>
      </c>
    </row>
    <row r="939" customFormat="false" ht="15.75" hidden="false" customHeight="false" outlineLevel="0" collapsed="false">
      <c r="A939" s="19" t="n">
        <v>937</v>
      </c>
      <c r="B939" s="19" t="s">
        <v>88</v>
      </c>
      <c r="C939" s="19" t="s">
        <v>875</v>
      </c>
      <c r="D939" s="24" t="s">
        <v>1003</v>
      </c>
      <c r="E939" s="43" t="n">
        <v>45549</v>
      </c>
      <c r="F939" s="24" t="n">
        <v>10</v>
      </c>
    </row>
    <row r="940" customFormat="false" ht="15.75" hidden="false" customHeight="false" outlineLevel="0" collapsed="false">
      <c r="A940" s="19" t="n">
        <v>938</v>
      </c>
      <c r="B940" s="19" t="s">
        <v>450</v>
      </c>
      <c r="C940" s="19" t="s">
        <v>490</v>
      </c>
      <c r="D940" s="22" t="s">
        <v>1039</v>
      </c>
      <c r="E940" s="43" t="n">
        <v>45547</v>
      </c>
      <c r="F940" s="24" t="n">
        <v>3</v>
      </c>
    </row>
    <row r="941" customFormat="false" ht="15.75" hidden="false" customHeight="false" outlineLevel="0" collapsed="false">
      <c r="A941" s="19" t="n">
        <v>939</v>
      </c>
      <c r="B941" s="19" t="s">
        <v>450</v>
      </c>
      <c r="C941" s="19" t="s">
        <v>864</v>
      </c>
      <c r="D941" s="22" t="s">
        <v>1039</v>
      </c>
      <c r="E941" s="43" t="n">
        <v>45547</v>
      </c>
      <c r="F941" s="24" t="n">
        <v>2</v>
      </c>
    </row>
    <row r="942" customFormat="false" ht="15.75" hidden="false" customHeight="false" outlineLevel="0" collapsed="false">
      <c r="A942" s="19" t="n">
        <v>940</v>
      </c>
      <c r="B942" s="19" t="s">
        <v>310</v>
      </c>
      <c r="C942" s="19" t="s">
        <v>450</v>
      </c>
      <c r="D942" s="22" t="s">
        <v>1039</v>
      </c>
      <c r="E942" s="43" t="n">
        <v>45547</v>
      </c>
      <c r="F942" s="24" t="n">
        <v>1</v>
      </c>
    </row>
    <row r="943" customFormat="false" ht="15.75" hidden="false" customHeight="false" outlineLevel="0" collapsed="false">
      <c r="A943" s="19" t="n">
        <v>941</v>
      </c>
      <c r="B943" s="19" t="s">
        <v>88</v>
      </c>
      <c r="C943" s="19" t="s">
        <v>877</v>
      </c>
      <c r="D943" s="24" t="s">
        <v>1003</v>
      </c>
      <c r="E943" s="43" t="n">
        <v>45550</v>
      </c>
      <c r="F943" s="24" t="n">
        <v>10</v>
      </c>
    </row>
    <row r="944" customFormat="false" ht="15.75" hidden="false" customHeight="false" outlineLevel="0" collapsed="false">
      <c r="A944" s="19" t="n">
        <v>942</v>
      </c>
      <c r="B944" s="19" t="s">
        <v>88</v>
      </c>
      <c r="C944" s="19" t="s">
        <v>879</v>
      </c>
      <c r="D944" s="24" t="s">
        <v>1003</v>
      </c>
      <c r="E944" s="43" t="n">
        <v>45550</v>
      </c>
      <c r="F944" s="24" t="n">
        <v>10</v>
      </c>
    </row>
    <row r="945" customFormat="false" ht="15.75" hidden="false" customHeight="false" outlineLevel="0" collapsed="false">
      <c r="A945" s="19" t="n">
        <v>943</v>
      </c>
      <c r="B945" s="19" t="s">
        <v>1020</v>
      </c>
      <c r="C945" s="19" t="s">
        <v>270</v>
      </c>
      <c r="D945" s="22" t="s">
        <v>1039</v>
      </c>
      <c r="E945" s="43" t="n">
        <v>45547</v>
      </c>
      <c r="F945" s="24" t="n">
        <v>-1</v>
      </c>
    </row>
    <row r="946" customFormat="false" ht="15.75" hidden="false" customHeight="false" outlineLevel="0" collapsed="false">
      <c r="A946" s="19" t="n">
        <v>944</v>
      </c>
      <c r="B946" s="19" t="s">
        <v>1020</v>
      </c>
      <c r="C946" s="19" t="s">
        <v>430</v>
      </c>
      <c r="D946" s="22" t="s">
        <v>1039</v>
      </c>
      <c r="E946" s="43" t="n">
        <v>45549</v>
      </c>
      <c r="F946" s="24" t="n">
        <v>10</v>
      </c>
    </row>
    <row r="947" customFormat="false" ht="15.75" hidden="false" customHeight="false" outlineLevel="0" collapsed="false">
      <c r="A947" s="19" t="n">
        <v>945</v>
      </c>
      <c r="B947" s="19" t="s">
        <v>450</v>
      </c>
      <c r="C947" s="19" t="s">
        <v>1020</v>
      </c>
      <c r="D947" s="22" t="s">
        <v>1039</v>
      </c>
      <c r="E947" s="43" t="n">
        <v>45549</v>
      </c>
      <c r="F947" s="24" t="n">
        <v>1</v>
      </c>
    </row>
    <row r="948" customFormat="false" ht="15.75" hidden="false" customHeight="false" outlineLevel="0" collapsed="false">
      <c r="A948" s="19" t="n">
        <v>946</v>
      </c>
      <c r="B948" s="19" t="s">
        <v>67</v>
      </c>
      <c r="C948" s="19" t="s">
        <v>507</v>
      </c>
      <c r="D948" s="22" t="s">
        <v>1039</v>
      </c>
      <c r="E948" s="43" t="n">
        <v>45549</v>
      </c>
      <c r="F948" s="24" t="n">
        <v>-5</v>
      </c>
    </row>
    <row r="949" customFormat="false" ht="15.75" hidden="false" customHeight="false" outlineLevel="0" collapsed="false">
      <c r="A949" s="19" t="n">
        <v>947</v>
      </c>
      <c r="B949" s="19" t="s">
        <v>450</v>
      </c>
      <c r="C949" s="19" t="s">
        <v>67</v>
      </c>
      <c r="D949" s="22" t="s">
        <v>1039</v>
      </c>
      <c r="E949" s="43" t="n">
        <v>45549</v>
      </c>
      <c r="F949" s="24" t="n">
        <v>1</v>
      </c>
    </row>
    <row r="950" customFormat="false" ht="15.75" hidden="false" customHeight="false" outlineLevel="0" collapsed="false">
      <c r="A950" s="19" t="n">
        <v>948</v>
      </c>
      <c r="B950" s="19" t="s">
        <v>88</v>
      </c>
      <c r="C950" s="19" t="s">
        <v>881</v>
      </c>
      <c r="D950" s="24" t="s">
        <v>1003</v>
      </c>
      <c r="E950" s="43" t="n">
        <v>45552</v>
      </c>
      <c r="F950" s="24" t="n">
        <v>10</v>
      </c>
    </row>
    <row r="951" customFormat="false" ht="15.75" hidden="false" customHeight="false" outlineLevel="0" collapsed="false">
      <c r="A951" s="19" t="n">
        <v>949</v>
      </c>
      <c r="B951" s="19" t="s">
        <v>384</v>
      </c>
      <c r="C951" s="19" t="s">
        <v>698</v>
      </c>
      <c r="D951" s="22" t="s">
        <v>1039</v>
      </c>
      <c r="E951" s="43" t="n">
        <v>45551</v>
      </c>
      <c r="F951" s="24" t="n">
        <v>5</v>
      </c>
    </row>
    <row r="952" customFormat="false" ht="15.75" hidden="false" customHeight="false" outlineLevel="0" collapsed="false">
      <c r="A952" s="19" t="n">
        <v>950</v>
      </c>
      <c r="B952" s="19" t="s">
        <v>310</v>
      </c>
      <c r="C952" s="19" t="s">
        <v>384</v>
      </c>
      <c r="D952" s="22" t="s">
        <v>1039</v>
      </c>
      <c r="E952" s="43" t="n">
        <v>45551</v>
      </c>
      <c r="F952" s="24" t="n">
        <v>1</v>
      </c>
    </row>
    <row r="953" customFormat="false" ht="15.75" hidden="false" customHeight="false" outlineLevel="0" collapsed="false">
      <c r="A953" s="19" t="n">
        <v>951</v>
      </c>
      <c r="B953" s="19" t="s">
        <v>310</v>
      </c>
      <c r="C953" s="19" t="s">
        <v>475</v>
      </c>
      <c r="D953" s="22" t="s">
        <v>1039</v>
      </c>
      <c r="E953" s="43" t="n">
        <v>45553</v>
      </c>
      <c r="F953" s="24" t="n">
        <v>1</v>
      </c>
    </row>
    <row r="954" customFormat="false" ht="15.75" hidden="false" customHeight="false" outlineLevel="0" collapsed="false">
      <c r="A954" s="19" t="n">
        <v>952</v>
      </c>
      <c r="B954" s="19" t="s">
        <v>417</v>
      </c>
      <c r="C954" s="19" t="s">
        <v>784</v>
      </c>
      <c r="D954" s="22" t="s">
        <v>1039</v>
      </c>
      <c r="E954" s="43" t="n">
        <v>45551</v>
      </c>
      <c r="F954" s="24" t="n">
        <v>-1</v>
      </c>
    </row>
    <row r="955" customFormat="false" ht="15.75" hidden="false" customHeight="false" outlineLevel="0" collapsed="false">
      <c r="A955" s="19" t="n">
        <v>953</v>
      </c>
      <c r="B955" s="19" t="s">
        <v>450</v>
      </c>
      <c r="C955" s="19" t="s">
        <v>417</v>
      </c>
      <c r="D955" s="22" t="s">
        <v>1039</v>
      </c>
      <c r="E955" s="43" t="n">
        <v>45551</v>
      </c>
      <c r="F955" s="24" t="n">
        <v>0</v>
      </c>
      <c r="G955" s="24" t="s">
        <v>1038</v>
      </c>
    </row>
    <row r="956" customFormat="false" ht="15.75" hidden="false" customHeight="false" outlineLevel="0" collapsed="false">
      <c r="A956" s="19" t="n">
        <v>954</v>
      </c>
      <c r="B956" s="19" t="s">
        <v>189</v>
      </c>
      <c r="C956" s="19" t="s">
        <v>422</v>
      </c>
      <c r="D956" s="22" t="s">
        <v>1039</v>
      </c>
      <c r="E956" s="43" t="n">
        <v>45553</v>
      </c>
      <c r="F956" s="24" t="n">
        <v>10</v>
      </c>
    </row>
    <row r="957" customFormat="false" ht="15.75" hidden="false" customHeight="false" outlineLevel="0" collapsed="false">
      <c r="A957" s="19" t="n">
        <v>955</v>
      </c>
      <c r="B957" s="19" t="s">
        <v>189</v>
      </c>
      <c r="C957" s="19" t="s">
        <v>671</v>
      </c>
      <c r="D957" s="22" t="s">
        <v>1039</v>
      </c>
      <c r="E957" s="43" t="n">
        <v>45553</v>
      </c>
      <c r="F957" s="24" t="n">
        <v>7</v>
      </c>
    </row>
    <row r="958" customFormat="false" ht="15.75" hidden="false" customHeight="false" outlineLevel="0" collapsed="false">
      <c r="A958" s="19" t="n">
        <v>956</v>
      </c>
      <c r="B958" s="19" t="s">
        <v>189</v>
      </c>
      <c r="C958" s="19" t="s">
        <v>984</v>
      </c>
      <c r="D958" s="22" t="s">
        <v>1039</v>
      </c>
      <c r="E958" s="43" t="n">
        <v>45553</v>
      </c>
      <c r="F958" s="24" t="n">
        <v>7</v>
      </c>
    </row>
    <row r="959" customFormat="false" ht="15.75" hidden="false" customHeight="false" outlineLevel="0" collapsed="false">
      <c r="A959" s="19" t="n">
        <v>957</v>
      </c>
      <c r="B959" s="19" t="s">
        <v>450</v>
      </c>
      <c r="C959" s="19" t="s">
        <v>189</v>
      </c>
      <c r="D959" s="22" t="s">
        <v>1039</v>
      </c>
      <c r="E959" s="43" t="n">
        <v>45553</v>
      </c>
      <c r="F959" s="24" t="n">
        <v>1</v>
      </c>
    </row>
    <row r="960" customFormat="false" ht="15.75" hidden="false" customHeight="false" outlineLevel="0" collapsed="false">
      <c r="A960" s="19" t="n">
        <v>958</v>
      </c>
      <c r="B960" s="19" t="s">
        <v>877</v>
      </c>
      <c r="C960" s="19" t="s">
        <v>430</v>
      </c>
      <c r="D960" s="22" t="s">
        <v>1039</v>
      </c>
      <c r="E960" s="43" t="n">
        <v>45554</v>
      </c>
      <c r="F960" s="24" t="n">
        <v>-3</v>
      </c>
    </row>
    <row r="961" customFormat="false" ht="15.75" hidden="false" customHeight="false" outlineLevel="0" collapsed="false">
      <c r="A961" s="19" t="n">
        <v>959</v>
      </c>
      <c r="B961" s="19" t="s">
        <v>450</v>
      </c>
      <c r="C961" s="19" t="s">
        <v>877</v>
      </c>
      <c r="D961" s="22" t="s">
        <v>1039</v>
      </c>
      <c r="E961" s="43" t="n">
        <v>45554</v>
      </c>
      <c r="F961" s="24" t="n">
        <v>1</v>
      </c>
    </row>
    <row r="962" customFormat="false" ht="15.75" hidden="false" customHeight="false" outlineLevel="0" collapsed="false">
      <c r="A962" s="19" t="n">
        <v>960</v>
      </c>
      <c r="B962" s="19" t="s">
        <v>450</v>
      </c>
      <c r="C962" s="19" t="s">
        <v>375</v>
      </c>
      <c r="D962" s="22" t="s">
        <v>1039</v>
      </c>
      <c r="E962" s="43" t="n">
        <v>45552</v>
      </c>
      <c r="F962" s="24" t="n">
        <v>1</v>
      </c>
    </row>
    <row r="963" customFormat="false" ht="15.75" hidden="false" customHeight="false" outlineLevel="0" collapsed="false">
      <c r="A963" s="19" t="n">
        <v>961</v>
      </c>
      <c r="B963" s="19" t="s">
        <v>430</v>
      </c>
      <c r="C963" s="19" t="s">
        <v>321</v>
      </c>
      <c r="D963" s="22" t="s">
        <v>1039</v>
      </c>
      <c r="E963" s="43" t="n">
        <v>45554</v>
      </c>
      <c r="F963" s="24" t="n">
        <v>3</v>
      </c>
    </row>
    <row r="964" customFormat="false" ht="15.75" hidden="false" customHeight="false" outlineLevel="0" collapsed="false">
      <c r="A964" s="19" t="n">
        <v>962</v>
      </c>
      <c r="B964" s="19" t="s">
        <v>430</v>
      </c>
      <c r="C964" s="19" t="s">
        <v>93</v>
      </c>
      <c r="D964" s="22" t="s">
        <v>1039</v>
      </c>
      <c r="E964" s="43" t="n">
        <v>45554</v>
      </c>
      <c r="F964" s="24" t="n">
        <v>5</v>
      </c>
    </row>
    <row r="965" customFormat="false" ht="15.75" hidden="false" customHeight="false" outlineLevel="0" collapsed="false">
      <c r="A965" s="19" t="n">
        <v>963</v>
      </c>
      <c r="B965" s="19" t="s">
        <v>430</v>
      </c>
      <c r="C965" s="19" t="s">
        <v>270</v>
      </c>
      <c r="D965" s="22" t="s">
        <v>1039</v>
      </c>
      <c r="E965" s="43" t="n">
        <v>45554</v>
      </c>
      <c r="F965" s="24" t="n">
        <v>3</v>
      </c>
    </row>
    <row r="966" customFormat="false" ht="15.75" hidden="false" customHeight="false" outlineLevel="0" collapsed="false">
      <c r="A966" s="19" t="n">
        <v>964</v>
      </c>
      <c r="B966" s="19" t="s">
        <v>430</v>
      </c>
      <c r="C966" s="19" t="s">
        <v>389</v>
      </c>
      <c r="D966" s="22" t="s">
        <v>1039</v>
      </c>
      <c r="E966" s="43" t="n">
        <v>45554</v>
      </c>
      <c r="F966" s="24" t="n">
        <v>4</v>
      </c>
    </row>
    <row r="967" customFormat="false" ht="15.75" hidden="false" customHeight="false" outlineLevel="0" collapsed="false">
      <c r="A967" s="19" t="n">
        <v>965</v>
      </c>
      <c r="B967" s="19" t="s">
        <v>450</v>
      </c>
      <c r="C967" s="19" t="s">
        <v>430</v>
      </c>
      <c r="D967" s="22" t="s">
        <v>1039</v>
      </c>
      <c r="E967" s="43" t="n">
        <v>45554</v>
      </c>
      <c r="F967" s="24" t="n">
        <v>1</v>
      </c>
    </row>
    <row r="968" customFormat="false" ht="15.75" hidden="false" customHeight="false" outlineLevel="0" collapsed="false">
      <c r="A968" s="19" t="n">
        <v>966</v>
      </c>
      <c r="B968" s="19" t="s">
        <v>270</v>
      </c>
      <c r="C968" s="19" t="s">
        <v>1020</v>
      </c>
      <c r="D968" s="22" t="s">
        <v>1039</v>
      </c>
      <c r="E968" s="43" t="n">
        <v>45555</v>
      </c>
      <c r="F968" s="24" t="n">
        <v>5</v>
      </c>
    </row>
    <row r="969" customFormat="false" ht="15.75" hidden="false" customHeight="false" outlineLevel="0" collapsed="false">
      <c r="A969" s="19" t="n">
        <v>967</v>
      </c>
      <c r="B969" s="19" t="s">
        <v>450</v>
      </c>
      <c r="C969" s="19" t="s">
        <v>270</v>
      </c>
      <c r="D969" s="22" t="s">
        <v>1039</v>
      </c>
      <c r="E969" s="43" t="n">
        <v>45555</v>
      </c>
      <c r="F969" s="24" t="n">
        <v>1</v>
      </c>
    </row>
    <row r="970" customFormat="false" ht="15.75" hidden="false" customHeight="false" outlineLevel="0" collapsed="false">
      <c r="A970" s="19" t="n">
        <v>968</v>
      </c>
      <c r="B970" s="19" t="s">
        <v>270</v>
      </c>
      <c r="C970" s="19" t="s">
        <v>430</v>
      </c>
      <c r="D970" s="22" t="s">
        <v>1039</v>
      </c>
      <c r="E970" s="43" t="n">
        <v>45555</v>
      </c>
      <c r="F970" s="24" t="n">
        <v>-10</v>
      </c>
    </row>
    <row r="971" customFormat="false" ht="15.75" hidden="false" customHeight="false" outlineLevel="0" collapsed="false">
      <c r="A971" s="19" t="n">
        <v>969</v>
      </c>
      <c r="B971" s="19" t="s">
        <v>450</v>
      </c>
      <c r="C971" s="19" t="s">
        <v>270</v>
      </c>
      <c r="D971" s="22" t="s">
        <v>1039</v>
      </c>
      <c r="E971" s="43" t="n">
        <v>45555</v>
      </c>
      <c r="F971" s="24" t="n">
        <v>1</v>
      </c>
    </row>
    <row r="972" customFormat="false" ht="15.75" hidden="false" customHeight="false" outlineLevel="0" collapsed="false">
      <c r="A972" s="19" t="n">
        <v>970</v>
      </c>
      <c r="B972" s="19" t="s">
        <v>88</v>
      </c>
      <c r="C972" s="19" t="s">
        <v>892</v>
      </c>
      <c r="D972" s="24" t="s">
        <v>1003</v>
      </c>
      <c r="E972" s="43" t="n">
        <v>45562</v>
      </c>
      <c r="F972" s="24" t="n">
        <v>10</v>
      </c>
    </row>
    <row r="973" customFormat="false" ht="15.75" hidden="false" customHeight="false" outlineLevel="0" collapsed="false">
      <c r="A973" s="19" t="n">
        <v>971</v>
      </c>
      <c r="B973" s="19" t="s">
        <v>450</v>
      </c>
      <c r="C973" s="19" t="s">
        <v>450</v>
      </c>
      <c r="D973" s="22" t="s">
        <v>1039</v>
      </c>
      <c r="E973" s="43" t="n">
        <v>45563</v>
      </c>
      <c r="F973" s="24" t="n">
        <v>-1</v>
      </c>
      <c r="G973" s="70" t="s">
        <v>1036</v>
      </c>
    </row>
    <row r="974" customFormat="false" ht="15.75" hidden="false" customHeight="false" outlineLevel="0" collapsed="false">
      <c r="A974" s="19" t="n">
        <v>972</v>
      </c>
      <c r="B974" s="19" t="s">
        <v>88</v>
      </c>
      <c r="C974" s="19" t="s">
        <v>895</v>
      </c>
      <c r="D974" s="24" t="s">
        <v>1003</v>
      </c>
      <c r="E974" s="43" t="n">
        <v>45563</v>
      </c>
      <c r="F974" s="24" t="n">
        <v>10</v>
      </c>
    </row>
    <row r="975" customFormat="false" ht="15.75" hidden="false" customHeight="false" outlineLevel="0" collapsed="false">
      <c r="A975" s="19" t="n">
        <v>973</v>
      </c>
      <c r="B975" s="19" t="s">
        <v>1020</v>
      </c>
      <c r="C975" s="19" t="s">
        <v>139</v>
      </c>
      <c r="D975" s="22" t="s">
        <v>1039</v>
      </c>
      <c r="E975" s="43" t="n">
        <v>45565</v>
      </c>
      <c r="F975" s="24" t="n">
        <v>3</v>
      </c>
      <c r="G975" s="19" t="s">
        <v>1038</v>
      </c>
    </row>
    <row r="976" customFormat="false" ht="15.75" hidden="false" customHeight="false" outlineLevel="0" collapsed="false">
      <c r="A976" s="19" t="n">
        <v>974</v>
      </c>
      <c r="B976" s="19" t="s">
        <v>310</v>
      </c>
      <c r="C976" s="19" t="s">
        <v>1020</v>
      </c>
      <c r="D976" s="22" t="s">
        <v>1039</v>
      </c>
      <c r="E976" s="43" t="n">
        <v>45565</v>
      </c>
      <c r="F976" s="24" t="n">
        <v>1</v>
      </c>
    </row>
    <row r="977" customFormat="false" ht="15.75" hidden="false" customHeight="false" outlineLevel="0" collapsed="false">
      <c r="A977" s="19" t="n">
        <v>975</v>
      </c>
      <c r="B977" s="19" t="s">
        <v>450</v>
      </c>
      <c r="C977" s="19" t="s">
        <v>716</v>
      </c>
      <c r="D977" s="22" t="s">
        <v>1039</v>
      </c>
      <c r="E977" s="43" t="n">
        <v>45563</v>
      </c>
      <c r="F977" s="24" t="n">
        <v>1</v>
      </c>
    </row>
    <row r="978" customFormat="false" ht="15.75" hidden="false" customHeight="false" outlineLevel="0" collapsed="false">
      <c r="A978" s="19" t="n">
        <v>976</v>
      </c>
      <c r="B978" s="19" t="s">
        <v>270</v>
      </c>
      <c r="C978" s="19" t="s">
        <v>430</v>
      </c>
      <c r="D978" s="22" t="s">
        <v>1039</v>
      </c>
      <c r="E978" s="43" t="n">
        <v>45565</v>
      </c>
      <c r="F978" s="24" t="n">
        <v>5</v>
      </c>
    </row>
    <row r="979" customFormat="false" ht="15.75" hidden="false" customHeight="false" outlineLevel="0" collapsed="false">
      <c r="A979" s="19" t="n">
        <v>977</v>
      </c>
      <c r="B979" s="19" t="s">
        <v>310</v>
      </c>
      <c r="C979" s="19" t="s">
        <v>270</v>
      </c>
      <c r="D979" s="22" t="s">
        <v>1039</v>
      </c>
      <c r="E979" s="43" t="n">
        <v>45567</v>
      </c>
      <c r="F979" s="24" t="n">
        <v>1</v>
      </c>
    </row>
    <row r="980" customFormat="false" ht="15.75" hidden="false" customHeight="false" outlineLevel="0" collapsed="false">
      <c r="A980" s="19" t="n">
        <v>978</v>
      </c>
      <c r="B980" s="19" t="s">
        <v>310</v>
      </c>
      <c r="C980" s="19" t="s">
        <v>790</v>
      </c>
      <c r="D980" s="22" t="s">
        <v>1039</v>
      </c>
      <c r="E980" s="43" t="n">
        <v>45566</v>
      </c>
      <c r="F980" s="24" t="n">
        <v>5</v>
      </c>
    </row>
    <row r="981" customFormat="false" ht="15.75" hidden="false" customHeight="false" outlineLevel="0" collapsed="false">
      <c r="A981" s="19" t="n">
        <v>979</v>
      </c>
      <c r="B981" s="19" t="s">
        <v>450</v>
      </c>
      <c r="C981" s="19" t="s">
        <v>310</v>
      </c>
      <c r="D981" s="22" t="s">
        <v>1039</v>
      </c>
      <c r="E981" s="43" t="n">
        <v>45566</v>
      </c>
      <c r="F981" s="24" t="n">
        <v>1</v>
      </c>
    </row>
    <row r="982" customFormat="false" ht="15.75" hidden="false" customHeight="false" outlineLevel="0" collapsed="false">
      <c r="A982" s="19" t="n">
        <v>980</v>
      </c>
      <c r="B982" s="19" t="s">
        <v>236</v>
      </c>
      <c r="C982" s="19" t="s">
        <v>61</v>
      </c>
      <c r="D982" s="22" t="s">
        <v>1039</v>
      </c>
      <c r="E982" s="43" t="n">
        <v>45567</v>
      </c>
      <c r="F982" s="24" t="n">
        <v>3</v>
      </c>
    </row>
    <row r="983" customFormat="false" ht="15.75" hidden="false" customHeight="false" outlineLevel="0" collapsed="false">
      <c r="A983" s="19" t="n">
        <v>981</v>
      </c>
      <c r="B983" s="19" t="s">
        <v>450</v>
      </c>
      <c r="C983" s="19" t="s">
        <v>236</v>
      </c>
      <c r="D983" s="22" t="s">
        <v>1039</v>
      </c>
      <c r="E983" s="43" t="n">
        <v>45567</v>
      </c>
      <c r="F983" s="24" t="n">
        <v>1</v>
      </c>
    </row>
    <row r="984" customFormat="false" ht="15.75" hidden="false" customHeight="false" outlineLevel="0" collapsed="false">
      <c r="A984" s="19" t="n">
        <v>982</v>
      </c>
      <c r="B984" s="19" t="s">
        <v>88</v>
      </c>
      <c r="C984" s="19" t="s">
        <v>609</v>
      </c>
      <c r="D984" s="22" t="s">
        <v>1039</v>
      </c>
      <c r="E984" s="43" t="n">
        <v>45569</v>
      </c>
      <c r="F984" s="24" t="n">
        <v>10</v>
      </c>
    </row>
    <row r="985" customFormat="false" ht="15.75" hidden="false" customHeight="false" outlineLevel="0" collapsed="false">
      <c r="A985" s="19" t="n">
        <v>983</v>
      </c>
      <c r="B985" s="19" t="s">
        <v>310</v>
      </c>
      <c r="C985" s="19" t="s">
        <v>88</v>
      </c>
      <c r="D985" s="22" t="s">
        <v>1039</v>
      </c>
      <c r="E985" s="43" t="n">
        <v>45569</v>
      </c>
      <c r="F985" s="24" t="n">
        <v>0</v>
      </c>
      <c r="G985" s="19" t="s">
        <v>1038</v>
      </c>
    </row>
    <row r="986" customFormat="false" ht="15.75" hidden="false" customHeight="false" outlineLevel="0" collapsed="false">
      <c r="A986" s="19" t="n">
        <v>984</v>
      </c>
      <c r="B986" s="19" t="s">
        <v>1020</v>
      </c>
      <c r="C986" s="19" t="s">
        <v>434</v>
      </c>
      <c r="D986" s="22" t="s">
        <v>1039</v>
      </c>
      <c r="E986" s="43" t="n">
        <v>45570</v>
      </c>
      <c r="F986" s="24" t="n">
        <v>-10</v>
      </c>
    </row>
    <row r="987" customFormat="false" ht="15.75" hidden="false" customHeight="false" outlineLevel="0" collapsed="false">
      <c r="A987" s="19" t="n">
        <v>985</v>
      </c>
      <c r="B987" s="19" t="s">
        <v>450</v>
      </c>
      <c r="C987" s="19" t="s">
        <v>1020</v>
      </c>
      <c r="D987" s="22" t="s">
        <v>1039</v>
      </c>
      <c r="E987" s="43" t="n">
        <v>45570</v>
      </c>
      <c r="F987" s="24" t="n">
        <v>1</v>
      </c>
    </row>
    <row r="988" customFormat="false" ht="15.75" hidden="false" customHeight="false" outlineLevel="0" collapsed="false">
      <c r="A988" s="19" t="n">
        <v>986</v>
      </c>
      <c r="B988" s="19" t="s">
        <v>88</v>
      </c>
      <c r="C988" s="19" t="s">
        <v>1020</v>
      </c>
      <c r="D988" s="22" t="s">
        <v>1039</v>
      </c>
      <c r="E988" s="43" t="n">
        <v>45570</v>
      </c>
      <c r="F988" s="24" t="n">
        <v>5</v>
      </c>
    </row>
    <row r="989" customFormat="false" ht="15.75" hidden="false" customHeight="false" outlineLevel="0" collapsed="false">
      <c r="A989" s="19" t="n">
        <v>987</v>
      </c>
      <c r="B989" s="19" t="s">
        <v>88</v>
      </c>
      <c r="C989" s="19" t="s">
        <v>767</v>
      </c>
      <c r="D989" s="22" t="s">
        <v>1039</v>
      </c>
      <c r="E989" s="43" t="n">
        <v>45570</v>
      </c>
      <c r="F989" s="24" t="n">
        <v>5</v>
      </c>
    </row>
    <row r="990" customFormat="false" ht="15.75" hidden="false" customHeight="false" outlineLevel="0" collapsed="false">
      <c r="A990" s="19" t="n">
        <v>988</v>
      </c>
      <c r="B990" s="19" t="s">
        <v>88</v>
      </c>
      <c r="C990" s="19" t="s">
        <v>319</v>
      </c>
      <c r="D990" s="22" t="s">
        <v>1039</v>
      </c>
      <c r="E990" s="43" t="n">
        <v>45570</v>
      </c>
      <c r="F990" s="24" t="n">
        <v>5</v>
      </c>
    </row>
    <row r="991" customFormat="false" ht="15.75" hidden="false" customHeight="false" outlineLevel="0" collapsed="false">
      <c r="A991" s="19" t="n">
        <v>989</v>
      </c>
      <c r="B991" s="19" t="s">
        <v>88</v>
      </c>
      <c r="C991" s="19" t="s">
        <v>657</v>
      </c>
      <c r="D991" s="22" t="s">
        <v>1039</v>
      </c>
      <c r="E991" s="43" t="n">
        <v>45570</v>
      </c>
      <c r="F991" s="24" t="n">
        <v>5</v>
      </c>
    </row>
    <row r="992" customFormat="false" ht="14.15" hidden="false" customHeight="false" outlineLevel="0" collapsed="false">
      <c r="A992" s="19" t="n">
        <v>990</v>
      </c>
      <c r="B992" s="19" t="s">
        <v>450</v>
      </c>
      <c r="C992" s="19" t="s">
        <v>88</v>
      </c>
      <c r="D992" s="22" t="s">
        <v>1039</v>
      </c>
      <c r="E992" s="43" t="n">
        <v>45570</v>
      </c>
      <c r="F992" s="24" t="n">
        <v>0</v>
      </c>
    </row>
    <row r="993" customFormat="false" ht="14.15" hidden="false" customHeight="false" outlineLevel="0" collapsed="false">
      <c r="A993" s="19" t="n">
        <v>991</v>
      </c>
      <c r="B993" s="19" t="s">
        <v>495</v>
      </c>
      <c r="C993" s="19" t="s">
        <v>422</v>
      </c>
      <c r="D993" s="22" t="s">
        <v>1039</v>
      </c>
      <c r="E993" s="43" t="n">
        <v>45574</v>
      </c>
      <c r="F993" s="24" t="n">
        <v>5</v>
      </c>
    </row>
    <row r="994" customFormat="false" ht="14.15" hidden="false" customHeight="false" outlineLevel="0" collapsed="false">
      <c r="A994" s="19" t="n">
        <v>992</v>
      </c>
      <c r="B994" s="19" t="s">
        <v>495</v>
      </c>
      <c r="C994" s="19" t="s">
        <v>753</v>
      </c>
      <c r="D994" s="22" t="s">
        <v>1039</v>
      </c>
      <c r="E994" s="43" t="n">
        <v>45574</v>
      </c>
      <c r="F994" s="24" t="n">
        <v>2</v>
      </c>
    </row>
    <row r="995" customFormat="false" ht="14.15" hidden="false" customHeight="false" outlineLevel="0" collapsed="false">
      <c r="A995" s="19" t="n">
        <v>993</v>
      </c>
      <c r="B995" s="19" t="s">
        <v>310</v>
      </c>
      <c r="C995" s="19" t="s">
        <v>495</v>
      </c>
      <c r="D995" s="22" t="s">
        <v>1039</v>
      </c>
      <c r="E995" s="24" t="s">
        <v>1051</v>
      </c>
      <c r="F995" s="24" t="n">
        <v>0</v>
      </c>
      <c r="G995" s="19" t="s">
        <v>1038</v>
      </c>
    </row>
    <row r="996" customFormat="false" ht="14.15" hidden="false" customHeight="false" outlineLevel="0" collapsed="false">
      <c r="A996" s="19" t="n">
        <v>994</v>
      </c>
      <c r="B996" s="19" t="s">
        <v>490</v>
      </c>
      <c r="C996" s="19" t="s">
        <v>319</v>
      </c>
      <c r="D996" s="22" t="s">
        <v>1039</v>
      </c>
      <c r="E996" s="74" t="s">
        <v>1051</v>
      </c>
      <c r="F996" s="24" t="n">
        <v>5</v>
      </c>
    </row>
    <row r="997" customFormat="false" ht="14.15" hidden="false" customHeight="false" outlineLevel="0" collapsed="false">
      <c r="A997" s="19" t="n">
        <v>995</v>
      </c>
      <c r="B997" s="19" t="s">
        <v>490</v>
      </c>
      <c r="C997" s="19" t="s">
        <v>67</v>
      </c>
      <c r="D997" s="22" t="s">
        <v>1039</v>
      </c>
      <c r="E997" s="24" t="s">
        <v>1051</v>
      </c>
      <c r="F997" s="24" t="n">
        <v>2</v>
      </c>
    </row>
    <row r="998" customFormat="false" ht="14.15" hidden="false" customHeight="false" outlineLevel="0" collapsed="false">
      <c r="A998" s="19" t="n">
        <v>996</v>
      </c>
      <c r="B998" s="19" t="s">
        <v>310</v>
      </c>
      <c r="C998" s="19" t="s">
        <v>490</v>
      </c>
      <c r="D998" s="22" t="s">
        <v>1039</v>
      </c>
      <c r="E998" s="24" t="s">
        <v>1051</v>
      </c>
      <c r="F998" s="24" t="n">
        <v>1</v>
      </c>
    </row>
    <row r="999" customFormat="false" ht="14.15" hidden="false" customHeight="false" outlineLevel="0" collapsed="false">
      <c r="A999" s="19" t="n">
        <v>997</v>
      </c>
      <c r="B999" s="19" t="s">
        <v>88</v>
      </c>
      <c r="C999" s="19" t="s">
        <v>912</v>
      </c>
      <c r="D999" s="24" t="s">
        <v>1003</v>
      </c>
      <c r="E999" s="25" t="n">
        <v>45577</v>
      </c>
      <c r="F999" s="24" t="n">
        <v>10</v>
      </c>
    </row>
    <row r="1000" customFormat="false" ht="14.15" hidden="false" customHeight="false" outlineLevel="0" collapsed="false">
      <c r="A1000" s="19" t="n">
        <v>998</v>
      </c>
      <c r="B1000" s="19" t="s">
        <v>205</v>
      </c>
      <c r="C1000" s="19" t="s">
        <v>753</v>
      </c>
      <c r="D1000" s="22" t="s">
        <v>1039</v>
      </c>
      <c r="E1000" s="25" t="n">
        <v>45573</v>
      </c>
      <c r="F1000" s="24" t="n">
        <v>5</v>
      </c>
    </row>
    <row r="1001" customFormat="false" ht="14.15" hidden="false" customHeight="false" outlineLevel="0" collapsed="false">
      <c r="A1001" s="19" t="n">
        <v>999</v>
      </c>
      <c r="B1001" s="19" t="s">
        <v>205</v>
      </c>
      <c r="C1001" s="19" t="s">
        <v>363</v>
      </c>
      <c r="D1001" s="22" t="s">
        <v>1039</v>
      </c>
      <c r="E1001" s="25" t="n">
        <v>45573</v>
      </c>
      <c r="F1001" s="24" t="n">
        <v>5</v>
      </c>
    </row>
    <row r="1002" customFormat="false" ht="14.15" hidden="false" customHeight="false" outlineLevel="0" collapsed="false">
      <c r="A1002" s="19" t="n">
        <v>1000</v>
      </c>
      <c r="B1002" s="19" t="s">
        <v>205</v>
      </c>
      <c r="C1002" s="19" t="s">
        <v>534</v>
      </c>
      <c r="D1002" s="22" t="s">
        <v>1039</v>
      </c>
      <c r="E1002" s="25" t="n">
        <v>45573</v>
      </c>
      <c r="F1002" s="24" t="n">
        <v>5</v>
      </c>
    </row>
    <row r="1003" customFormat="false" ht="14.15" hidden="false" customHeight="false" outlineLevel="0" collapsed="false">
      <c r="A1003" s="19" t="n">
        <v>1001</v>
      </c>
      <c r="B1003" s="19" t="s">
        <v>450</v>
      </c>
      <c r="C1003" s="19" t="s">
        <v>205</v>
      </c>
      <c r="D1003" s="22" t="s">
        <v>1039</v>
      </c>
      <c r="E1003" s="25" t="n">
        <v>45573</v>
      </c>
      <c r="F1003" s="24" t="n">
        <v>1</v>
      </c>
    </row>
    <row r="1004" customFormat="false" ht="14.15" hidden="false" customHeight="false" outlineLevel="0" collapsed="false">
      <c r="A1004" s="19" t="n">
        <v>1002</v>
      </c>
      <c r="B1004" s="19" t="s">
        <v>88</v>
      </c>
      <c r="C1004" s="19" t="s">
        <v>918</v>
      </c>
      <c r="D1004" s="24" t="s">
        <v>1003</v>
      </c>
      <c r="E1004" s="25" t="n">
        <v>45578</v>
      </c>
      <c r="F1004" s="24" t="n">
        <v>10</v>
      </c>
    </row>
    <row r="1005" customFormat="false" ht="14.15" hidden="false" customHeight="false" outlineLevel="0" collapsed="false">
      <c r="A1005" s="19" t="n">
        <v>1003</v>
      </c>
      <c r="B1005" s="19" t="s">
        <v>88</v>
      </c>
      <c r="C1005" s="19" t="s">
        <v>922</v>
      </c>
      <c r="D1005" s="24" t="s">
        <v>1003</v>
      </c>
      <c r="E1005" s="25" t="n">
        <v>45580</v>
      </c>
      <c r="F1005" s="24" t="n">
        <v>10</v>
      </c>
    </row>
    <row r="1006" customFormat="false" ht="14.15" hidden="false" customHeight="false" outlineLevel="0" collapsed="false">
      <c r="A1006" s="19" t="n">
        <v>1004</v>
      </c>
      <c r="B1006" s="19" t="s">
        <v>1020</v>
      </c>
      <c r="C1006" s="19" t="s">
        <v>422</v>
      </c>
      <c r="D1006" s="22" t="s">
        <v>1039</v>
      </c>
      <c r="E1006" s="25" t="n">
        <v>45578</v>
      </c>
      <c r="F1006" s="24" t="n">
        <v>5</v>
      </c>
    </row>
    <row r="1007" customFormat="false" ht="14.15" hidden="false" customHeight="false" outlineLevel="0" collapsed="false">
      <c r="A1007" s="19" t="n">
        <v>1005</v>
      </c>
      <c r="B1007" s="19" t="s">
        <v>1020</v>
      </c>
      <c r="C1007" s="19" t="s">
        <v>363</v>
      </c>
      <c r="D1007" s="22" t="s">
        <v>1039</v>
      </c>
      <c r="E1007" s="25" t="n">
        <v>45578</v>
      </c>
      <c r="F1007" s="24" t="n">
        <v>5</v>
      </c>
    </row>
    <row r="1008" customFormat="false" ht="14.15" hidden="false" customHeight="false" outlineLevel="0" collapsed="false">
      <c r="A1008" s="19" t="n">
        <v>1006</v>
      </c>
      <c r="B1008" s="19" t="s">
        <v>450</v>
      </c>
      <c r="C1008" s="19" t="s">
        <v>1020</v>
      </c>
      <c r="D1008" s="22" t="s">
        <v>1039</v>
      </c>
      <c r="E1008" s="25" t="n">
        <v>45578</v>
      </c>
      <c r="F1008" s="24" t="n">
        <v>1</v>
      </c>
    </row>
    <row r="1009" customFormat="false" ht="14.15" hidden="false" customHeight="false" outlineLevel="0" collapsed="false">
      <c r="A1009" s="19" t="n">
        <v>1007</v>
      </c>
      <c r="B1009" s="19" t="s">
        <v>310</v>
      </c>
      <c r="C1009" s="19" t="s">
        <v>431</v>
      </c>
      <c r="D1009" s="24"/>
      <c r="E1009" s="25" t="n">
        <v>45580</v>
      </c>
      <c r="F1009" s="24" t="n">
        <v>-1</v>
      </c>
      <c r="G1009" s="19" t="s">
        <v>1038</v>
      </c>
    </row>
    <row r="1010" customFormat="false" ht="14.15" hidden="false" customHeight="false" outlineLevel="0" collapsed="false">
      <c r="A1010" s="19" t="n">
        <v>1008</v>
      </c>
      <c r="B1010" s="19" t="s">
        <v>546</v>
      </c>
      <c r="C1010" s="19" t="s">
        <v>410</v>
      </c>
      <c r="D1010" s="22" t="s">
        <v>1039</v>
      </c>
      <c r="E1010" s="25" t="n">
        <v>45581</v>
      </c>
      <c r="F1010" s="24" t="n">
        <v>3</v>
      </c>
    </row>
    <row r="1011" customFormat="false" ht="14.15" hidden="false" customHeight="false" outlineLevel="0" collapsed="false">
      <c r="A1011" s="19" t="n">
        <v>1009</v>
      </c>
      <c r="B1011" s="19" t="s">
        <v>310</v>
      </c>
      <c r="C1011" s="19" t="s">
        <v>546</v>
      </c>
      <c r="D1011" s="22" t="s">
        <v>1039</v>
      </c>
      <c r="E1011" s="25" t="n">
        <v>45581</v>
      </c>
      <c r="F1011" s="24" t="n">
        <v>1</v>
      </c>
    </row>
    <row r="1012" customFormat="false" ht="14.15" hidden="false" customHeight="false" outlineLevel="0" collapsed="false">
      <c r="A1012" s="19" t="n">
        <v>1010</v>
      </c>
      <c r="B1012" s="19" t="s">
        <v>88</v>
      </c>
      <c r="C1012" s="19" t="s">
        <v>855</v>
      </c>
      <c r="D1012" s="24" t="s">
        <v>1003</v>
      </c>
      <c r="E1012" s="25" t="n">
        <v>45586</v>
      </c>
      <c r="F1012" s="24" t="n">
        <v>10</v>
      </c>
    </row>
    <row r="1013" customFormat="false" ht="14.15" hidden="false" customHeight="false" outlineLevel="0" collapsed="false">
      <c r="A1013" s="19" t="n">
        <v>1011</v>
      </c>
      <c r="B1013" s="19" t="s">
        <v>321</v>
      </c>
      <c r="C1013" s="19" t="s">
        <v>796</v>
      </c>
      <c r="D1013" s="22" t="s">
        <v>1039</v>
      </c>
      <c r="E1013" s="25" t="n">
        <v>45585</v>
      </c>
      <c r="F1013" s="24" t="n">
        <v>-5</v>
      </c>
    </row>
    <row r="1014" customFormat="false" ht="14.15" hidden="false" customHeight="false" outlineLevel="0" collapsed="false">
      <c r="A1014" s="19" t="n">
        <v>1012</v>
      </c>
      <c r="B1014" s="19" t="s">
        <v>326</v>
      </c>
      <c r="C1014" s="19" t="s">
        <v>905</v>
      </c>
      <c r="D1014" s="22" t="s">
        <v>1039</v>
      </c>
      <c r="E1014" s="25" t="n">
        <v>45585</v>
      </c>
      <c r="F1014" s="24" t="n">
        <v>10</v>
      </c>
    </row>
    <row r="1015" customFormat="false" ht="14.15" hidden="false" customHeight="false" outlineLevel="0" collapsed="false">
      <c r="A1015" s="19" t="n">
        <v>1013</v>
      </c>
      <c r="B1015" s="19" t="s">
        <v>310</v>
      </c>
      <c r="C1015" s="19" t="s">
        <v>326</v>
      </c>
      <c r="D1015" s="22" t="s">
        <v>1039</v>
      </c>
      <c r="E1015" s="25" t="n">
        <v>45585</v>
      </c>
      <c r="F1015" s="24" t="n">
        <v>1</v>
      </c>
    </row>
    <row r="1016" customFormat="false" ht="14.15" hidden="false" customHeight="false" outlineLevel="0" collapsed="false">
      <c r="A1016" s="19" t="n">
        <v>1014</v>
      </c>
      <c r="B1016" s="19" t="s">
        <v>67</v>
      </c>
      <c r="C1016" s="19" t="s">
        <v>767</v>
      </c>
      <c r="D1016" s="22" t="s">
        <v>1039</v>
      </c>
      <c r="E1016" s="25" t="n">
        <v>45585</v>
      </c>
      <c r="F1016" s="24" t="n">
        <v>1</v>
      </c>
    </row>
    <row r="1017" customFormat="false" ht="14.15" hidden="false" customHeight="false" outlineLevel="0" collapsed="false">
      <c r="A1017" s="19" t="n">
        <v>1015</v>
      </c>
      <c r="B1017" s="19" t="s">
        <v>310</v>
      </c>
      <c r="C1017" s="19" t="s">
        <v>67</v>
      </c>
      <c r="D1017" s="22" t="s">
        <v>1039</v>
      </c>
      <c r="E1017" s="25" t="n">
        <v>45585</v>
      </c>
      <c r="F1017" s="24" t="n">
        <v>1</v>
      </c>
    </row>
    <row r="1018" customFormat="false" ht="14.15" hidden="false" customHeight="false" outlineLevel="0" collapsed="false">
      <c r="A1018" s="19" t="n">
        <v>1016</v>
      </c>
      <c r="B1018" s="19" t="s">
        <v>417</v>
      </c>
      <c r="C1018" s="19" t="s">
        <v>189</v>
      </c>
      <c r="D1018" s="22" t="s">
        <v>1039</v>
      </c>
      <c r="E1018" s="25" t="n">
        <v>45585</v>
      </c>
      <c r="F1018" s="24" t="n">
        <v>5</v>
      </c>
    </row>
    <row r="1019" customFormat="false" ht="14.15" hidden="false" customHeight="false" outlineLevel="0" collapsed="false">
      <c r="A1019" s="19" t="n">
        <v>1017</v>
      </c>
      <c r="B1019" s="19" t="s">
        <v>417</v>
      </c>
      <c r="C1019" s="19" t="s">
        <v>497</v>
      </c>
      <c r="D1019" s="22" t="s">
        <v>1039</v>
      </c>
      <c r="E1019" s="25" t="n">
        <v>45585</v>
      </c>
      <c r="F1019" s="24" t="n">
        <v>5</v>
      </c>
    </row>
    <row r="1020" customFormat="false" ht="14.15" hidden="false" customHeight="false" outlineLevel="0" collapsed="false">
      <c r="A1020" s="19" t="n">
        <v>1018</v>
      </c>
      <c r="B1020" s="19" t="s">
        <v>310</v>
      </c>
      <c r="C1020" s="19" t="s">
        <v>417</v>
      </c>
      <c r="D1020" s="22" t="s">
        <v>1039</v>
      </c>
      <c r="E1020" s="25" t="n">
        <v>45585</v>
      </c>
      <c r="F1020" s="24" t="n">
        <v>0</v>
      </c>
      <c r="G1020" s="19" t="s">
        <v>1038</v>
      </c>
    </row>
    <row r="1021" customFormat="false" ht="14.15" hidden="false" customHeight="false" outlineLevel="0" collapsed="false">
      <c r="A1021" s="19" t="n">
        <v>1019</v>
      </c>
      <c r="B1021" s="19" t="s">
        <v>88</v>
      </c>
      <c r="C1021" s="19" t="s">
        <v>929</v>
      </c>
      <c r="D1021" s="24" t="s">
        <v>1052</v>
      </c>
      <c r="E1021" s="25" t="n">
        <v>45590</v>
      </c>
      <c r="F1021" s="24" t="n">
        <v>-15</v>
      </c>
    </row>
    <row r="1022" customFormat="false" ht="14.15" hidden="false" customHeight="false" outlineLevel="0" collapsed="false">
      <c r="A1022" s="19" t="n">
        <v>1020</v>
      </c>
      <c r="B1022" s="19" t="s">
        <v>817</v>
      </c>
      <c r="C1022" s="19" t="s">
        <v>875</v>
      </c>
      <c r="D1022" s="22" t="s">
        <v>1039</v>
      </c>
      <c r="E1022" s="25" t="n">
        <v>45589</v>
      </c>
      <c r="F1022" s="24" t="n">
        <v>5</v>
      </c>
    </row>
    <row r="1023" customFormat="false" ht="14.15" hidden="false" customHeight="false" outlineLevel="0" collapsed="false">
      <c r="A1023" s="19" t="n">
        <v>1021</v>
      </c>
      <c r="B1023" s="19" t="s">
        <v>450</v>
      </c>
      <c r="C1023" s="19" t="s">
        <v>817</v>
      </c>
      <c r="D1023" s="22" t="s">
        <v>1039</v>
      </c>
      <c r="E1023" s="25" t="n">
        <v>45589</v>
      </c>
      <c r="F1023" s="24" t="n">
        <v>1</v>
      </c>
    </row>
    <row r="1024" customFormat="false" ht="14.15" hidden="false" customHeight="false" outlineLevel="0" collapsed="false">
      <c r="A1024" s="19" t="n">
        <v>1022</v>
      </c>
      <c r="B1024" s="19" t="s">
        <v>745</v>
      </c>
      <c r="C1024" s="19" t="s">
        <v>836</v>
      </c>
      <c r="D1024" s="22" t="s">
        <v>1039</v>
      </c>
      <c r="E1024" s="25" t="n">
        <v>45592</v>
      </c>
      <c r="F1024" s="24" t="n">
        <v>-3</v>
      </c>
    </row>
    <row r="1025" customFormat="false" ht="14.15" hidden="false" customHeight="false" outlineLevel="0" collapsed="false">
      <c r="A1025" s="19" t="n">
        <v>1023</v>
      </c>
      <c r="B1025" s="19" t="s">
        <v>310</v>
      </c>
      <c r="C1025" s="19" t="s">
        <v>745</v>
      </c>
      <c r="D1025" s="22" t="s">
        <v>1039</v>
      </c>
      <c r="E1025" s="25" t="n">
        <v>45592</v>
      </c>
      <c r="F1025" s="24" t="n">
        <v>1</v>
      </c>
    </row>
    <row r="1026" customFormat="false" ht="14.15" hidden="false" customHeight="false" outlineLevel="0" collapsed="false">
      <c r="A1026" s="19" t="n">
        <v>1024</v>
      </c>
      <c r="B1026" s="19" t="s">
        <v>502</v>
      </c>
      <c r="C1026" s="19" t="s">
        <v>122</v>
      </c>
      <c r="D1026" s="22" t="s">
        <v>1039</v>
      </c>
      <c r="E1026" s="24" t="s">
        <v>1053</v>
      </c>
      <c r="F1026" s="24" t="n">
        <v>1</v>
      </c>
    </row>
    <row r="1027" customFormat="false" ht="14.15" hidden="false" customHeight="false" outlineLevel="0" collapsed="false">
      <c r="A1027" s="19" t="n">
        <v>1025</v>
      </c>
      <c r="B1027" s="19" t="s">
        <v>310</v>
      </c>
      <c r="C1027" s="19" t="s">
        <v>502</v>
      </c>
      <c r="D1027" s="22" t="s">
        <v>1039</v>
      </c>
      <c r="E1027" s="25" t="n">
        <v>45592</v>
      </c>
      <c r="F1027" s="24" t="n">
        <v>1</v>
      </c>
    </row>
    <row r="1028" customFormat="false" ht="14.15" hidden="false" customHeight="false" outlineLevel="0" collapsed="false">
      <c r="A1028" s="19" t="n">
        <v>1026</v>
      </c>
      <c r="B1028" s="19" t="s">
        <v>502</v>
      </c>
      <c r="C1028" s="19" t="s">
        <v>151</v>
      </c>
      <c r="D1028" s="22" t="s">
        <v>1039</v>
      </c>
      <c r="E1028" s="25" t="n">
        <v>45592</v>
      </c>
      <c r="F1028" s="24" t="n">
        <v>5</v>
      </c>
    </row>
    <row r="1029" customFormat="false" ht="14.15" hidden="false" customHeight="false" outlineLevel="0" collapsed="false">
      <c r="A1029" s="19" t="n">
        <v>1027</v>
      </c>
      <c r="B1029" s="19" t="s">
        <v>310</v>
      </c>
      <c r="C1029" s="19" t="s">
        <v>502</v>
      </c>
      <c r="D1029" s="22" t="s">
        <v>1039</v>
      </c>
      <c r="E1029" s="25" t="n">
        <v>45592</v>
      </c>
      <c r="F1029" s="24" t="n">
        <v>1</v>
      </c>
    </row>
    <row r="1030" customFormat="false" ht="14.15" hidden="false" customHeight="false" outlineLevel="0" collapsed="false">
      <c r="A1030" s="19" t="n">
        <v>1028</v>
      </c>
      <c r="B1030" s="19" t="s">
        <v>475</v>
      </c>
      <c r="C1030" s="19" t="s">
        <v>733</v>
      </c>
      <c r="D1030" s="22" t="s">
        <v>1039</v>
      </c>
      <c r="E1030" s="25" t="n">
        <v>45591</v>
      </c>
      <c r="F1030" s="24" t="n">
        <v>2</v>
      </c>
    </row>
    <row r="1031" customFormat="false" ht="14.15" hidden="false" customHeight="false" outlineLevel="0" collapsed="false">
      <c r="A1031" s="19" t="n">
        <v>1029</v>
      </c>
      <c r="B1031" s="19" t="s">
        <v>475</v>
      </c>
      <c r="C1031" s="19" t="s">
        <v>821</v>
      </c>
      <c r="D1031" s="22" t="s">
        <v>1039</v>
      </c>
      <c r="E1031" s="25" t="n">
        <v>45591</v>
      </c>
      <c r="F1031" s="24" t="n">
        <v>3</v>
      </c>
    </row>
    <row r="1032" customFormat="false" ht="14.15" hidden="false" customHeight="false" outlineLevel="0" collapsed="false">
      <c r="A1032" s="19" t="n">
        <v>1030</v>
      </c>
      <c r="B1032" s="19" t="s">
        <v>310</v>
      </c>
      <c r="C1032" s="19" t="s">
        <v>475</v>
      </c>
      <c r="D1032" s="22" t="s">
        <v>1039</v>
      </c>
      <c r="E1032" s="25" t="n">
        <v>45591</v>
      </c>
      <c r="F1032" s="24" t="n">
        <v>1</v>
      </c>
    </row>
    <row r="1033" customFormat="false" ht="14.15" hidden="false" customHeight="false" outlineLevel="0" collapsed="false">
      <c r="A1033" s="19" t="n">
        <v>1031</v>
      </c>
      <c r="B1033" s="19" t="s">
        <v>88</v>
      </c>
      <c r="C1033" s="19" t="s">
        <v>887</v>
      </c>
      <c r="D1033" s="24" t="s">
        <v>1003</v>
      </c>
      <c r="E1033" s="43" t="n">
        <v>45556</v>
      </c>
      <c r="F1033" s="24" t="n">
        <v>10</v>
      </c>
    </row>
    <row r="1034" customFormat="false" ht="14.15" hidden="false" customHeight="false" outlineLevel="0" collapsed="false">
      <c r="A1034" s="19" t="n">
        <v>1032</v>
      </c>
      <c r="B1034" s="19" t="s">
        <v>88</v>
      </c>
      <c r="C1034" s="19" t="s">
        <v>937</v>
      </c>
      <c r="D1034" s="24" t="s">
        <v>1054</v>
      </c>
      <c r="E1034" s="25" t="n">
        <v>45596</v>
      </c>
      <c r="F1034" s="24" t="n">
        <v>-15</v>
      </c>
    </row>
    <row r="1035" customFormat="false" ht="14.15" hidden="false" customHeight="false" outlineLevel="0" collapsed="false">
      <c r="A1035" s="19" t="n">
        <v>1033</v>
      </c>
      <c r="B1035" s="19" t="s">
        <v>88</v>
      </c>
      <c r="C1035" s="19" t="s">
        <v>800</v>
      </c>
      <c r="D1035" s="24" t="s">
        <v>1003</v>
      </c>
      <c r="E1035" s="43" t="n">
        <v>45510</v>
      </c>
      <c r="F1035" s="24" t="n">
        <v>10</v>
      </c>
    </row>
    <row r="1036" customFormat="false" ht="14.15" hidden="false" customHeight="false" outlineLevel="0" collapsed="false">
      <c r="A1036" s="19" t="n">
        <v>1034</v>
      </c>
      <c r="B1036" s="19" t="s">
        <v>796</v>
      </c>
      <c r="C1036" s="19" t="s">
        <v>59</v>
      </c>
      <c r="D1036" s="22" t="s">
        <v>1039</v>
      </c>
      <c r="E1036" s="25" t="n">
        <v>45592</v>
      </c>
      <c r="F1036" s="24" t="n">
        <v>-10</v>
      </c>
    </row>
    <row r="1037" customFormat="false" ht="14.15" hidden="false" customHeight="false" outlineLevel="0" collapsed="false">
      <c r="A1037" s="19" t="n">
        <v>1035</v>
      </c>
      <c r="B1037" s="19" t="s">
        <v>374</v>
      </c>
      <c r="C1037" s="19" t="s">
        <v>270</v>
      </c>
      <c r="D1037" s="22" t="s">
        <v>1039</v>
      </c>
      <c r="E1037" s="25" t="n">
        <v>45593</v>
      </c>
      <c r="F1037" s="24" t="n">
        <v>-5</v>
      </c>
    </row>
    <row r="1038" customFormat="false" ht="14.15" hidden="false" customHeight="false" outlineLevel="0" collapsed="false">
      <c r="A1038" s="19" t="n">
        <v>1036</v>
      </c>
      <c r="B1038" s="19" t="s">
        <v>450</v>
      </c>
      <c r="C1038" s="19" t="s">
        <v>374</v>
      </c>
      <c r="D1038" s="22" t="s">
        <v>1039</v>
      </c>
      <c r="E1038" s="25" t="n">
        <v>45593</v>
      </c>
      <c r="F1038" s="24" t="n">
        <v>1</v>
      </c>
    </row>
    <row r="1039" customFormat="false" ht="14.15" hidden="false" customHeight="false" outlineLevel="0" collapsed="false">
      <c r="A1039" s="19" t="n">
        <v>1037</v>
      </c>
      <c r="B1039" s="19" t="s">
        <v>88</v>
      </c>
      <c r="C1039" s="19" t="s">
        <v>942</v>
      </c>
      <c r="D1039" s="24" t="s">
        <v>1012</v>
      </c>
      <c r="E1039" s="43" t="n">
        <v>45597</v>
      </c>
      <c r="F1039" s="24" t="n">
        <v>-15</v>
      </c>
    </row>
    <row r="1040" customFormat="false" ht="14.15" hidden="false" customHeight="false" outlineLevel="0" collapsed="false">
      <c r="A1040" s="19" t="n">
        <v>1038</v>
      </c>
      <c r="B1040" s="19" t="s">
        <v>374</v>
      </c>
      <c r="C1040" s="19" t="s">
        <v>579</v>
      </c>
      <c r="D1040" s="22" t="s">
        <v>1039</v>
      </c>
      <c r="E1040" s="25" t="n">
        <v>45593</v>
      </c>
      <c r="F1040" s="24" t="n">
        <v>-20</v>
      </c>
    </row>
    <row r="1041" customFormat="false" ht="14.15" hidden="false" customHeight="false" outlineLevel="0" collapsed="false">
      <c r="A1041" s="19" t="n">
        <v>1039</v>
      </c>
      <c r="B1041" s="19" t="s">
        <v>374</v>
      </c>
      <c r="C1041" s="19" t="s">
        <v>28</v>
      </c>
      <c r="D1041" s="22" t="s">
        <v>1039</v>
      </c>
      <c r="E1041" s="25" t="n">
        <v>45593</v>
      </c>
      <c r="F1041" s="24" t="n">
        <v>-20</v>
      </c>
    </row>
    <row r="1042" customFormat="false" ht="14.15" hidden="false" customHeight="false" outlineLevel="0" collapsed="false">
      <c r="A1042" s="19" t="n">
        <v>1040</v>
      </c>
      <c r="B1042" s="19" t="s">
        <v>450</v>
      </c>
      <c r="C1042" s="19" t="s">
        <v>374</v>
      </c>
      <c r="D1042" s="22" t="s">
        <v>1039</v>
      </c>
      <c r="E1042" s="25" t="n">
        <v>45593</v>
      </c>
      <c r="F1042" s="24" t="n">
        <v>1</v>
      </c>
    </row>
    <row r="1043" customFormat="false" ht="14.15" hidden="false" customHeight="false" outlineLevel="0" collapsed="false">
      <c r="A1043" s="19" t="n">
        <v>1041</v>
      </c>
      <c r="B1043" s="19" t="s">
        <v>336</v>
      </c>
      <c r="C1043" s="19" t="s">
        <v>492</v>
      </c>
      <c r="D1043" s="22" t="s">
        <v>1039</v>
      </c>
      <c r="E1043" s="25" t="n">
        <v>45593</v>
      </c>
      <c r="F1043" s="24" t="n">
        <v>5</v>
      </c>
    </row>
    <row r="1044" customFormat="false" ht="14.15" hidden="false" customHeight="false" outlineLevel="0" collapsed="false">
      <c r="A1044" s="19" t="n">
        <v>1042</v>
      </c>
      <c r="B1044" s="19" t="s">
        <v>336</v>
      </c>
      <c r="C1044" s="19" t="s">
        <v>922</v>
      </c>
      <c r="D1044" s="22" t="s">
        <v>1039</v>
      </c>
      <c r="E1044" s="25" t="n">
        <v>45593</v>
      </c>
      <c r="F1044" s="24" t="n">
        <v>5</v>
      </c>
    </row>
    <row r="1045" customFormat="false" ht="14.15" hidden="false" customHeight="false" outlineLevel="0" collapsed="false">
      <c r="A1045" s="19" t="n">
        <v>1043</v>
      </c>
      <c r="B1045" s="19" t="s">
        <v>450</v>
      </c>
      <c r="C1045" s="19" t="s">
        <v>336</v>
      </c>
      <c r="D1045" s="22" t="s">
        <v>1039</v>
      </c>
      <c r="E1045" s="25" t="n">
        <v>45593</v>
      </c>
      <c r="F1045" s="24" t="n">
        <v>1</v>
      </c>
    </row>
    <row r="1046" customFormat="false" ht="14.15" hidden="false" customHeight="false" outlineLevel="0" collapsed="false">
      <c r="A1046" s="19" t="n">
        <v>1044</v>
      </c>
      <c r="B1046" s="19" t="s">
        <v>422</v>
      </c>
      <c r="C1046" s="19" t="s">
        <v>907</v>
      </c>
      <c r="D1046" s="22" t="s">
        <v>1039</v>
      </c>
      <c r="E1046" s="25" t="n">
        <v>45596</v>
      </c>
      <c r="F1046" s="24" t="n">
        <v>-15</v>
      </c>
    </row>
    <row r="1047" customFormat="false" ht="14.15" hidden="false" customHeight="false" outlineLevel="0" collapsed="false">
      <c r="A1047" s="19" t="n">
        <v>1045</v>
      </c>
      <c r="B1047" s="19" t="s">
        <v>310</v>
      </c>
      <c r="C1047" s="19" t="s">
        <v>422</v>
      </c>
      <c r="D1047" s="22" t="s">
        <v>1039</v>
      </c>
      <c r="E1047" s="25" t="n">
        <v>45596</v>
      </c>
      <c r="F1047" s="24" t="n">
        <v>1</v>
      </c>
    </row>
    <row r="1048" customFormat="false" ht="14.15" hidden="false" customHeight="false" outlineLevel="0" collapsed="false">
      <c r="A1048" s="19" t="n">
        <v>1046</v>
      </c>
      <c r="B1048" s="19" t="s">
        <v>450</v>
      </c>
      <c r="C1048" s="19" t="s">
        <v>216</v>
      </c>
      <c r="D1048" s="22" t="s">
        <v>1039</v>
      </c>
      <c r="E1048" s="25" t="n">
        <v>45595</v>
      </c>
      <c r="F1048" s="24" t="n">
        <v>-5</v>
      </c>
    </row>
    <row r="1049" customFormat="false" ht="14.15" hidden="false" customHeight="false" outlineLevel="0" collapsed="false">
      <c r="A1049" s="19" t="n">
        <v>1047</v>
      </c>
      <c r="B1049" s="19" t="s">
        <v>310</v>
      </c>
      <c r="C1049" s="19" t="s">
        <v>450</v>
      </c>
      <c r="D1049" s="22" t="s">
        <v>1039</v>
      </c>
      <c r="E1049" s="25" t="n">
        <v>45595</v>
      </c>
      <c r="F1049" s="24" t="n">
        <v>0</v>
      </c>
    </row>
    <row r="1050" customFormat="false" ht="14.15" hidden="false" customHeight="false" outlineLevel="0" collapsed="false">
      <c r="A1050" s="19" t="n">
        <v>1048</v>
      </c>
      <c r="B1050" s="19" t="s">
        <v>363</v>
      </c>
      <c r="C1050" s="19" t="s">
        <v>122</v>
      </c>
      <c r="D1050" s="22" t="s">
        <v>1039</v>
      </c>
      <c r="E1050" s="25" t="n">
        <v>45595</v>
      </c>
      <c r="F1050" s="24" t="n">
        <v>5</v>
      </c>
      <c r="G1050" s="19" t="s">
        <v>1038</v>
      </c>
    </row>
    <row r="1051" customFormat="false" ht="14.15" hidden="false" customHeight="false" outlineLevel="0" collapsed="false">
      <c r="A1051" s="19" t="n">
        <v>1049</v>
      </c>
      <c r="B1051" s="19" t="s">
        <v>363</v>
      </c>
      <c r="C1051" s="19" t="s">
        <v>26</v>
      </c>
      <c r="D1051" s="22" t="s">
        <v>1039</v>
      </c>
      <c r="E1051" s="25" t="n">
        <v>45595</v>
      </c>
      <c r="F1051" s="24" t="n">
        <v>5</v>
      </c>
    </row>
    <row r="1052" customFormat="false" ht="14.15" hidden="false" customHeight="false" outlineLevel="0" collapsed="false">
      <c r="A1052" s="19" t="n">
        <v>1050</v>
      </c>
      <c r="B1052" s="19" t="s">
        <v>363</v>
      </c>
      <c r="C1052" s="19" t="s">
        <v>790</v>
      </c>
      <c r="D1052" s="22" t="s">
        <v>1039</v>
      </c>
      <c r="E1052" s="25" t="n">
        <v>45595</v>
      </c>
      <c r="F1052" s="24" t="n">
        <v>5</v>
      </c>
    </row>
    <row r="1053" customFormat="false" ht="14.15" hidden="false" customHeight="false" outlineLevel="0" collapsed="false">
      <c r="A1053" s="19" t="n">
        <v>1051</v>
      </c>
      <c r="B1053" s="19" t="s">
        <v>363</v>
      </c>
      <c r="C1053" s="19" t="s">
        <v>838</v>
      </c>
      <c r="D1053" s="22" t="s">
        <v>1039</v>
      </c>
      <c r="E1053" s="25" t="n">
        <v>45595</v>
      </c>
      <c r="F1053" s="24" t="n">
        <v>5</v>
      </c>
    </row>
    <row r="1054" customFormat="false" ht="14.15" hidden="false" customHeight="false" outlineLevel="0" collapsed="false">
      <c r="A1054" s="19" t="n">
        <v>1052</v>
      </c>
      <c r="B1054" s="19" t="s">
        <v>310</v>
      </c>
      <c r="C1054" s="19" t="s">
        <v>363</v>
      </c>
      <c r="D1054" s="22" t="s">
        <v>1039</v>
      </c>
      <c r="E1054" s="25" t="n">
        <v>45595</v>
      </c>
      <c r="F1054" s="24" t="n">
        <v>1</v>
      </c>
    </row>
    <row r="1055" customFormat="false" ht="14.15" hidden="false" customHeight="false" outlineLevel="0" collapsed="false">
      <c r="A1055" s="19" t="n">
        <v>1053</v>
      </c>
      <c r="B1055" s="19" t="s">
        <v>88</v>
      </c>
      <c r="C1055" s="19" t="s">
        <v>946</v>
      </c>
      <c r="D1055" s="24" t="s">
        <v>1055</v>
      </c>
      <c r="E1055" s="43" t="n">
        <v>45600</v>
      </c>
      <c r="F1055" s="24" t="n">
        <v>-15</v>
      </c>
    </row>
    <row r="1056" customFormat="false" ht="14.15" hidden="false" customHeight="false" outlineLevel="0" collapsed="false">
      <c r="A1056" s="19" t="n">
        <v>1054</v>
      </c>
      <c r="B1056" s="19" t="s">
        <v>88</v>
      </c>
      <c r="C1056" s="19" t="s">
        <v>757</v>
      </c>
      <c r="D1056" s="24" t="s">
        <v>1006</v>
      </c>
      <c r="E1056" s="43" t="n">
        <v>45600</v>
      </c>
      <c r="F1056" s="24" t="n">
        <v>-35</v>
      </c>
    </row>
    <row r="1057" customFormat="false" ht="14.15" hidden="false" customHeight="false" outlineLevel="0" collapsed="false">
      <c r="A1057" s="19" t="n">
        <v>1055</v>
      </c>
      <c r="B1057" s="19" t="s">
        <v>88</v>
      </c>
      <c r="C1057" s="19" t="s">
        <v>950</v>
      </c>
      <c r="D1057" s="24" t="s">
        <v>1041</v>
      </c>
      <c r="E1057" s="43" t="n">
        <v>45601</v>
      </c>
      <c r="F1057" s="24" t="n">
        <v>-15</v>
      </c>
    </row>
    <row r="1058" customFormat="false" ht="14.15" hidden="false" customHeight="false" outlineLevel="0" collapsed="false">
      <c r="A1058" s="19" t="n">
        <v>1056</v>
      </c>
      <c r="B1058" s="19" t="s">
        <v>122</v>
      </c>
      <c r="C1058" s="19" t="s">
        <v>497</v>
      </c>
      <c r="D1058" s="22" t="s">
        <v>1039</v>
      </c>
      <c r="E1058" s="43" t="n">
        <v>45597</v>
      </c>
      <c r="F1058" s="24" t="n">
        <v>-40</v>
      </c>
    </row>
    <row r="1059" customFormat="false" ht="14.15" hidden="false" customHeight="false" outlineLevel="0" collapsed="false">
      <c r="A1059" s="19" t="n">
        <v>1057</v>
      </c>
      <c r="B1059" s="19" t="s">
        <v>122</v>
      </c>
      <c r="C1059" s="19" t="s">
        <v>417</v>
      </c>
      <c r="D1059" s="22" t="s">
        <v>1039</v>
      </c>
      <c r="E1059" s="43" t="n">
        <v>45597</v>
      </c>
      <c r="F1059" s="24" t="n">
        <v>-5</v>
      </c>
    </row>
    <row r="1060" customFormat="false" ht="14.15" hidden="false" customHeight="false" outlineLevel="0" collapsed="false">
      <c r="A1060" s="19" t="n">
        <v>1058</v>
      </c>
      <c r="B1060" s="19" t="s">
        <v>450</v>
      </c>
      <c r="C1060" s="19" t="s">
        <v>122</v>
      </c>
      <c r="D1060" s="22" t="s">
        <v>1039</v>
      </c>
      <c r="E1060" s="43" t="n">
        <v>45597</v>
      </c>
      <c r="F1060" s="24" t="n">
        <v>1</v>
      </c>
    </row>
    <row r="1061" customFormat="false" ht="14.15" hidden="false" customHeight="false" outlineLevel="0" collapsed="false">
      <c r="A1061" s="19" t="n">
        <v>1059</v>
      </c>
      <c r="B1061" s="19" t="s">
        <v>326</v>
      </c>
      <c r="C1061" s="19" t="s">
        <v>47</v>
      </c>
      <c r="D1061" s="22" t="s">
        <v>1039</v>
      </c>
      <c r="E1061" s="43" t="n">
        <v>45599</v>
      </c>
      <c r="F1061" s="24" t="n">
        <v>7</v>
      </c>
    </row>
    <row r="1062" customFormat="false" ht="14.15" hidden="false" customHeight="false" outlineLevel="0" collapsed="false">
      <c r="A1062" s="19" t="n">
        <v>1060</v>
      </c>
      <c r="B1062" s="19" t="s">
        <v>310</v>
      </c>
      <c r="C1062" s="19" t="s">
        <v>326</v>
      </c>
      <c r="D1062" s="22" t="s">
        <v>1039</v>
      </c>
      <c r="E1062" s="43" t="n">
        <v>45599</v>
      </c>
      <c r="F1062" s="24" t="n">
        <v>1</v>
      </c>
    </row>
    <row r="1063" customFormat="false" ht="14.15" hidden="false" customHeight="false" outlineLevel="0" collapsed="false">
      <c r="A1063" s="19" t="n">
        <v>1061</v>
      </c>
      <c r="B1063" s="19" t="s">
        <v>550</v>
      </c>
      <c r="C1063" s="19" t="s">
        <v>431</v>
      </c>
      <c r="D1063" s="22" t="s">
        <v>1039</v>
      </c>
      <c r="E1063" s="43" t="n">
        <v>45598</v>
      </c>
      <c r="F1063" s="24" t="n">
        <v>0</v>
      </c>
    </row>
    <row r="1064" customFormat="false" ht="14.15" hidden="false" customHeight="false" outlineLevel="0" collapsed="false">
      <c r="A1064" s="19" t="n">
        <v>1062</v>
      </c>
      <c r="B1064" s="19" t="s">
        <v>310</v>
      </c>
      <c r="C1064" s="19" t="s">
        <v>550</v>
      </c>
      <c r="D1064" s="22" t="s">
        <v>1039</v>
      </c>
      <c r="E1064" s="43" t="n">
        <v>45598</v>
      </c>
      <c r="F1064" s="24" t="n">
        <v>1</v>
      </c>
      <c r="G1064" s="19" t="s">
        <v>1038</v>
      </c>
    </row>
    <row r="1065" customFormat="false" ht="14.15" hidden="false" customHeight="false" outlineLevel="0" collapsed="false">
      <c r="A1065" s="19" t="n">
        <v>1063</v>
      </c>
      <c r="B1065" s="19" t="s">
        <v>88</v>
      </c>
      <c r="C1065" s="19" t="s">
        <v>952</v>
      </c>
      <c r="D1065" s="24" t="s">
        <v>1003</v>
      </c>
      <c r="E1065" s="43" t="n">
        <v>45602</v>
      </c>
      <c r="F1065" s="24" t="n">
        <v>10</v>
      </c>
    </row>
    <row r="1066" customFormat="false" ht="14.15" hidden="false" customHeight="false" outlineLevel="0" collapsed="false">
      <c r="A1066" s="19" t="n">
        <v>1064</v>
      </c>
      <c r="B1066" s="19" t="s">
        <v>26</v>
      </c>
      <c r="C1066" s="19" t="s">
        <v>321</v>
      </c>
      <c r="D1066" s="22" t="s">
        <v>1039</v>
      </c>
      <c r="E1066" s="43" t="n">
        <v>45597</v>
      </c>
      <c r="F1066" s="24" t="n">
        <v>5</v>
      </c>
    </row>
    <row r="1067" customFormat="false" ht="14.15" hidden="false" customHeight="false" outlineLevel="0" collapsed="false">
      <c r="A1067" s="19" t="n">
        <v>1065</v>
      </c>
      <c r="B1067" s="19" t="s">
        <v>310</v>
      </c>
      <c r="C1067" s="19" t="s">
        <v>26</v>
      </c>
      <c r="D1067" s="22" t="s">
        <v>1039</v>
      </c>
      <c r="E1067" s="43" t="n">
        <v>45597</v>
      </c>
      <c r="F1067" s="24" t="n">
        <v>1</v>
      </c>
    </row>
    <row r="1068" customFormat="false" ht="14.15" hidden="false" customHeight="false" outlineLevel="0" collapsed="false">
      <c r="A1068" s="19" t="n">
        <v>1066</v>
      </c>
      <c r="B1068" s="19" t="s">
        <v>288</v>
      </c>
      <c r="C1068" s="19" t="s">
        <v>11</v>
      </c>
      <c r="D1068" s="22" t="s">
        <v>1039</v>
      </c>
      <c r="E1068" s="43" t="n">
        <v>45598</v>
      </c>
      <c r="F1068" s="24" t="n">
        <v>-20</v>
      </c>
    </row>
    <row r="1069" customFormat="false" ht="14.15" hidden="false" customHeight="false" outlineLevel="0" collapsed="false">
      <c r="A1069" s="19" t="n">
        <v>1067</v>
      </c>
      <c r="B1069" s="19" t="s">
        <v>450</v>
      </c>
      <c r="C1069" s="19" t="s">
        <v>922</v>
      </c>
      <c r="D1069" s="22" t="s">
        <v>1039</v>
      </c>
      <c r="E1069" s="43" t="n">
        <v>45599</v>
      </c>
      <c r="F1069" s="24" t="n">
        <v>1</v>
      </c>
    </row>
    <row r="1070" customFormat="false" ht="14.15" hidden="false" customHeight="false" outlineLevel="0" collapsed="false">
      <c r="A1070" s="19" t="n">
        <v>1068</v>
      </c>
      <c r="B1070" s="19" t="s">
        <v>450</v>
      </c>
      <c r="C1070" s="19" t="s">
        <v>953</v>
      </c>
      <c r="D1070" s="24" t="s">
        <v>1049</v>
      </c>
      <c r="E1070" s="43" t="n">
        <v>45605</v>
      </c>
      <c r="F1070" s="24" t="n">
        <v>-15</v>
      </c>
    </row>
    <row r="1071" customFormat="false" ht="14.15" hidden="false" customHeight="false" outlineLevel="0" collapsed="false">
      <c r="A1071" s="19" t="n">
        <v>1069</v>
      </c>
      <c r="B1071" s="19" t="s">
        <v>796</v>
      </c>
      <c r="C1071" s="19" t="s">
        <v>389</v>
      </c>
      <c r="D1071" s="22" t="s">
        <v>1039</v>
      </c>
      <c r="E1071" s="43" t="n">
        <v>45601</v>
      </c>
      <c r="F1071" s="24" t="n">
        <v>10</v>
      </c>
    </row>
    <row r="1072" customFormat="false" ht="14.15" hidden="false" customHeight="false" outlineLevel="0" collapsed="false">
      <c r="A1072" s="19" t="n">
        <v>1070</v>
      </c>
      <c r="B1072" s="19" t="s">
        <v>310</v>
      </c>
      <c r="C1072" s="19" t="s">
        <v>796</v>
      </c>
      <c r="D1072" s="22" t="s">
        <v>1039</v>
      </c>
      <c r="E1072" s="43" t="n">
        <v>45601</v>
      </c>
      <c r="F1072" s="24" t="n">
        <v>1</v>
      </c>
    </row>
    <row r="1073" customFormat="false" ht="14.15" hidden="false" customHeight="false" outlineLevel="0" collapsed="false">
      <c r="A1073" s="19" t="n">
        <v>1071</v>
      </c>
      <c r="B1073" s="19" t="s">
        <v>796</v>
      </c>
      <c r="C1073" s="19" t="s">
        <v>61</v>
      </c>
      <c r="D1073" s="22" t="s">
        <v>1039</v>
      </c>
      <c r="E1073" s="43" t="n">
        <v>45601</v>
      </c>
      <c r="F1073" s="24" t="n">
        <v>10</v>
      </c>
    </row>
    <row r="1074" customFormat="false" ht="26.85" hidden="false" customHeight="false" outlineLevel="0" collapsed="false">
      <c r="A1074" s="19" t="n">
        <v>1072</v>
      </c>
      <c r="B1074" s="19" t="s">
        <v>796</v>
      </c>
      <c r="C1074" s="57" t="s">
        <v>524</v>
      </c>
      <c r="D1074" s="22" t="s">
        <v>1039</v>
      </c>
      <c r="E1074" s="43" t="n">
        <v>45601</v>
      </c>
      <c r="F1074" s="24" t="n">
        <v>10</v>
      </c>
    </row>
    <row r="1075" customFormat="false" ht="17.25" hidden="false" customHeight="true" outlineLevel="0" collapsed="false">
      <c r="A1075" s="19" t="n">
        <v>1073</v>
      </c>
      <c r="B1075" s="19" t="s">
        <v>310</v>
      </c>
      <c r="C1075" s="19" t="s">
        <v>796</v>
      </c>
      <c r="D1075" s="22" t="s">
        <v>1039</v>
      </c>
      <c r="E1075" s="43" t="n">
        <v>45601</v>
      </c>
      <c r="F1075" s="24" t="n">
        <v>1</v>
      </c>
    </row>
    <row r="1076" customFormat="false" ht="18" hidden="false" customHeight="true" outlineLevel="0" collapsed="false">
      <c r="A1076" s="19" t="n">
        <v>1074</v>
      </c>
      <c r="B1076" s="19" t="s">
        <v>417</v>
      </c>
      <c r="C1076" s="19" t="s">
        <v>266</v>
      </c>
      <c r="D1076" s="22" t="s">
        <v>1039</v>
      </c>
      <c r="E1076" s="43" t="n">
        <v>45605</v>
      </c>
      <c r="F1076" s="24" t="n">
        <v>1</v>
      </c>
    </row>
    <row r="1077" customFormat="false" ht="14.15" hidden="false" customHeight="false" outlineLevel="0" collapsed="false">
      <c r="A1077" s="19" t="n">
        <v>1075</v>
      </c>
      <c r="B1077" s="19" t="s">
        <v>417</v>
      </c>
      <c r="C1077" s="19" t="s">
        <v>905</v>
      </c>
      <c r="D1077" s="22" t="s">
        <v>1039</v>
      </c>
      <c r="E1077" s="43" t="n">
        <v>45605</v>
      </c>
      <c r="F1077" s="24" t="n">
        <v>3</v>
      </c>
    </row>
    <row r="1078" customFormat="false" ht="14.15" hidden="false" customHeight="false" outlineLevel="0" collapsed="false">
      <c r="A1078" s="19" t="n">
        <v>1076</v>
      </c>
      <c r="B1078" s="19" t="s">
        <v>450</v>
      </c>
      <c r="C1078" s="19" t="s">
        <v>417</v>
      </c>
      <c r="D1078" s="22" t="s">
        <v>1039</v>
      </c>
      <c r="E1078" s="43" t="n">
        <v>45605</v>
      </c>
      <c r="F1078" s="24" t="n">
        <v>1</v>
      </c>
    </row>
    <row r="1079" customFormat="false" ht="14.15" hidden="false" customHeight="false" outlineLevel="0" collapsed="false">
      <c r="A1079" s="19" t="n">
        <v>1077</v>
      </c>
      <c r="B1079" s="19" t="s">
        <v>374</v>
      </c>
      <c r="C1079" s="19" t="s">
        <v>122</v>
      </c>
      <c r="D1079" s="22" t="s">
        <v>1039</v>
      </c>
      <c r="E1079" s="43" t="n">
        <v>45605</v>
      </c>
      <c r="F1079" s="24" t="n">
        <v>5</v>
      </c>
    </row>
    <row r="1080" customFormat="false" ht="14.15" hidden="false" customHeight="false" outlineLevel="0" collapsed="false">
      <c r="A1080" s="19" t="n">
        <v>1078</v>
      </c>
      <c r="B1080" s="19" t="s">
        <v>374</v>
      </c>
      <c r="C1080" s="19" t="s">
        <v>790</v>
      </c>
      <c r="D1080" s="22" t="s">
        <v>1039</v>
      </c>
      <c r="E1080" s="43" t="n">
        <v>45605</v>
      </c>
      <c r="F1080" s="24" t="n">
        <v>5</v>
      </c>
    </row>
    <row r="1081" customFormat="false" ht="14.15" hidden="false" customHeight="false" outlineLevel="0" collapsed="false">
      <c r="A1081" s="19" t="n">
        <v>1079</v>
      </c>
      <c r="B1081" s="19" t="s">
        <v>374</v>
      </c>
      <c r="C1081" s="19" t="s">
        <v>310</v>
      </c>
      <c r="D1081" s="22" t="s">
        <v>1039</v>
      </c>
      <c r="E1081" s="43" t="n">
        <v>45605</v>
      </c>
      <c r="F1081" s="24" t="n">
        <v>3</v>
      </c>
    </row>
    <row r="1082" customFormat="false" ht="14.15" hidden="false" customHeight="false" outlineLevel="0" collapsed="false">
      <c r="A1082" s="19" t="n">
        <v>1080</v>
      </c>
      <c r="B1082" s="19" t="s">
        <v>374</v>
      </c>
      <c r="C1082" s="19" t="s">
        <v>412</v>
      </c>
      <c r="D1082" s="22" t="s">
        <v>1039</v>
      </c>
      <c r="E1082" s="43" t="n">
        <v>45605</v>
      </c>
      <c r="F1082" s="24" t="n">
        <v>3</v>
      </c>
    </row>
    <row r="1083" customFormat="false" ht="14.15" hidden="false" customHeight="false" outlineLevel="0" collapsed="false">
      <c r="A1083" s="19" t="n">
        <v>1081</v>
      </c>
      <c r="B1083" s="19" t="s">
        <v>450</v>
      </c>
      <c r="C1083" s="19" t="s">
        <v>374</v>
      </c>
      <c r="D1083" s="22" t="s">
        <v>1039</v>
      </c>
      <c r="E1083" s="43" t="n">
        <v>45605</v>
      </c>
      <c r="F1083" s="24" t="n">
        <v>1</v>
      </c>
    </row>
    <row r="1084" customFormat="false" ht="26.85" hidden="false" customHeight="false" outlineLevel="0" collapsed="false">
      <c r="A1084" s="19" t="n">
        <v>1082</v>
      </c>
      <c r="B1084" s="19" t="s">
        <v>875</v>
      </c>
      <c r="C1084" s="75" t="s">
        <v>524</v>
      </c>
      <c r="D1084" s="22" t="s">
        <v>1039</v>
      </c>
      <c r="E1084" s="25" t="n">
        <v>45606</v>
      </c>
      <c r="F1084" s="24" t="n">
        <v>5</v>
      </c>
    </row>
    <row r="1085" customFormat="false" ht="15" hidden="false" customHeight="true" outlineLevel="0" collapsed="false">
      <c r="A1085" s="19" t="n">
        <v>1083</v>
      </c>
      <c r="B1085" s="19" t="s">
        <v>875</v>
      </c>
      <c r="C1085" s="19" t="s">
        <v>61</v>
      </c>
      <c r="D1085" s="22" t="s">
        <v>1039</v>
      </c>
      <c r="E1085" s="25" t="n">
        <v>45606</v>
      </c>
      <c r="F1085" s="24" t="n">
        <v>10</v>
      </c>
    </row>
    <row r="1086" customFormat="false" ht="14.15" hidden="false" customHeight="false" outlineLevel="0" collapsed="false">
      <c r="A1086" s="19" t="n">
        <v>1084</v>
      </c>
      <c r="B1086" s="19" t="s">
        <v>310</v>
      </c>
      <c r="C1086" s="19" t="s">
        <v>875</v>
      </c>
      <c r="D1086" s="22" t="s">
        <v>1039</v>
      </c>
      <c r="E1086" s="25" t="n">
        <v>45606</v>
      </c>
      <c r="F1086" s="24" t="n">
        <v>1</v>
      </c>
    </row>
    <row r="1087" customFormat="false" ht="14.15" hidden="false" customHeight="false" outlineLevel="0" collapsed="false">
      <c r="A1087" s="19" t="n">
        <v>1085</v>
      </c>
      <c r="B1087" s="19" t="s">
        <v>310</v>
      </c>
      <c r="C1087" s="19" t="s">
        <v>1056</v>
      </c>
      <c r="D1087" s="24" t="s">
        <v>1057</v>
      </c>
      <c r="E1087" s="25" t="n">
        <v>45610</v>
      </c>
      <c r="F1087" s="24" t="n">
        <v>-15</v>
      </c>
    </row>
    <row r="1088" customFormat="false" ht="14.15" hidden="false" customHeight="false" outlineLevel="0" collapsed="false">
      <c r="A1088" s="19" t="n">
        <v>1086</v>
      </c>
      <c r="B1088" s="19" t="s">
        <v>310</v>
      </c>
      <c r="C1088" s="19" t="s">
        <v>107</v>
      </c>
      <c r="D1088" s="22" t="s">
        <v>1039</v>
      </c>
      <c r="E1088" s="25" t="n">
        <v>45607</v>
      </c>
      <c r="F1088" s="24" t="n">
        <v>1</v>
      </c>
    </row>
    <row r="1089" customFormat="false" ht="14.15" hidden="false" customHeight="false" outlineLevel="0" collapsed="false">
      <c r="A1089" s="19" t="n">
        <v>1087</v>
      </c>
      <c r="B1089" s="19" t="s">
        <v>310</v>
      </c>
      <c r="C1089" s="19" t="s">
        <v>944</v>
      </c>
      <c r="D1089" s="22" t="s">
        <v>1039</v>
      </c>
      <c r="E1089" s="25" t="n">
        <v>45614</v>
      </c>
      <c r="F1089" s="24" t="n">
        <v>-5</v>
      </c>
    </row>
    <row r="1090" customFormat="false" ht="14.15" hidden="false" customHeight="false" outlineLevel="0" collapsed="false">
      <c r="A1090" s="19" t="n">
        <v>1088</v>
      </c>
      <c r="B1090" s="19" t="s">
        <v>450</v>
      </c>
      <c r="C1090" s="19" t="s">
        <v>310</v>
      </c>
      <c r="D1090" s="22" t="s">
        <v>1039</v>
      </c>
      <c r="E1090" s="25" t="n">
        <v>45614</v>
      </c>
      <c r="F1090" s="24" t="n">
        <v>1</v>
      </c>
    </row>
    <row r="1091" customFormat="false" ht="14.15" hidden="false" customHeight="false" outlineLevel="0" collapsed="false">
      <c r="A1091" s="19" t="n">
        <v>1089</v>
      </c>
      <c r="B1091" s="19" t="s">
        <v>741</v>
      </c>
      <c r="C1091" s="19" t="s">
        <v>109</v>
      </c>
      <c r="D1091" s="22" t="s">
        <v>1039</v>
      </c>
      <c r="E1091" s="25" t="n">
        <v>45612</v>
      </c>
      <c r="F1091" s="24" t="n">
        <v>8</v>
      </c>
    </row>
    <row r="1092" customFormat="false" ht="14.15" hidden="false" customHeight="false" outlineLevel="0" collapsed="false">
      <c r="A1092" s="19" t="n">
        <v>1090</v>
      </c>
      <c r="B1092" s="19" t="s">
        <v>741</v>
      </c>
      <c r="C1092" s="19" t="s">
        <v>417</v>
      </c>
      <c r="D1092" s="22" t="s">
        <v>1039</v>
      </c>
      <c r="E1092" s="25" t="n">
        <v>45612</v>
      </c>
      <c r="F1092" s="24" t="n">
        <v>4</v>
      </c>
    </row>
    <row r="1093" customFormat="false" ht="14.15" hidden="false" customHeight="false" outlineLevel="0" collapsed="false">
      <c r="A1093" s="19" t="n">
        <v>1091</v>
      </c>
      <c r="B1093" s="19" t="s">
        <v>450</v>
      </c>
      <c r="C1093" s="19" t="s">
        <v>741</v>
      </c>
      <c r="D1093" s="22" t="s">
        <v>1039</v>
      </c>
      <c r="E1093" s="25" t="n">
        <v>45612</v>
      </c>
      <c r="F1093" s="24" t="n">
        <v>1</v>
      </c>
    </row>
    <row r="1094" customFormat="false" ht="14.15" hidden="false" customHeight="false" outlineLevel="0" collapsed="false">
      <c r="A1094" s="19" t="n">
        <v>1092</v>
      </c>
      <c r="B1094" s="19" t="s">
        <v>107</v>
      </c>
      <c r="C1094" s="19" t="s">
        <v>855</v>
      </c>
      <c r="D1094" s="22" t="s">
        <v>1039</v>
      </c>
      <c r="E1094" s="25" t="n">
        <v>45612</v>
      </c>
      <c r="F1094" s="24" t="n">
        <v>10</v>
      </c>
    </row>
    <row r="1095" customFormat="false" ht="14.15" hidden="false" customHeight="false" outlineLevel="0" collapsed="false">
      <c r="A1095" s="19" t="n">
        <v>1093</v>
      </c>
      <c r="B1095" s="19" t="s">
        <v>107</v>
      </c>
      <c r="C1095" s="19" t="s">
        <v>319</v>
      </c>
      <c r="D1095" s="22" t="s">
        <v>1039</v>
      </c>
      <c r="E1095" s="25" t="n">
        <v>45612</v>
      </c>
      <c r="F1095" s="24" t="n">
        <v>10</v>
      </c>
    </row>
    <row r="1096" customFormat="false" ht="14.15" hidden="false" customHeight="false" outlineLevel="0" collapsed="false">
      <c r="A1096" s="19" t="n">
        <v>1094</v>
      </c>
      <c r="B1096" s="19" t="s">
        <v>107</v>
      </c>
      <c r="C1096" s="19" t="s">
        <v>767</v>
      </c>
      <c r="D1096" s="22" t="s">
        <v>1039</v>
      </c>
      <c r="E1096" s="25" t="n">
        <v>45612</v>
      </c>
      <c r="F1096" s="24" t="n">
        <v>10</v>
      </c>
    </row>
    <row r="1097" customFormat="false" ht="14.15" hidden="false" customHeight="false" outlineLevel="0" collapsed="false">
      <c r="A1097" s="19" t="n">
        <v>1095</v>
      </c>
      <c r="B1097" s="66" t="s">
        <v>107</v>
      </c>
      <c r="C1097" s="19" t="s">
        <v>228</v>
      </c>
      <c r="D1097" s="22" t="s">
        <v>1039</v>
      </c>
      <c r="E1097" s="25" t="n">
        <v>45612</v>
      </c>
      <c r="F1097" s="24" t="n">
        <v>0</v>
      </c>
    </row>
    <row r="1098" customFormat="false" ht="14.15" hidden="false" customHeight="false" outlineLevel="0" collapsed="false">
      <c r="A1098" s="19" t="n">
        <v>1096</v>
      </c>
      <c r="B1098" s="66" t="s">
        <v>107</v>
      </c>
      <c r="C1098" s="19" t="s">
        <v>109</v>
      </c>
      <c r="D1098" s="22" t="s">
        <v>1039</v>
      </c>
      <c r="E1098" s="25" t="n">
        <v>45612</v>
      </c>
      <c r="F1098" s="24" t="n">
        <v>10</v>
      </c>
      <c r="G1098" s="19" t="s">
        <v>1038</v>
      </c>
    </row>
    <row r="1099" customFormat="false" ht="14.15" hidden="false" customHeight="false" outlineLevel="0" collapsed="false">
      <c r="A1099" s="19" t="n">
        <v>1097</v>
      </c>
      <c r="B1099" s="66" t="s">
        <v>107</v>
      </c>
      <c r="C1099" s="19" t="s">
        <v>434</v>
      </c>
      <c r="D1099" s="22" t="s">
        <v>1039</v>
      </c>
      <c r="E1099" s="25" t="n">
        <v>45612</v>
      </c>
      <c r="F1099" s="24" t="n">
        <v>10</v>
      </c>
    </row>
    <row r="1100" customFormat="false" ht="14.15" hidden="false" customHeight="false" outlineLevel="0" collapsed="false">
      <c r="A1100" s="19" t="n">
        <v>1098</v>
      </c>
      <c r="B1100" s="66" t="s">
        <v>107</v>
      </c>
      <c r="C1100" s="19" t="s">
        <v>546</v>
      </c>
      <c r="D1100" s="22" t="s">
        <v>1039</v>
      </c>
      <c r="E1100" s="25" t="n">
        <v>45612</v>
      </c>
      <c r="F1100" s="24" t="n">
        <v>10</v>
      </c>
    </row>
    <row r="1101" customFormat="false" ht="14.15" hidden="false" customHeight="false" outlineLevel="0" collapsed="false">
      <c r="A1101" s="19" t="n">
        <v>1099</v>
      </c>
      <c r="B1101" s="65" t="s">
        <v>107</v>
      </c>
      <c r="C1101" s="19" t="s">
        <v>741</v>
      </c>
      <c r="D1101" s="22" t="s">
        <v>1039</v>
      </c>
      <c r="E1101" s="25" t="n">
        <v>45612</v>
      </c>
      <c r="F1101" s="24" t="n">
        <v>10</v>
      </c>
    </row>
    <row r="1102" customFormat="false" ht="14.15" hidden="false" customHeight="false" outlineLevel="0" collapsed="false">
      <c r="A1102" s="19" t="n">
        <v>1100</v>
      </c>
      <c r="B1102" s="19" t="s">
        <v>107</v>
      </c>
      <c r="C1102" s="19" t="s">
        <v>868</v>
      </c>
      <c r="D1102" s="22" t="s">
        <v>1039</v>
      </c>
      <c r="E1102" s="25" t="n">
        <v>45612</v>
      </c>
      <c r="F1102" s="24" t="n">
        <v>101</v>
      </c>
    </row>
    <row r="1103" customFormat="false" ht="14.15" hidden="false" customHeight="false" outlineLevel="0" collapsed="false">
      <c r="A1103" s="19" t="n">
        <v>1101</v>
      </c>
      <c r="B1103" s="19" t="s">
        <v>107</v>
      </c>
      <c r="C1103" s="19" t="s">
        <v>412</v>
      </c>
      <c r="D1103" s="22" t="s">
        <v>1039</v>
      </c>
      <c r="E1103" s="25" t="n">
        <v>45612</v>
      </c>
      <c r="F1103" s="24" t="n">
        <v>10</v>
      </c>
    </row>
    <row r="1104" customFormat="false" ht="14.15" hidden="false" customHeight="false" outlineLevel="0" collapsed="false">
      <c r="A1104" s="19" t="n">
        <v>1102</v>
      </c>
      <c r="B1104" s="19" t="s">
        <v>310</v>
      </c>
      <c r="C1104" s="19" t="s">
        <v>107</v>
      </c>
      <c r="D1104" s="22" t="s">
        <v>1039</v>
      </c>
      <c r="E1104" s="25" t="n">
        <v>45612</v>
      </c>
      <c r="F1104" s="24" t="n">
        <v>1</v>
      </c>
    </row>
    <row r="1105" customFormat="false" ht="14.15" hidden="false" customHeight="false" outlineLevel="0" collapsed="false">
      <c r="A1105" s="19" t="n">
        <v>1103</v>
      </c>
      <c r="B1105" s="19" t="s">
        <v>109</v>
      </c>
      <c r="C1105" s="19" t="s">
        <v>741</v>
      </c>
      <c r="D1105" s="22" t="s">
        <v>1039</v>
      </c>
      <c r="E1105" s="25" t="n">
        <v>45613</v>
      </c>
      <c r="F1105" s="24" t="n">
        <v>5</v>
      </c>
    </row>
    <row r="1106" customFormat="false" ht="14.15" hidden="false" customHeight="false" outlineLevel="0" collapsed="false">
      <c r="A1106" s="19" t="n">
        <v>1104</v>
      </c>
      <c r="B1106" s="19" t="s">
        <v>109</v>
      </c>
      <c r="C1106" s="19" t="s">
        <v>868</v>
      </c>
      <c r="D1106" s="22" t="s">
        <v>1039</v>
      </c>
      <c r="E1106" s="25" t="n">
        <v>45613</v>
      </c>
      <c r="F1106" s="24" t="n">
        <v>-5</v>
      </c>
    </row>
    <row r="1107" customFormat="false" ht="14.15" hidden="false" customHeight="false" outlineLevel="0" collapsed="false">
      <c r="A1107" s="19" t="n">
        <v>1105</v>
      </c>
      <c r="B1107" s="19" t="s">
        <v>450</v>
      </c>
      <c r="C1107" s="19" t="s">
        <v>967</v>
      </c>
      <c r="D1107" s="24" t="s">
        <v>1058</v>
      </c>
      <c r="E1107" s="25" t="n">
        <v>45618</v>
      </c>
      <c r="F1107" s="24" t="n">
        <v>-15</v>
      </c>
    </row>
    <row r="1108" customFormat="false" ht="13.8" hidden="false" customHeight="false" outlineLevel="0" collapsed="false">
      <c r="A1108" s="19"/>
      <c r="B1108" s="19"/>
      <c r="C1108" s="19"/>
      <c r="D1108" s="24"/>
      <c r="E1108" s="24"/>
      <c r="F1108" s="24"/>
    </row>
    <row r="1109" customFormat="false" ht="13.8" hidden="false" customHeight="false" outlineLevel="0" collapsed="false">
      <c r="A1109" s="19"/>
      <c r="B1109" s="19"/>
      <c r="C1109" s="19"/>
      <c r="D1109" s="24"/>
      <c r="E1109" s="24"/>
      <c r="F1109" s="24"/>
    </row>
    <row r="1110" customFormat="false" ht="13.8" hidden="false" customHeight="false" outlineLevel="0" collapsed="false">
      <c r="A1110" s="19"/>
      <c r="B1110" s="19"/>
      <c r="C1110" s="19"/>
      <c r="D1110" s="24"/>
      <c r="E1110" s="24"/>
      <c r="F1110" s="24"/>
    </row>
    <row r="1111" customFormat="false" ht="13.8" hidden="false" customHeight="false" outlineLevel="0" collapsed="false">
      <c r="A1111" s="19"/>
      <c r="B1111" s="19"/>
      <c r="C1111" s="19"/>
      <c r="D1111" s="24"/>
      <c r="E1111" s="24"/>
      <c r="F1111" s="24"/>
    </row>
    <row r="1112" customFormat="false" ht="13.8" hidden="false" customHeight="false" outlineLevel="0" collapsed="false">
      <c r="A1112" s="19"/>
      <c r="B1112" s="19"/>
      <c r="C1112" s="19"/>
      <c r="D1112" s="24"/>
      <c r="E1112" s="24"/>
      <c r="F1112" s="24"/>
    </row>
    <row r="1113" customFormat="false" ht="13.8" hidden="false" customHeight="false" outlineLevel="0" collapsed="false">
      <c r="A1113" s="19"/>
      <c r="B1113" s="19"/>
      <c r="C1113" s="19"/>
      <c r="D1113" s="24"/>
      <c r="E1113" s="24"/>
      <c r="F1113" s="24"/>
    </row>
    <row r="1114" customFormat="false" ht="13.8" hidden="false" customHeight="false" outlineLevel="0" collapsed="false">
      <c r="A1114" s="19"/>
      <c r="B1114" s="19"/>
      <c r="C1114" s="19"/>
      <c r="D1114" s="24"/>
      <c r="E1114" s="24"/>
      <c r="F1114" s="24"/>
    </row>
    <row r="1115" customFormat="false" ht="13.8" hidden="false" customHeight="false" outlineLevel="0" collapsed="false">
      <c r="A1115" s="19"/>
      <c r="B1115" s="19"/>
      <c r="C1115" s="19"/>
      <c r="D1115" s="24"/>
      <c r="E1115" s="24"/>
      <c r="F1115" s="24"/>
    </row>
    <row r="1116" customFormat="false" ht="13.8" hidden="false" customHeight="false" outlineLevel="0" collapsed="false">
      <c r="A1116" s="19"/>
      <c r="B1116" s="19"/>
      <c r="C1116" s="19"/>
      <c r="D1116" s="24"/>
      <c r="E1116" s="24"/>
      <c r="F1116" s="24"/>
    </row>
    <row r="1117" customFormat="false" ht="13.8" hidden="false" customHeight="false" outlineLevel="0" collapsed="false">
      <c r="A1117" s="19"/>
      <c r="B1117" s="19"/>
      <c r="C1117" s="19"/>
      <c r="D1117" s="24"/>
      <c r="E1117" s="24"/>
      <c r="F1117" s="24"/>
    </row>
    <row r="1118" customFormat="false" ht="13.8" hidden="false" customHeight="false" outlineLevel="0" collapsed="false">
      <c r="A1118" s="19"/>
      <c r="B1118" s="19"/>
      <c r="C1118" s="19"/>
      <c r="D1118" s="24"/>
      <c r="E1118" s="24"/>
      <c r="F1118" s="24"/>
    </row>
    <row r="1119" customFormat="false" ht="13.8" hidden="false" customHeight="false" outlineLevel="0" collapsed="false">
      <c r="A1119" s="19"/>
      <c r="B1119" s="19"/>
      <c r="C1119" s="19"/>
      <c r="D1119" s="24"/>
      <c r="E1119" s="24"/>
      <c r="F1119" s="24"/>
    </row>
    <row r="1120" customFormat="false" ht="13.8" hidden="false" customHeight="false" outlineLevel="0" collapsed="false">
      <c r="A1120" s="19"/>
      <c r="B1120" s="19"/>
      <c r="C1120" s="19"/>
      <c r="D1120" s="24"/>
      <c r="E1120" s="24"/>
      <c r="F1120" s="24"/>
    </row>
    <row r="1121" customFormat="false" ht="13.8" hidden="false" customHeight="false" outlineLevel="0" collapsed="false">
      <c r="A1121" s="19"/>
      <c r="B1121" s="19"/>
      <c r="C1121" s="19"/>
      <c r="D1121" s="24"/>
      <c r="E1121" s="24"/>
      <c r="F1121" s="24"/>
    </row>
    <row r="1122" customFormat="false" ht="13.8" hidden="false" customHeight="false" outlineLevel="0" collapsed="false">
      <c r="A1122" s="19"/>
      <c r="B1122" s="19"/>
      <c r="C1122" s="19"/>
      <c r="D1122" s="24"/>
      <c r="E1122" s="24"/>
      <c r="F1122" s="24"/>
    </row>
    <row r="1123" customFormat="false" ht="13.8" hidden="false" customHeight="false" outlineLevel="0" collapsed="false">
      <c r="A1123" s="19"/>
      <c r="B1123" s="19"/>
      <c r="C1123" s="19"/>
      <c r="D1123" s="24"/>
      <c r="E1123" s="24"/>
      <c r="F1123" s="24"/>
    </row>
    <row r="1124" customFormat="false" ht="13.8" hidden="false" customHeight="false" outlineLevel="0" collapsed="false">
      <c r="A1124" s="19"/>
      <c r="B1124" s="19"/>
      <c r="C1124" s="19"/>
      <c r="D1124" s="24"/>
      <c r="E1124" s="24"/>
      <c r="F1124" s="24"/>
    </row>
    <row r="1125" customFormat="false" ht="13.8" hidden="false" customHeight="false" outlineLevel="0" collapsed="false">
      <c r="A1125" s="19"/>
      <c r="B1125" s="19"/>
      <c r="C1125" s="19"/>
      <c r="D1125" s="24"/>
      <c r="E1125" s="24"/>
      <c r="F1125" s="24"/>
    </row>
    <row r="1126" customFormat="false" ht="13.8" hidden="false" customHeight="false" outlineLevel="0" collapsed="false">
      <c r="A1126" s="19"/>
      <c r="B1126" s="19"/>
      <c r="C1126" s="19"/>
      <c r="D1126" s="24"/>
      <c r="E1126" s="24"/>
      <c r="F1126" s="24"/>
    </row>
    <row r="1127" customFormat="false" ht="13.8" hidden="false" customHeight="false" outlineLevel="0" collapsed="false">
      <c r="A1127" s="19"/>
      <c r="B1127" s="19"/>
      <c r="C1127" s="19"/>
      <c r="D1127" s="24"/>
      <c r="E1127" s="24"/>
      <c r="F1127" s="24"/>
    </row>
    <row r="1128" customFormat="false" ht="13.8" hidden="false" customHeight="false" outlineLevel="0" collapsed="false">
      <c r="A1128" s="19"/>
      <c r="B1128" s="19"/>
      <c r="C1128" s="19"/>
      <c r="D1128" s="24"/>
      <c r="E1128" s="24"/>
      <c r="F1128" s="24"/>
    </row>
    <row r="1129" customFormat="false" ht="13.8" hidden="false" customHeight="false" outlineLevel="0" collapsed="false">
      <c r="A1129" s="19"/>
      <c r="B1129" s="19"/>
      <c r="C1129" s="19"/>
      <c r="D1129" s="24"/>
      <c r="E1129" s="24"/>
      <c r="F1129" s="24"/>
    </row>
    <row r="1130" customFormat="false" ht="13.8" hidden="false" customHeight="false" outlineLevel="0" collapsed="false">
      <c r="A1130" s="19"/>
      <c r="B1130" s="19"/>
      <c r="C1130" s="19"/>
      <c r="D1130" s="24"/>
      <c r="E1130" s="24"/>
      <c r="F1130" s="24"/>
    </row>
    <row r="1131" customFormat="false" ht="13.8" hidden="false" customHeight="false" outlineLevel="0" collapsed="false">
      <c r="A1131" s="19"/>
      <c r="B1131" s="19"/>
      <c r="C1131" s="19"/>
      <c r="D1131" s="24"/>
      <c r="E1131" s="24"/>
      <c r="F1131" s="24"/>
    </row>
    <row r="1132" customFormat="false" ht="13.8" hidden="false" customHeight="false" outlineLevel="0" collapsed="false">
      <c r="A1132" s="19"/>
      <c r="B1132" s="19"/>
      <c r="C1132" s="19"/>
      <c r="D1132" s="24"/>
      <c r="E1132" s="24"/>
      <c r="F1132" s="24"/>
    </row>
    <row r="1133" customFormat="false" ht="13.8" hidden="false" customHeight="false" outlineLevel="0" collapsed="false">
      <c r="A1133" s="19"/>
      <c r="B1133" s="19"/>
      <c r="C1133" s="19"/>
      <c r="D1133" s="24"/>
      <c r="E1133" s="24"/>
      <c r="F1133" s="24"/>
    </row>
    <row r="1134" customFormat="false" ht="13.8" hidden="false" customHeight="false" outlineLevel="0" collapsed="false">
      <c r="A1134" s="19"/>
      <c r="B1134" s="19"/>
      <c r="C1134" s="19"/>
      <c r="D1134" s="24"/>
      <c r="E1134" s="24"/>
      <c r="F1134" s="24"/>
    </row>
    <row r="1135" customFormat="false" ht="13.8" hidden="false" customHeight="false" outlineLevel="0" collapsed="false">
      <c r="A1135" s="19"/>
      <c r="B1135" s="19"/>
      <c r="C1135" s="19"/>
      <c r="D1135" s="24"/>
      <c r="E1135" s="24"/>
      <c r="F1135" s="24"/>
    </row>
    <row r="1136" customFormat="false" ht="13.8" hidden="false" customHeight="false" outlineLevel="0" collapsed="false">
      <c r="A1136" s="19"/>
      <c r="B1136" s="19"/>
      <c r="C1136" s="19"/>
      <c r="D1136" s="24"/>
      <c r="E1136" s="24"/>
      <c r="F1136" s="24"/>
    </row>
    <row r="1137" customFormat="false" ht="13.8" hidden="false" customHeight="false" outlineLevel="0" collapsed="false">
      <c r="A1137" s="19"/>
      <c r="B1137" s="19"/>
      <c r="C1137" s="19"/>
      <c r="D1137" s="24"/>
      <c r="E1137" s="24"/>
      <c r="F1137" s="24"/>
    </row>
    <row r="1138" customFormat="false" ht="13.8" hidden="false" customHeight="false" outlineLevel="0" collapsed="false">
      <c r="A1138" s="19"/>
      <c r="B1138" s="19"/>
      <c r="C1138" s="19"/>
      <c r="D1138" s="24"/>
      <c r="E1138" s="24"/>
      <c r="F1138" s="24"/>
    </row>
    <row r="1139" customFormat="false" ht="13.8" hidden="false" customHeight="false" outlineLevel="0" collapsed="false">
      <c r="A1139" s="19"/>
      <c r="B1139" s="19"/>
      <c r="C1139" s="19"/>
      <c r="D1139" s="24"/>
      <c r="E1139" s="24"/>
      <c r="F1139" s="24"/>
    </row>
    <row r="1140" customFormat="false" ht="13.8" hidden="false" customHeight="false" outlineLevel="0" collapsed="false">
      <c r="A1140" s="19"/>
      <c r="B1140" s="19"/>
      <c r="C1140" s="19"/>
      <c r="D1140" s="24"/>
      <c r="E1140" s="24"/>
      <c r="F1140" s="24"/>
    </row>
    <row r="1141" customFormat="false" ht="13.8" hidden="false" customHeight="false" outlineLevel="0" collapsed="false">
      <c r="A1141" s="19"/>
      <c r="B1141" s="19"/>
      <c r="C1141" s="19"/>
      <c r="D1141" s="24"/>
      <c r="E1141" s="24"/>
      <c r="F1141" s="24"/>
    </row>
    <row r="1142" customFormat="false" ht="13.8" hidden="false" customHeight="false" outlineLevel="0" collapsed="false">
      <c r="A1142" s="19"/>
      <c r="B1142" s="19"/>
      <c r="C1142" s="19"/>
      <c r="D1142" s="24"/>
      <c r="E1142" s="24"/>
      <c r="F1142" s="24"/>
    </row>
    <row r="1143" customFormat="false" ht="13.8" hidden="false" customHeight="false" outlineLevel="0" collapsed="false">
      <c r="A1143" s="19"/>
      <c r="B1143" s="19"/>
      <c r="C1143" s="19"/>
      <c r="D1143" s="24"/>
      <c r="E1143" s="24"/>
      <c r="F1143" s="24"/>
    </row>
    <row r="1144" customFormat="false" ht="13.8" hidden="false" customHeight="false" outlineLevel="0" collapsed="false">
      <c r="A1144" s="19"/>
      <c r="B1144" s="19"/>
      <c r="C1144" s="19"/>
      <c r="D1144" s="24"/>
      <c r="E1144" s="24"/>
      <c r="F1144" s="24"/>
    </row>
    <row r="1145" customFormat="false" ht="13.8" hidden="false" customHeight="false" outlineLevel="0" collapsed="false">
      <c r="A1145" s="19"/>
      <c r="B1145" s="19"/>
      <c r="C1145" s="19"/>
      <c r="D1145" s="24"/>
      <c r="E1145" s="24"/>
      <c r="F1145" s="24"/>
    </row>
    <row r="1146" customFormat="false" ht="13.8" hidden="false" customHeight="false" outlineLevel="0" collapsed="false">
      <c r="A1146" s="19"/>
      <c r="B1146" s="19"/>
      <c r="C1146" s="19"/>
      <c r="D1146" s="24"/>
      <c r="E1146" s="24"/>
      <c r="F1146" s="24"/>
    </row>
    <row r="1147" customFormat="false" ht="13.8" hidden="false" customHeight="false" outlineLevel="0" collapsed="false">
      <c r="A1147" s="19"/>
      <c r="B1147" s="19"/>
      <c r="C1147" s="19"/>
      <c r="D1147" s="24"/>
      <c r="E1147" s="24"/>
      <c r="F1147" s="24"/>
    </row>
    <row r="1148" customFormat="false" ht="13.8" hidden="false" customHeight="false" outlineLevel="0" collapsed="false">
      <c r="A1148" s="19"/>
      <c r="B1148" s="19"/>
      <c r="C1148" s="19"/>
      <c r="D1148" s="24"/>
      <c r="E1148" s="24"/>
      <c r="F1148" s="24"/>
    </row>
    <row r="1149" customFormat="false" ht="13.8" hidden="false" customHeight="false" outlineLevel="0" collapsed="false">
      <c r="A1149" s="19"/>
      <c r="B1149" s="19"/>
      <c r="C1149" s="19"/>
      <c r="D1149" s="24"/>
      <c r="E1149" s="24"/>
      <c r="F1149" s="24"/>
    </row>
    <row r="1150" customFormat="false" ht="13.8" hidden="false" customHeight="false" outlineLevel="0" collapsed="false">
      <c r="A1150" s="19"/>
      <c r="B1150" s="19"/>
      <c r="C1150" s="19"/>
      <c r="D1150" s="24"/>
      <c r="E1150" s="24"/>
      <c r="F1150" s="24"/>
    </row>
    <row r="1151" customFormat="false" ht="13.8" hidden="false" customHeight="false" outlineLevel="0" collapsed="false">
      <c r="A1151" s="19"/>
      <c r="B1151" s="19"/>
      <c r="C1151" s="19"/>
      <c r="D1151" s="24"/>
      <c r="E1151" s="24"/>
      <c r="F1151" s="24"/>
    </row>
    <row r="1152" customFormat="false" ht="13.8" hidden="false" customHeight="false" outlineLevel="0" collapsed="false">
      <c r="A1152" s="19"/>
      <c r="B1152" s="19"/>
      <c r="C1152" s="19"/>
      <c r="D1152" s="24"/>
      <c r="E1152" s="24"/>
      <c r="F1152" s="24"/>
    </row>
    <row r="1153" customFormat="false" ht="13.8" hidden="false" customHeight="false" outlineLevel="0" collapsed="false">
      <c r="A1153" s="19"/>
      <c r="B1153" s="19"/>
      <c r="C1153" s="19"/>
      <c r="D1153" s="24"/>
      <c r="E1153" s="24"/>
      <c r="F1153" s="24"/>
    </row>
    <row r="1154" customFormat="false" ht="13.8" hidden="false" customHeight="false" outlineLevel="0" collapsed="false">
      <c r="A1154" s="19"/>
      <c r="B1154" s="19"/>
      <c r="C1154" s="19"/>
      <c r="D1154" s="24"/>
      <c r="E1154" s="24"/>
      <c r="F1154" s="24"/>
    </row>
    <row r="1155" customFormat="false" ht="13.8" hidden="false" customHeight="false" outlineLevel="0" collapsed="false">
      <c r="A1155" s="19"/>
      <c r="B1155" s="19"/>
      <c r="C1155" s="19"/>
      <c r="D1155" s="24"/>
      <c r="E1155" s="24"/>
      <c r="F1155" s="24"/>
    </row>
    <row r="1156" customFormat="false" ht="13.8" hidden="false" customHeight="false" outlineLevel="0" collapsed="false">
      <c r="A1156" s="19"/>
      <c r="B1156" s="19"/>
      <c r="C1156" s="19"/>
      <c r="D1156" s="24"/>
      <c r="E1156" s="24"/>
      <c r="F1156" s="24"/>
    </row>
    <row r="1157" customFormat="false" ht="13.8" hidden="false" customHeight="false" outlineLevel="0" collapsed="false">
      <c r="A1157" s="19"/>
      <c r="B1157" s="19"/>
      <c r="C1157" s="19"/>
      <c r="D1157" s="24"/>
      <c r="E1157" s="24"/>
      <c r="F1157" s="24"/>
    </row>
    <row r="1158" customFormat="false" ht="13.8" hidden="false" customHeight="false" outlineLevel="0" collapsed="false">
      <c r="A1158" s="19"/>
      <c r="B1158" s="19"/>
      <c r="C1158" s="19"/>
      <c r="D1158" s="24"/>
      <c r="E1158" s="24"/>
      <c r="F1158" s="24"/>
    </row>
    <row r="1159" customFormat="false" ht="13.8" hidden="false" customHeight="false" outlineLevel="0" collapsed="false">
      <c r="A1159" s="19"/>
      <c r="B1159" s="19"/>
      <c r="C1159" s="19"/>
      <c r="D1159" s="24"/>
      <c r="E1159" s="24"/>
      <c r="F1159" s="24"/>
    </row>
    <row r="1160" customFormat="false" ht="13.8" hidden="false" customHeight="false" outlineLevel="0" collapsed="false">
      <c r="A1160" s="19"/>
      <c r="B1160" s="19"/>
      <c r="C1160" s="19"/>
      <c r="D1160" s="24"/>
      <c r="E1160" s="24"/>
      <c r="F1160" s="24"/>
    </row>
    <row r="1161" customFormat="false" ht="13.8" hidden="false" customHeight="false" outlineLevel="0" collapsed="false">
      <c r="A1161" s="19"/>
      <c r="B1161" s="19"/>
      <c r="C1161" s="19"/>
      <c r="D1161" s="24"/>
      <c r="E1161" s="24"/>
      <c r="F1161" s="24"/>
    </row>
    <row r="1162" customFormat="false" ht="13.8" hidden="false" customHeight="false" outlineLevel="0" collapsed="false">
      <c r="A1162" s="19"/>
      <c r="B1162" s="19"/>
      <c r="C1162" s="19"/>
      <c r="D1162" s="24"/>
      <c r="E1162" s="24"/>
      <c r="F1162" s="24"/>
    </row>
    <row r="1163" customFormat="false" ht="13.8" hidden="false" customHeight="false" outlineLevel="0" collapsed="false">
      <c r="A1163" s="19"/>
      <c r="B1163" s="19"/>
      <c r="C1163" s="19"/>
      <c r="D1163" s="24"/>
      <c r="E1163" s="24"/>
      <c r="F1163" s="24"/>
    </row>
    <row r="1164" customFormat="false" ht="13.8" hidden="false" customHeight="false" outlineLevel="0" collapsed="false">
      <c r="A1164" s="19"/>
      <c r="B1164" s="19"/>
      <c r="C1164" s="19"/>
      <c r="D1164" s="24"/>
      <c r="E1164" s="24"/>
      <c r="F1164" s="24"/>
    </row>
    <row r="1165" customFormat="false" ht="13.8" hidden="false" customHeight="false" outlineLevel="0" collapsed="false">
      <c r="A1165" s="19"/>
      <c r="B1165" s="19"/>
      <c r="C1165" s="19"/>
      <c r="D1165" s="24"/>
      <c r="E1165" s="24"/>
      <c r="F1165" s="24"/>
    </row>
    <row r="1166" customFormat="false" ht="13.8" hidden="false" customHeight="false" outlineLevel="0" collapsed="false">
      <c r="A1166" s="19"/>
      <c r="B1166" s="19"/>
      <c r="C1166" s="19"/>
      <c r="D1166" s="24"/>
      <c r="E1166" s="24"/>
      <c r="F1166" s="24"/>
    </row>
    <row r="1167" customFormat="false" ht="13.8" hidden="false" customHeight="false" outlineLevel="0" collapsed="false">
      <c r="A1167" s="19"/>
      <c r="B1167" s="19"/>
      <c r="C1167" s="19"/>
      <c r="D1167" s="24"/>
      <c r="E1167" s="24"/>
      <c r="F1167" s="24"/>
    </row>
    <row r="1168" customFormat="false" ht="13.8" hidden="false" customHeight="false" outlineLevel="0" collapsed="false">
      <c r="A1168" s="19"/>
      <c r="B1168" s="19"/>
      <c r="C1168" s="19"/>
      <c r="D1168" s="24"/>
      <c r="E1168" s="24"/>
      <c r="F1168" s="24"/>
    </row>
    <row r="1169" customFormat="false" ht="13.8" hidden="false" customHeight="false" outlineLevel="0" collapsed="false">
      <c r="A1169" s="19"/>
      <c r="B1169" s="19"/>
      <c r="C1169" s="19"/>
      <c r="D1169" s="24"/>
      <c r="E1169" s="24"/>
      <c r="F1169" s="24"/>
    </row>
    <row r="1170" customFormat="false" ht="13.8" hidden="false" customHeight="false" outlineLevel="0" collapsed="false">
      <c r="A1170" s="19"/>
      <c r="B1170" s="19"/>
      <c r="C1170" s="19"/>
      <c r="D1170" s="24"/>
      <c r="E1170" s="24"/>
      <c r="F1170" s="24"/>
    </row>
    <row r="1171" customFormat="false" ht="13.8" hidden="false" customHeight="false" outlineLevel="0" collapsed="false">
      <c r="A1171" s="19"/>
      <c r="B1171" s="19"/>
      <c r="C1171" s="19"/>
      <c r="D1171" s="24"/>
      <c r="E1171" s="24"/>
      <c r="F1171" s="24"/>
    </row>
    <row r="1172" customFormat="false" ht="13.8" hidden="false" customHeight="false" outlineLevel="0" collapsed="false">
      <c r="A1172" s="19"/>
      <c r="B1172" s="19"/>
      <c r="C1172" s="19"/>
      <c r="D1172" s="24"/>
      <c r="E1172" s="24"/>
      <c r="F1172" s="24"/>
    </row>
    <row r="1173" customFormat="false" ht="13.8" hidden="false" customHeight="false" outlineLevel="0" collapsed="false">
      <c r="A1173" s="19"/>
      <c r="B1173" s="19"/>
      <c r="C1173" s="19"/>
      <c r="D1173" s="24"/>
      <c r="E1173" s="24"/>
      <c r="F1173" s="24"/>
    </row>
    <row r="1174" customFormat="false" ht="13.8" hidden="false" customHeight="false" outlineLevel="0" collapsed="false">
      <c r="A1174" s="19"/>
      <c r="B1174" s="19"/>
      <c r="C1174" s="19"/>
      <c r="D1174" s="24"/>
      <c r="E1174" s="24"/>
      <c r="F1174" s="24"/>
    </row>
    <row r="1175" customFormat="false" ht="13.8" hidden="false" customHeight="false" outlineLevel="0" collapsed="false">
      <c r="A1175" s="19"/>
      <c r="B1175" s="19"/>
      <c r="C1175" s="19"/>
      <c r="D1175" s="24"/>
      <c r="E1175" s="24"/>
      <c r="F1175" s="24"/>
    </row>
    <row r="1176" customFormat="false" ht="13.8" hidden="false" customHeight="false" outlineLevel="0" collapsed="false">
      <c r="A1176" s="19"/>
      <c r="B1176" s="19"/>
      <c r="C1176" s="19"/>
      <c r="D1176" s="24"/>
      <c r="E1176" s="24"/>
      <c r="F1176" s="24"/>
    </row>
    <row r="1177" customFormat="false" ht="13.8" hidden="false" customHeight="false" outlineLevel="0" collapsed="false">
      <c r="A1177" s="19"/>
      <c r="B1177" s="19"/>
      <c r="C1177" s="19"/>
      <c r="D1177" s="24"/>
      <c r="E1177" s="24"/>
      <c r="F1177" s="24"/>
    </row>
    <row r="1178" customFormat="false" ht="13.8" hidden="false" customHeight="false" outlineLevel="0" collapsed="false">
      <c r="A1178" s="19"/>
      <c r="B1178" s="19"/>
      <c r="C1178" s="19"/>
      <c r="D1178" s="24"/>
      <c r="E1178" s="24"/>
      <c r="F1178" s="24"/>
    </row>
    <row r="1179" customFormat="false" ht="13.8" hidden="false" customHeight="false" outlineLevel="0" collapsed="false">
      <c r="A1179" s="19"/>
      <c r="B1179" s="19"/>
      <c r="C1179" s="19"/>
      <c r="D1179" s="24"/>
      <c r="E1179" s="24"/>
      <c r="F1179" s="24"/>
    </row>
    <row r="1180" customFormat="false" ht="13.8" hidden="false" customHeight="false" outlineLevel="0" collapsed="false">
      <c r="A1180" s="19"/>
      <c r="B1180" s="19"/>
      <c r="C1180" s="19"/>
      <c r="D1180" s="24"/>
      <c r="E1180" s="24"/>
      <c r="F1180" s="24"/>
    </row>
    <row r="1181" customFormat="false" ht="13.8" hidden="false" customHeight="false" outlineLevel="0" collapsed="false">
      <c r="A1181" s="19"/>
      <c r="B1181" s="19"/>
      <c r="C1181" s="19"/>
      <c r="D1181" s="24"/>
      <c r="E1181" s="24"/>
      <c r="F1181" s="24"/>
    </row>
    <row r="1182" customFormat="false" ht="13.8" hidden="false" customHeight="false" outlineLevel="0" collapsed="false">
      <c r="A1182" s="19"/>
      <c r="B1182" s="19"/>
      <c r="C1182" s="19"/>
      <c r="D1182" s="24"/>
      <c r="E1182" s="24"/>
      <c r="F1182" s="24"/>
    </row>
    <row r="1183" customFormat="false" ht="13.8" hidden="false" customHeight="false" outlineLevel="0" collapsed="false">
      <c r="A1183" s="19"/>
      <c r="B1183" s="19"/>
      <c r="C1183" s="19"/>
      <c r="D1183" s="24"/>
      <c r="E1183" s="24"/>
      <c r="F1183" s="24"/>
    </row>
    <row r="1184" customFormat="false" ht="13.8" hidden="false" customHeight="false" outlineLevel="0" collapsed="false">
      <c r="A1184" s="19"/>
      <c r="B1184" s="19"/>
      <c r="C1184" s="19"/>
      <c r="D1184" s="24"/>
      <c r="E1184" s="24"/>
      <c r="F1184" s="24"/>
    </row>
    <row r="1185" customFormat="false" ht="13.8" hidden="false" customHeight="false" outlineLevel="0" collapsed="false">
      <c r="A1185" s="19"/>
      <c r="B1185" s="19"/>
      <c r="C1185" s="19"/>
      <c r="D1185" s="24"/>
      <c r="E1185" s="24"/>
      <c r="F1185" s="24"/>
    </row>
    <row r="1186" customFormat="false" ht="13.8" hidden="false" customHeight="false" outlineLevel="0" collapsed="false">
      <c r="A1186" s="19"/>
      <c r="B1186" s="19"/>
      <c r="C1186" s="19"/>
      <c r="D1186" s="24"/>
      <c r="E1186" s="24"/>
      <c r="F1186" s="24"/>
    </row>
    <row r="1187" customFormat="false" ht="13.8" hidden="false" customHeight="false" outlineLevel="0" collapsed="false">
      <c r="A1187" s="19"/>
      <c r="B1187" s="19"/>
      <c r="C1187" s="19"/>
      <c r="D1187" s="24"/>
      <c r="E1187" s="24"/>
      <c r="F1187" s="24"/>
    </row>
    <row r="1188" customFormat="false" ht="13.8" hidden="false" customHeight="false" outlineLevel="0" collapsed="false">
      <c r="A1188" s="19"/>
      <c r="B1188" s="19"/>
      <c r="C1188" s="19"/>
      <c r="D1188" s="24"/>
      <c r="E1188" s="24"/>
      <c r="F1188" s="24"/>
    </row>
    <row r="1189" customFormat="false" ht="13.8" hidden="false" customHeight="false" outlineLevel="0" collapsed="false">
      <c r="A1189" s="19"/>
      <c r="B1189" s="19"/>
      <c r="C1189" s="19"/>
      <c r="D1189" s="24"/>
      <c r="E1189" s="24"/>
      <c r="F1189" s="24"/>
    </row>
    <row r="1190" customFormat="false" ht="13.8" hidden="false" customHeight="false" outlineLevel="0" collapsed="false">
      <c r="A1190" s="19"/>
      <c r="B1190" s="19"/>
      <c r="C1190" s="19"/>
      <c r="D1190" s="24"/>
      <c r="E1190" s="24"/>
      <c r="F1190" s="24"/>
    </row>
    <row r="1191" customFormat="false" ht="13.8" hidden="false" customHeight="false" outlineLevel="0" collapsed="false">
      <c r="A1191" s="19"/>
      <c r="B1191" s="19"/>
      <c r="C1191" s="19"/>
      <c r="D1191" s="24"/>
      <c r="E1191" s="24"/>
      <c r="F1191" s="24"/>
    </row>
    <row r="1192" customFormat="false" ht="13.8" hidden="false" customHeight="false" outlineLevel="0" collapsed="false">
      <c r="A1192" s="19"/>
      <c r="B1192" s="19"/>
      <c r="C1192" s="19"/>
      <c r="D1192" s="24"/>
      <c r="E1192" s="24"/>
      <c r="F1192" s="24"/>
    </row>
    <row r="1193" customFormat="false" ht="13.8" hidden="false" customHeight="false" outlineLevel="0" collapsed="false">
      <c r="A1193" s="19"/>
      <c r="B1193" s="19"/>
      <c r="C1193" s="19"/>
      <c r="D1193" s="24"/>
      <c r="E1193" s="24"/>
      <c r="F1193" s="24"/>
    </row>
    <row r="1194" customFormat="false" ht="13.8" hidden="false" customHeight="false" outlineLevel="0" collapsed="false">
      <c r="A1194" s="19"/>
      <c r="B1194" s="19"/>
      <c r="C1194" s="19"/>
      <c r="D1194" s="24"/>
      <c r="E1194" s="24"/>
      <c r="F1194" s="24"/>
    </row>
    <row r="1195" customFormat="false" ht="13.8" hidden="false" customHeight="false" outlineLevel="0" collapsed="false">
      <c r="A1195" s="19"/>
      <c r="B1195" s="19"/>
      <c r="C1195" s="19"/>
      <c r="D1195" s="24"/>
      <c r="E1195" s="24"/>
      <c r="F1195" s="24"/>
    </row>
    <row r="1196" customFormat="false" ht="13.8" hidden="false" customHeight="false" outlineLevel="0" collapsed="false">
      <c r="A1196" s="19"/>
      <c r="B1196" s="19"/>
      <c r="C1196" s="19"/>
      <c r="D1196" s="24"/>
      <c r="E1196" s="24"/>
      <c r="F1196" s="24"/>
    </row>
    <row r="1197" customFormat="false" ht="13.8" hidden="false" customHeight="false" outlineLevel="0" collapsed="false">
      <c r="A1197" s="19"/>
      <c r="B1197" s="19"/>
      <c r="C1197" s="19"/>
      <c r="D1197" s="24"/>
      <c r="E1197" s="24"/>
      <c r="F1197" s="24"/>
    </row>
    <row r="1198" customFormat="false" ht="13.8" hidden="false" customHeight="false" outlineLevel="0" collapsed="false">
      <c r="A1198" s="19"/>
      <c r="B1198" s="19"/>
      <c r="C1198" s="19"/>
      <c r="D1198" s="24"/>
      <c r="E1198" s="24"/>
      <c r="F1198" s="24"/>
    </row>
    <row r="1199" customFormat="false" ht="13.8" hidden="false" customHeight="false" outlineLevel="0" collapsed="false">
      <c r="A1199" s="19"/>
      <c r="B1199" s="19"/>
      <c r="C1199" s="19"/>
      <c r="D1199" s="24"/>
      <c r="E1199" s="24"/>
      <c r="F1199" s="24"/>
    </row>
    <row r="1200" customFormat="false" ht="13.8" hidden="false" customHeight="false" outlineLevel="0" collapsed="false">
      <c r="A1200" s="19"/>
      <c r="B1200" s="19"/>
      <c r="C1200" s="19"/>
      <c r="D1200" s="24"/>
      <c r="E1200" s="24"/>
      <c r="F1200" s="24"/>
    </row>
    <row r="1201" customFormat="false" ht="13.8" hidden="false" customHeight="false" outlineLevel="0" collapsed="false">
      <c r="A1201" s="19"/>
      <c r="B1201" s="19"/>
      <c r="C1201" s="19"/>
      <c r="D1201" s="24"/>
      <c r="E1201" s="24"/>
      <c r="F1201" s="24"/>
    </row>
    <row r="1202" customFormat="false" ht="13.8" hidden="false" customHeight="false" outlineLevel="0" collapsed="false">
      <c r="A1202" s="19"/>
      <c r="B1202" s="19"/>
      <c r="C1202" s="19"/>
      <c r="D1202" s="24"/>
      <c r="E1202" s="24"/>
      <c r="F1202" s="24"/>
    </row>
    <row r="1203" customFormat="false" ht="13.8" hidden="false" customHeight="false" outlineLevel="0" collapsed="false">
      <c r="A1203" s="19"/>
      <c r="B1203" s="19"/>
      <c r="C1203" s="19"/>
      <c r="D1203" s="24"/>
      <c r="E1203" s="24"/>
      <c r="F1203" s="24"/>
    </row>
    <row r="1204" customFormat="false" ht="13.8" hidden="false" customHeight="false" outlineLevel="0" collapsed="false">
      <c r="A1204" s="19"/>
      <c r="B1204" s="19"/>
      <c r="C1204" s="19"/>
      <c r="D1204" s="24"/>
      <c r="E1204" s="24"/>
      <c r="F1204" s="24"/>
    </row>
    <row r="1205" customFormat="false" ht="13.8" hidden="false" customHeight="false" outlineLevel="0" collapsed="false">
      <c r="A1205" s="19"/>
      <c r="B1205" s="19"/>
      <c r="C1205" s="19"/>
      <c r="D1205" s="24"/>
      <c r="E1205" s="24"/>
      <c r="F1205" s="24"/>
    </row>
    <row r="1206" customFormat="false" ht="13.8" hidden="false" customHeight="false" outlineLevel="0" collapsed="false">
      <c r="A1206" s="19"/>
      <c r="B1206" s="19"/>
      <c r="C1206" s="19"/>
      <c r="D1206" s="24"/>
      <c r="E1206" s="24"/>
      <c r="F1206" s="24"/>
    </row>
    <row r="1207" customFormat="false" ht="13.8" hidden="false" customHeight="false" outlineLevel="0" collapsed="false">
      <c r="A1207" s="19"/>
      <c r="B1207" s="19"/>
      <c r="C1207" s="19"/>
      <c r="D1207" s="24"/>
      <c r="E1207" s="24"/>
      <c r="F1207" s="24"/>
    </row>
    <row r="1208" customFormat="false" ht="13.8" hidden="false" customHeight="false" outlineLevel="0" collapsed="false">
      <c r="A1208" s="19"/>
      <c r="B1208" s="19"/>
      <c r="C1208" s="19"/>
      <c r="D1208" s="24"/>
      <c r="E1208" s="24"/>
      <c r="F1208" s="24"/>
    </row>
    <row r="1209" customFormat="false" ht="13.8" hidden="false" customHeight="false" outlineLevel="0" collapsed="false">
      <c r="A1209" s="19"/>
      <c r="B1209" s="19"/>
      <c r="C1209" s="19"/>
      <c r="D1209" s="24"/>
      <c r="E1209" s="24"/>
      <c r="F1209" s="24"/>
    </row>
    <row r="1210" customFormat="false" ht="13.8" hidden="false" customHeight="false" outlineLevel="0" collapsed="false">
      <c r="A1210" s="19"/>
      <c r="B1210" s="19"/>
      <c r="C1210" s="19"/>
      <c r="D1210" s="24"/>
      <c r="E1210" s="24"/>
      <c r="F1210" s="24"/>
    </row>
    <row r="1211" customFormat="false" ht="13.8" hidden="false" customHeight="false" outlineLevel="0" collapsed="false">
      <c r="A1211" s="19"/>
      <c r="B1211" s="19"/>
      <c r="C1211" s="19"/>
      <c r="D1211" s="24"/>
      <c r="E1211" s="24"/>
      <c r="F1211" s="24"/>
    </row>
    <row r="1212" customFormat="false" ht="13.8" hidden="false" customHeight="false" outlineLevel="0" collapsed="false">
      <c r="A1212" s="19"/>
      <c r="B1212" s="19"/>
      <c r="C1212" s="19"/>
      <c r="D1212" s="24"/>
      <c r="E1212" s="24"/>
      <c r="F1212" s="24"/>
    </row>
    <row r="1213" customFormat="false" ht="13.8" hidden="false" customHeight="false" outlineLevel="0" collapsed="false">
      <c r="A1213" s="19"/>
      <c r="B1213" s="19"/>
      <c r="C1213" s="19"/>
      <c r="D1213" s="24"/>
      <c r="E1213" s="24"/>
      <c r="F1213" s="24"/>
    </row>
    <row r="1214" customFormat="false" ht="13.8" hidden="false" customHeight="false" outlineLevel="0" collapsed="false">
      <c r="A1214" s="19"/>
      <c r="B1214" s="19"/>
      <c r="C1214" s="19"/>
      <c r="D1214" s="24"/>
      <c r="E1214" s="24"/>
      <c r="F1214" s="24"/>
    </row>
    <row r="1215" customFormat="false" ht="13.8" hidden="false" customHeight="false" outlineLevel="0" collapsed="false">
      <c r="A1215" s="19"/>
      <c r="B1215" s="19"/>
      <c r="C1215" s="19"/>
      <c r="D1215" s="24"/>
      <c r="E1215" s="24"/>
      <c r="F1215" s="24"/>
    </row>
    <row r="1216" customFormat="false" ht="13.8" hidden="false" customHeight="false" outlineLevel="0" collapsed="false">
      <c r="A1216" s="19"/>
      <c r="B1216" s="19"/>
      <c r="C1216" s="19"/>
      <c r="D1216" s="24"/>
      <c r="E1216" s="24"/>
      <c r="F1216" s="24"/>
    </row>
    <row r="1217" customFormat="false" ht="13.8" hidden="false" customHeight="false" outlineLevel="0" collapsed="false">
      <c r="A1217" s="19"/>
      <c r="B1217" s="19"/>
      <c r="C1217" s="19"/>
      <c r="D1217" s="24"/>
      <c r="E1217" s="24"/>
      <c r="F1217" s="24"/>
    </row>
    <row r="1218" customFormat="false" ht="13.8" hidden="false" customHeight="false" outlineLevel="0" collapsed="false">
      <c r="A1218" s="19"/>
      <c r="B1218" s="19"/>
      <c r="C1218" s="19"/>
      <c r="D1218" s="24"/>
      <c r="E1218" s="24"/>
      <c r="F1218" s="24"/>
    </row>
    <row r="1219" customFormat="false" ht="13.8" hidden="false" customHeight="false" outlineLevel="0" collapsed="false">
      <c r="A1219" s="19"/>
      <c r="B1219" s="19"/>
      <c r="C1219" s="19"/>
      <c r="D1219" s="24"/>
      <c r="E1219" s="24"/>
      <c r="F1219" s="24"/>
    </row>
    <row r="1220" customFormat="false" ht="13.8" hidden="false" customHeight="false" outlineLevel="0" collapsed="false">
      <c r="A1220" s="19"/>
      <c r="B1220" s="19"/>
      <c r="C1220" s="19"/>
      <c r="D1220" s="24"/>
      <c r="E1220" s="24"/>
      <c r="F1220" s="24"/>
    </row>
    <row r="1221" customFormat="false" ht="13.8" hidden="false" customHeight="false" outlineLevel="0" collapsed="false">
      <c r="A1221" s="19"/>
      <c r="B1221" s="19"/>
      <c r="C1221" s="19"/>
      <c r="D1221" s="24"/>
      <c r="E1221" s="24"/>
      <c r="F1221" s="24"/>
    </row>
    <row r="1222" customFormat="false" ht="13.8" hidden="false" customHeight="false" outlineLevel="0" collapsed="false">
      <c r="A1222" s="19"/>
      <c r="B1222" s="19"/>
      <c r="C1222" s="19"/>
      <c r="D1222" s="24"/>
      <c r="E1222" s="24"/>
      <c r="F1222" s="24"/>
    </row>
    <row r="1223" customFormat="false" ht="13.8" hidden="false" customHeight="false" outlineLevel="0" collapsed="false">
      <c r="A1223" s="19"/>
      <c r="B1223" s="19"/>
      <c r="C1223" s="19"/>
      <c r="D1223" s="24"/>
      <c r="E1223" s="24"/>
      <c r="F1223" s="24"/>
    </row>
    <row r="1224" customFormat="false" ht="13.8" hidden="false" customHeight="false" outlineLevel="0" collapsed="false">
      <c r="A1224" s="19"/>
      <c r="B1224" s="19"/>
      <c r="C1224" s="19"/>
      <c r="D1224" s="24"/>
      <c r="E1224" s="24"/>
      <c r="F1224" s="24"/>
    </row>
    <row r="1225" customFormat="false" ht="13.8" hidden="false" customHeight="false" outlineLevel="0" collapsed="false">
      <c r="A1225" s="19"/>
      <c r="B1225" s="19"/>
      <c r="C1225" s="19"/>
      <c r="D1225" s="24"/>
      <c r="E1225" s="24"/>
      <c r="F1225" s="24"/>
    </row>
    <row r="1226" customFormat="false" ht="13.8" hidden="false" customHeight="false" outlineLevel="0" collapsed="false">
      <c r="A1226" s="19"/>
      <c r="B1226" s="19"/>
      <c r="C1226" s="19"/>
      <c r="D1226" s="24"/>
      <c r="E1226" s="24"/>
      <c r="F1226" s="24"/>
    </row>
    <row r="1227" customFormat="false" ht="13.8" hidden="false" customHeight="false" outlineLevel="0" collapsed="false">
      <c r="A1227" s="19"/>
      <c r="B1227" s="19"/>
      <c r="C1227" s="19"/>
      <c r="D1227" s="24"/>
      <c r="E1227" s="24"/>
      <c r="F1227" s="24"/>
    </row>
    <row r="1228" customFormat="false" ht="13.8" hidden="false" customHeight="false" outlineLevel="0" collapsed="false">
      <c r="A1228" s="19"/>
      <c r="B1228" s="19"/>
      <c r="C1228" s="19"/>
      <c r="D1228" s="24"/>
      <c r="E1228" s="24"/>
      <c r="F1228" s="24"/>
    </row>
    <row r="1229" customFormat="false" ht="13.8" hidden="false" customHeight="false" outlineLevel="0" collapsed="false">
      <c r="A1229" s="19"/>
      <c r="B1229" s="19"/>
      <c r="C1229" s="19"/>
      <c r="D1229" s="24"/>
      <c r="E1229" s="24"/>
      <c r="F1229" s="24"/>
    </row>
    <row r="1230" customFormat="false" ht="13.8" hidden="false" customHeight="false" outlineLevel="0" collapsed="false">
      <c r="A1230" s="19"/>
      <c r="B1230" s="19"/>
      <c r="C1230" s="19"/>
      <c r="D1230" s="24"/>
      <c r="E1230" s="24"/>
      <c r="F1230" s="24"/>
    </row>
    <row r="1231" customFormat="false" ht="13.8" hidden="false" customHeight="false" outlineLevel="0" collapsed="false">
      <c r="A1231" s="19"/>
      <c r="B1231" s="19"/>
      <c r="C1231" s="19"/>
      <c r="D1231" s="24"/>
      <c r="E1231" s="24"/>
      <c r="F1231" s="24"/>
    </row>
    <row r="1232" customFormat="false" ht="13.8" hidden="false" customHeight="false" outlineLevel="0" collapsed="false">
      <c r="A1232" s="19"/>
      <c r="B1232" s="19"/>
      <c r="C1232" s="19"/>
      <c r="D1232" s="24"/>
      <c r="E1232" s="24"/>
      <c r="F1232" s="24"/>
    </row>
    <row r="1233" customFormat="false" ht="13.8" hidden="false" customHeight="false" outlineLevel="0" collapsed="false">
      <c r="A1233" s="19"/>
      <c r="B1233" s="19"/>
      <c r="C1233" s="19"/>
      <c r="D1233" s="24"/>
      <c r="E1233" s="24"/>
      <c r="F1233" s="24"/>
    </row>
    <row r="1234" customFormat="false" ht="13.8" hidden="false" customHeight="false" outlineLevel="0" collapsed="false">
      <c r="A1234" s="19"/>
      <c r="B1234" s="19"/>
      <c r="C1234" s="19"/>
      <c r="D1234" s="24"/>
      <c r="E1234" s="24"/>
      <c r="F1234" s="24"/>
    </row>
    <row r="1235" customFormat="false" ht="13.8" hidden="false" customHeight="false" outlineLevel="0" collapsed="false">
      <c r="A1235" s="19"/>
      <c r="B1235" s="19"/>
      <c r="C1235" s="19"/>
      <c r="D1235" s="24"/>
      <c r="E1235" s="24"/>
      <c r="F1235" s="24"/>
    </row>
    <row r="1236" customFormat="false" ht="13.8" hidden="false" customHeight="false" outlineLevel="0" collapsed="false">
      <c r="A1236" s="19"/>
      <c r="B1236" s="19"/>
      <c r="C1236" s="19"/>
      <c r="D1236" s="24"/>
      <c r="E1236" s="24"/>
      <c r="F1236" s="24"/>
    </row>
    <row r="1237" customFormat="false" ht="13.8" hidden="false" customHeight="false" outlineLevel="0" collapsed="false">
      <c r="A1237" s="19"/>
      <c r="B1237" s="19"/>
      <c r="C1237" s="19"/>
      <c r="D1237" s="24"/>
      <c r="E1237" s="24"/>
      <c r="F1237" s="24"/>
    </row>
    <row r="1238" customFormat="false" ht="13.8" hidden="false" customHeight="false" outlineLevel="0" collapsed="false">
      <c r="A1238" s="19"/>
      <c r="B1238" s="19"/>
      <c r="C1238" s="19"/>
      <c r="D1238" s="24"/>
      <c r="E1238" s="24"/>
      <c r="F1238" s="24"/>
    </row>
    <row r="1239" customFormat="false" ht="13.8" hidden="false" customHeight="false" outlineLevel="0" collapsed="false">
      <c r="A1239" s="19"/>
      <c r="B1239" s="19"/>
      <c r="C1239" s="19"/>
      <c r="D1239" s="24"/>
      <c r="E1239" s="24"/>
      <c r="F1239" s="24"/>
    </row>
    <row r="1240" customFormat="false" ht="13.8" hidden="false" customHeight="false" outlineLevel="0" collapsed="false">
      <c r="A1240" s="19"/>
      <c r="B1240" s="19"/>
      <c r="C1240" s="19"/>
      <c r="D1240" s="24"/>
      <c r="E1240" s="24"/>
      <c r="F1240" s="24"/>
    </row>
    <row r="1241" customFormat="false" ht="13.8" hidden="false" customHeight="false" outlineLevel="0" collapsed="false">
      <c r="A1241" s="19"/>
      <c r="B1241" s="19"/>
      <c r="C1241" s="19"/>
      <c r="D1241" s="24"/>
      <c r="E1241" s="24"/>
      <c r="F1241" s="24"/>
    </row>
    <row r="1242" customFormat="false" ht="13.8" hidden="false" customHeight="false" outlineLevel="0" collapsed="false">
      <c r="A1242" s="19"/>
      <c r="B1242" s="19"/>
      <c r="C1242" s="19"/>
      <c r="D1242" s="24"/>
      <c r="E1242" s="24"/>
      <c r="F1242" s="24"/>
    </row>
    <row r="1243" customFormat="false" ht="13.8" hidden="false" customHeight="false" outlineLevel="0" collapsed="false">
      <c r="A1243" s="19"/>
      <c r="B1243" s="19"/>
      <c r="C1243" s="19"/>
      <c r="D1243" s="24"/>
      <c r="E1243" s="24"/>
      <c r="F1243" s="24"/>
    </row>
    <row r="1244" customFormat="false" ht="13.8" hidden="false" customHeight="false" outlineLevel="0" collapsed="false">
      <c r="A1244" s="19"/>
      <c r="B1244" s="19"/>
      <c r="C1244" s="19"/>
      <c r="D1244" s="24"/>
      <c r="E1244" s="24"/>
      <c r="F1244" s="24"/>
    </row>
    <row r="1245" customFormat="false" ht="13.8" hidden="false" customHeight="false" outlineLevel="0" collapsed="false">
      <c r="A1245" s="19"/>
      <c r="B1245" s="19"/>
      <c r="C1245" s="19"/>
      <c r="D1245" s="24"/>
      <c r="E1245" s="24"/>
      <c r="F1245" s="24"/>
    </row>
    <row r="1246" customFormat="false" ht="13.8" hidden="false" customHeight="false" outlineLevel="0" collapsed="false">
      <c r="A1246" s="19"/>
      <c r="B1246" s="19"/>
      <c r="C1246" s="19"/>
      <c r="D1246" s="24"/>
      <c r="E1246" s="24"/>
      <c r="F1246" s="24"/>
    </row>
    <row r="1247" customFormat="false" ht="13.8" hidden="false" customHeight="false" outlineLevel="0" collapsed="false">
      <c r="A1247" s="19"/>
      <c r="B1247" s="19"/>
      <c r="C1247" s="19"/>
      <c r="D1247" s="24"/>
      <c r="E1247" s="24"/>
      <c r="F1247" s="24"/>
    </row>
    <row r="1248" customFormat="false" ht="13.8" hidden="false" customHeight="false" outlineLevel="0" collapsed="false">
      <c r="A1248" s="19"/>
      <c r="B1248" s="19"/>
      <c r="C1248" s="19"/>
      <c r="D1248" s="24"/>
      <c r="E1248" s="24"/>
      <c r="F1248" s="24"/>
    </row>
    <row r="1249" customFormat="false" ht="13.8" hidden="false" customHeight="false" outlineLevel="0" collapsed="false">
      <c r="A1249" s="19"/>
      <c r="B1249" s="19"/>
      <c r="C1249" s="19"/>
      <c r="D1249" s="24"/>
      <c r="E1249" s="24"/>
      <c r="F1249" s="24"/>
    </row>
    <row r="1250" customFormat="false" ht="13.8" hidden="false" customHeight="false" outlineLevel="0" collapsed="false">
      <c r="A1250" s="19"/>
      <c r="B1250" s="19"/>
      <c r="C1250" s="19"/>
      <c r="D1250" s="24"/>
      <c r="E1250" s="24"/>
      <c r="F1250" s="24"/>
    </row>
    <row r="1251" customFormat="false" ht="13.8" hidden="false" customHeight="false" outlineLevel="0" collapsed="false">
      <c r="A1251" s="19"/>
      <c r="B1251" s="19"/>
      <c r="C1251" s="19"/>
      <c r="D1251" s="24"/>
      <c r="E1251" s="24"/>
      <c r="F1251" s="24"/>
    </row>
    <row r="1252" customFormat="false" ht="13.8" hidden="false" customHeight="false" outlineLevel="0" collapsed="false">
      <c r="A1252" s="19"/>
      <c r="B1252" s="19"/>
      <c r="C1252" s="19"/>
      <c r="D1252" s="24"/>
      <c r="E1252" s="24"/>
      <c r="F1252" s="24"/>
    </row>
    <row r="1253" customFormat="false" ht="13.8" hidden="false" customHeight="false" outlineLevel="0" collapsed="false">
      <c r="A1253" s="19"/>
      <c r="B1253" s="19"/>
      <c r="C1253" s="19"/>
      <c r="D1253" s="24"/>
      <c r="E1253" s="24"/>
      <c r="F1253" s="24"/>
    </row>
    <row r="1254" customFormat="false" ht="13.8" hidden="false" customHeight="false" outlineLevel="0" collapsed="false">
      <c r="A1254" s="19"/>
      <c r="B1254" s="19"/>
      <c r="C1254" s="19"/>
      <c r="D1254" s="24"/>
      <c r="E1254" s="24"/>
      <c r="F1254" s="24"/>
    </row>
    <row r="1255" customFormat="false" ht="13.8" hidden="false" customHeight="false" outlineLevel="0" collapsed="false">
      <c r="A1255" s="19"/>
      <c r="B1255" s="19"/>
      <c r="C1255" s="19"/>
      <c r="D1255" s="24"/>
      <c r="E1255" s="24"/>
      <c r="F1255" s="24"/>
    </row>
    <row r="1256" customFormat="false" ht="13.8" hidden="false" customHeight="false" outlineLevel="0" collapsed="false">
      <c r="A1256" s="19"/>
      <c r="B1256" s="19"/>
      <c r="C1256" s="19"/>
      <c r="D1256" s="24"/>
      <c r="E1256" s="24"/>
      <c r="F1256" s="24"/>
    </row>
    <row r="1257" customFormat="false" ht="13.8" hidden="false" customHeight="false" outlineLevel="0" collapsed="false">
      <c r="A1257" s="19"/>
      <c r="B1257" s="19"/>
      <c r="C1257" s="19"/>
      <c r="D1257" s="24"/>
      <c r="E1257" s="24"/>
      <c r="F1257" s="24"/>
    </row>
    <row r="1258" customFormat="false" ht="13.8" hidden="false" customHeight="false" outlineLevel="0" collapsed="false">
      <c r="A1258" s="19"/>
      <c r="B1258" s="19"/>
      <c r="C1258" s="19"/>
      <c r="D1258" s="24"/>
      <c r="E1258" s="24"/>
      <c r="F1258" s="24"/>
    </row>
    <row r="1259" customFormat="false" ht="13.8" hidden="false" customHeight="false" outlineLevel="0" collapsed="false">
      <c r="A1259" s="19"/>
      <c r="B1259" s="19"/>
      <c r="C1259" s="19"/>
      <c r="D1259" s="24"/>
      <c r="E1259" s="24"/>
      <c r="F1259" s="24"/>
    </row>
    <row r="1260" customFormat="false" ht="13.8" hidden="false" customHeight="false" outlineLevel="0" collapsed="false">
      <c r="A1260" s="19"/>
      <c r="B1260" s="19"/>
      <c r="C1260" s="19"/>
      <c r="D1260" s="24"/>
      <c r="E1260" s="24"/>
      <c r="F1260" s="24"/>
    </row>
    <row r="1261" customFormat="false" ht="13.8" hidden="false" customHeight="false" outlineLevel="0" collapsed="false">
      <c r="A1261" s="19"/>
      <c r="B1261" s="19"/>
      <c r="C1261" s="19"/>
      <c r="D1261" s="24"/>
      <c r="E1261" s="24"/>
      <c r="F1261" s="24"/>
    </row>
    <row r="1262" customFormat="false" ht="13.8" hidden="false" customHeight="false" outlineLevel="0" collapsed="false">
      <c r="A1262" s="19"/>
      <c r="B1262" s="19"/>
      <c r="C1262" s="19"/>
      <c r="D1262" s="24"/>
      <c r="E1262" s="24"/>
      <c r="F1262" s="24"/>
    </row>
    <row r="1263" customFormat="false" ht="13.8" hidden="false" customHeight="false" outlineLevel="0" collapsed="false">
      <c r="A1263" s="19"/>
      <c r="B1263" s="19"/>
      <c r="C1263" s="19"/>
      <c r="D1263" s="24"/>
      <c r="E1263" s="24"/>
      <c r="F1263" s="24"/>
    </row>
    <row r="1264" customFormat="false" ht="13.8" hidden="false" customHeight="false" outlineLevel="0" collapsed="false">
      <c r="A1264" s="19"/>
      <c r="B1264" s="19"/>
      <c r="C1264" s="19"/>
      <c r="D1264" s="24"/>
      <c r="E1264" s="24"/>
      <c r="F1264" s="24"/>
    </row>
    <row r="1265" customFormat="false" ht="13.8" hidden="false" customHeight="false" outlineLevel="0" collapsed="false">
      <c r="A1265" s="19"/>
      <c r="B1265" s="19"/>
      <c r="C1265" s="19"/>
      <c r="D1265" s="24"/>
      <c r="E1265" s="24"/>
      <c r="F1265" s="24"/>
    </row>
    <row r="1266" customFormat="false" ht="13.8" hidden="false" customHeight="false" outlineLevel="0" collapsed="false">
      <c r="A1266" s="19"/>
      <c r="B1266" s="19"/>
      <c r="C1266" s="19"/>
      <c r="D1266" s="24"/>
      <c r="E1266" s="24"/>
      <c r="F1266" s="24"/>
    </row>
    <row r="1267" customFormat="false" ht="13.8" hidden="false" customHeight="false" outlineLevel="0" collapsed="false">
      <c r="A1267" s="19"/>
      <c r="B1267" s="19"/>
      <c r="C1267" s="19"/>
      <c r="D1267" s="24"/>
      <c r="E1267" s="24"/>
      <c r="F1267" s="24"/>
    </row>
    <row r="1268" customFormat="false" ht="13.8" hidden="false" customHeight="false" outlineLevel="0" collapsed="false">
      <c r="A1268" s="19"/>
      <c r="B1268" s="19"/>
      <c r="C1268" s="19"/>
      <c r="D1268" s="24"/>
      <c r="E1268" s="24"/>
      <c r="F1268" s="24"/>
    </row>
    <row r="1269" customFormat="false" ht="13.8" hidden="false" customHeight="false" outlineLevel="0" collapsed="false">
      <c r="A1269" s="19"/>
      <c r="B1269" s="19"/>
      <c r="C1269" s="19"/>
      <c r="D1269" s="24"/>
      <c r="E1269" s="24"/>
      <c r="F1269" s="24"/>
    </row>
    <row r="1270" customFormat="false" ht="13.8" hidden="false" customHeight="false" outlineLevel="0" collapsed="false">
      <c r="A1270" s="19"/>
      <c r="B1270" s="19"/>
      <c r="C1270" s="19"/>
      <c r="D1270" s="24"/>
      <c r="E1270" s="24"/>
      <c r="F1270" s="24"/>
    </row>
    <row r="1271" customFormat="false" ht="13.8" hidden="false" customHeight="false" outlineLevel="0" collapsed="false">
      <c r="A1271" s="19"/>
      <c r="B1271" s="19"/>
      <c r="C1271" s="19"/>
      <c r="D1271" s="24"/>
      <c r="E1271" s="24"/>
      <c r="F1271" s="24"/>
    </row>
    <row r="1272" customFormat="false" ht="13.8" hidden="false" customHeight="false" outlineLevel="0" collapsed="false">
      <c r="A1272" s="19"/>
      <c r="B1272" s="19"/>
      <c r="C1272" s="19"/>
      <c r="D1272" s="24"/>
      <c r="E1272" s="24"/>
      <c r="F1272" s="24"/>
    </row>
    <row r="1273" customFormat="false" ht="13.8" hidden="false" customHeight="false" outlineLevel="0" collapsed="false">
      <c r="A1273" s="19"/>
      <c r="B1273" s="19"/>
      <c r="C1273" s="19"/>
      <c r="D1273" s="24"/>
      <c r="E1273" s="24"/>
      <c r="F1273" s="24"/>
    </row>
    <row r="1274" customFormat="false" ht="13.8" hidden="false" customHeight="false" outlineLevel="0" collapsed="false">
      <c r="A1274" s="19"/>
      <c r="B1274" s="19"/>
      <c r="C1274" s="19"/>
      <c r="D1274" s="24"/>
      <c r="E1274" s="24"/>
      <c r="F1274" s="24"/>
    </row>
    <row r="1275" customFormat="false" ht="13.8" hidden="false" customHeight="false" outlineLevel="0" collapsed="false">
      <c r="A1275" s="19"/>
      <c r="B1275" s="19"/>
      <c r="C1275" s="19"/>
      <c r="D1275" s="24"/>
      <c r="E1275" s="24"/>
      <c r="F1275" s="24"/>
    </row>
    <row r="1276" customFormat="false" ht="13.8" hidden="false" customHeight="false" outlineLevel="0" collapsed="false">
      <c r="A1276" s="19"/>
      <c r="B1276" s="19"/>
      <c r="C1276" s="19"/>
      <c r="D1276" s="24"/>
      <c r="E1276" s="24"/>
      <c r="F1276" s="24"/>
    </row>
    <row r="1277" customFormat="false" ht="13.8" hidden="false" customHeight="false" outlineLevel="0" collapsed="false">
      <c r="A1277" s="19"/>
      <c r="B1277" s="19"/>
      <c r="C1277" s="19"/>
      <c r="D1277" s="24"/>
      <c r="E1277" s="24"/>
      <c r="F1277" s="24"/>
    </row>
    <row r="1278" customFormat="false" ht="13.8" hidden="false" customHeight="false" outlineLevel="0" collapsed="false">
      <c r="A1278" s="19"/>
      <c r="B1278" s="19"/>
      <c r="C1278" s="19"/>
      <c r="D1278" s="24"/>
      <c r="E1278" s="24"/>
      <c r="F1278" s="24"/>
    </row>
    <row r="1279" customFormat="false" ht="13.8" hidden="false" customHeight="false" outlineLevel="0" collapsed="false">
      <c r="A1279" s="19"/>
      <c r="B1279" s="19"/>
      <c r="C1279" s="19"/>
      <c r="D1279" s="24"/>
      <c r="E1279" s="24"/>
      <c r="F1279" s="24"/>
    </row>
    <row r="1280" customFormat="false" ht="13.8" hidden="false" customHeight="false" outlineLevel="0" collapsed="false">
      <c r="A1280" s="19"/>
      <c r="B1280" s="19"/>
      <c r="C1280" s="19"/>
      <c r="D1280" s="24"/>
      <c r="E1280" s="24"/>
      <c r="F1280" s="24"/>
    </row>
    <row r="1281" customFormat="false" ht="13.8" hidden="false" customHeight="false" outlineLevel="0" collapsed="false">
      <c r="A1281" s="19"/>
      <c r="B1281" s="19"/>
      <c r="C1281" s="19"/>
      <c r="D1281" s="24"/>
      <c r="E1281" s="24"/>
      <c r="F1281" s="24"/>
    </row>
    <row r="1282" customFormat="false" ht="13.8" hidden="false" customHeight="false" outlineLevel="0" collapsed="false">
      <c r="A1282" s="19"/>
      <c r="B1282" s="19"/>
      <c r="C1282" s="19"/>
      <c r="D1282" s="24"/>
      <c r="E1282" s="24"/>
      <c r="F1282" s="24"/>
    </row>
    <row r="1283" customFormat="false" ht="13.8" hidden="false" customHeight="false" outlineLevel="0" collapsed="false">
      <c r="A1283" s="19"/>
      <c r="B1283" s="19"/>
      <c r="C1283" s="19"/>
      <c r="D1283" s="24"/>
      <c r="E1283" s="24"/>
      <c r="F1283" s="24"/>
    </row>
    <row r="1284" customFormat="false" ht="13.8" hidden="false" customHeight="false" outlineLevel="0" collapsed="false">
      <c r="A1284" s="19"/>
      <c r="B1284" s="19"/>
      <c r="C1284" s="19"/>
      <c r="D1284" s="24"/>
      <c r="E1284" s="24"/>
      <c r="F1284" s="24"/>
    </row>
    <row r="1285" customFormat="false" ht="13.8" hidden="false" customHeight="false" outlineLevel="0" collapsed="false">
      <c r="A1285" s="19"/>
      <c r="B1285" s="19"/>
      <c r="C1285" s="19"/>
      <c r="D1285" s="24"/>
      <c r="E1285" s="24"/>
      <c r="F1285" s="24"/>
    </row>
    <row r="1286" customFormat="false" ht="13.8" hidden="false" customHeight="false" outlineLevel="0" collapsed="false">
      <c r="A1286" s="19"/>
      <c r="B1286" s="19"/>
      <c r="C1286" s="19"/>
      <c r="D1286" s="24"/>
      <c r="E1286" s="24"/>
      <c r="F1286" s="24"/>
    </row>
    <row r="1287" customFormat="false" ht="13.8" hidden="false" customHeight="false" outlineLevel="0" collapsed="false">
      <c r="A1287" s="19"/>
      <c r="B1287" s="19"/>
      <c r="C1287" s="19"/>
      <c r="D1287" s="24"/>
      <c r="E1287" s="24"/>
      <c r="F1287" s="24"/>
    </row>
    <row r="1288" customFormat="false" ht="13.8" hidden="false" customHeight="false" outlineLevel="0" collapsed="false">
      <c r="A1288" s="19"/>
      <c r="B1288" s="19"/>
      <c r="C1288" s="19"/>
      <c r="D1288" s="24"/>
      <c r="E1288" s="24"/>
      <c r="F1288" s="24"/>
    </row>
    <row r="1289" customFormat="false" ht="13.8" hidden="false" customHeight="false" outlineLevel="0" collapsed="false">
      <c r="A1289" s="19"/>
      <c r="B1289" s="19"/>
      <c r="C1289" s="19"/>
      <c r="D1289" s="24"/>
      <c r="E1289" s="24"/>
      <c r="F1289" s="24"/>
    </row>
    <row r="1290" customFormat="false" ht="13.8" hidden="false" customHeight="false" outlineLevel="0" collapsed="false">
      <c r="A1290" s="19"/>
      <c r="B1290" s="19"/>
      <c r="C1290" s="19"/>
      <c r="D1290" s="24"/>
      <c r="E1290" s="24"/>
      <c r="F1290" s="24"/>
    </row>
    <row r="1291" customFormat="false" ht="13.8" hidden="false" customHeight="false" outlineLevel="0" collapsed="false">
      <c r="A1291" s="19"/>
      <c r="B1291" s="19"/>
      <c r="C1291" s="19"/>
      <c r="D1291" s="24"/>
      <c r="E1291" s="24"/>
      <c r="F1291" s="24"/>
    </row>
    <row r="1292" customFormat="false" ht="13.8" hidden="false" customHeight="false" outlineLevel="0" collapsed="false">
      <c r="A1292" s="19"/>
      <c r="B1292" s="19"/>
      <c r="C1292" s="19"/>
      <c r="D1292" s="24"/>
      <c r="E1292" s="24"/>
      <c r="F1292" s="24"/>
    </row>
    <row r="1293" customFormat="false" ht="13.8" hidden="false" customHeight="false" outlineLevel="0" collapsed="false">
      <c r="A1293" s="19"/>
      <c r="B1293" s="19"/>
      <c r="C1293" s="19"/>
      <c r="D1293" s="24"/>
      <c r="E1293" s="24"/>
      <c r="F1293" s="24"/>
    </row>
    <row r="1294" customFormat="false" ht="13.8" hidden="false" customHeight="false" outlineLevel="0" collapsed="false">
      <c r="A1294" s="19"/>
      <c r="B1294" s="19"/>
      <c r="C1294" s="19"/>
      <c r="D1294" s="24"/>
      <c r="E1294" s="24"/>
      <c r="F1294" s="24"/>
    </row>
    <row r="1295" customFormat="false" ht="13.8" hidden="false" customHeight="false" outlineLevel="0" collapsed="false">
      <c r="A1295" s="19"/>
      <c r="B1295" s="19"/>
      <c r="C1295" s="19"/>
      <c r="D1295" s="24"/>
      <c r="E1295" s="24"/>
      <c r="F1295" s="24"/>
    </row>
    <row r="1296" customFormat="false" ht="13.8" hidden="false" customHeight="false" outlineLevel="0" collapsed="false">
      <c r="A1296" s="19"/>
      <c r="B1296" s="19"/>
      <c r="C1296" s="19"/>
      <c r="D1296" s="24"/>
      <c r="E1296" s="24"/>
      <c r="F1296" s="24"/>
    </row>
    <row r="1297" customFormat="false" ht="13.8" hidden="false" customHeight="false" outlineLevel="0" collapsed="false">
      <c r="A1297" s="19"/>
      <c r="B1297" s="19"/>
      <c r="C1297" s="19"/>
      <c r="D1297" s="24"/>
      <c r="E1297" s="24"/>
      <c r="F1297" s="24"/>
    </row>
    <row r="1298" customFormat="false" ht="13.8" hidden="false" customHeight="false" outlineLevel="0" collapsed="false">
      <c r="A1298" s="19"/>
      <c r="B1298" s="19"/>
      <c r="C1298" s="19"/>
      <c r="D1298" s="24"/>
      <c r="E1298" s="24"/>
      <c r="F1298" s="24"/>
    </row>
    <row r="1299" customFormat="false" ht="13.8" hidden="false" customHeight="false" outlineLevel="0" collapsed="false">
      <c r="A1299" s="19"/>
      <c r="B1299" s="19"/>
      <c r="C1299" s="19"/>
      <c r="D1299" s="24"/>
      <c r="E1299" s="24"/>
      <c r="F1299" s="24"/>
    </row>
    <row r="1300" customFormat="false" ht="13.8" hidden="false" customHeight="false" outlineLevel="0" collapsed="false">
      <c r="A1300" s="19"/>
      <c r="B1300" s="19"/>
      <c r="C1300" s="19"/>
      <c r="D1300" s="24"/>
      <c r="E1300" s="24"/>
      <c r="F1300" s="24"/>
    </row>
    <row r="1301" customFormat="false" ht="13.8" hidden="false" customHeight="false" outlineLevel="0" collapsed="false">
      <c r="A1301" s="19"/>
      <c r="B1301" s="19"/>
      <c r="C1301" s="19"/>
      <c r="D1301" s="24"/>
      <c r="E1301" s="24"/>
      <c r="F1301" s="24"/>
    </row>
    <row r="1302" customFormat="false" ht="13.8" hidden="false" customHeight="false" outlineLevel="0" collapsed="false">
      <c r="A1302" s="19"/>
      <c r="B1302" s="19"/>
      <c r="C1302" s="19"/>
      <c r="D1302" s="24"/>
      <c r="E1302" s="24"/>
      <c r="F1302" s="24"/>
    </row>
    <row r="1303" customFormat="false" ht="13.8" hidden="false" customHeight="false" outlineLevel="0" collapsed="false">
      <c r="A1303" s="19"/>
      <c r="B1303" s="19"/>
      <c r="C1303" s="19"/>
      <c r="D1303" s="24"/>
      <c r="E1303" s="24"/>
      <c r="F1303" s="24"/>
    </row>
    <row r="1304" customFormat="false" ht="13.8" hidden="false" customHeight="false" outlineLevel="0" collapsed="false">
      <c r="A1304" s="19"/>
      <c r="B1304" s="19"/>
      <c r="C1304" s="19"/>
      <c r="D1304" s="24"/>
      <c r="E1304" s="24"/>
      <c r="F1304" s="24"/>
    </row>
    <row r="1305" customFormat="false" ht="13.8" hidden="false" customHeight="false" outlineLevel="0" collapsed="false">
      <c r="A1305" s="19"/>
      <c r="B1305" s="19"/>
      <c r="C1305" s="19"/>
      <c r="D1305" s="24"/>
      <c r="E1305" s="24"/>
      <c r="F1305" s="24"/>
    </row>
    <row r="1306" customFormat="false" ht="13.8" hidden="false" customHeight="false" outlineLevel="0" collapsed="false">
      <c r="A1306" s="19"/>
      <c r="B1306" s="19"/>
      <c r="C1306" s="19"/>
      <c r="D1306" s="24"/>
      <c r="E1306" s="24"/>
      <c r="F1306" s="24"/>
    </row>
    <row r="1307" customFormat="false" ht="13.8" hidden="false" customHeight="false" outlineLevel="0" collapsed="false">
      <c r="A1307" s="19"/>
      <c r="B1307" s="19"/>
      <c r="C1307" s="19"/>
      <c r="D1307" s="24"/>
      <c r="E1307" s="24"/>
      <c r="F1307" s="24"/>
    </row>
    <row r="1308" customFormat="false" ht="13.8" hidden="false" customHeight="false" outlineLevel="0" collapsed="false">
      <c r="A1308" s="19"/>
      <c r="B1308" s="19"/>
      <c r="C1308" s="19"/>
      <c r="D1308" s="24"/>
      <c r="E1308" s="24"/>
      <c r="F1308" s="24"/>
    </row>
    <row r="1309" customFormat="false" ht="13.8" hidden="false" customHeight="false" outlineLevel="0" collapsed="false">
      <c r="A1309" s="19"/>
      <c r="B1309" s="19"/>
      <c r="C1309" s="19"/>
      <c r="D1309" s="24"/>
      <c r="E1309" s="24"/>
      <c r="F1309" s="24"/>
    </row>
    <row r="1310" customFormat="false" ht="13.8" hidden="false" customHeight="false" outlineLevel="0" collapsed="false">
      <c r="A1310" s="19"/>
      <c r="B1310" s="19"/>
      <c r="C1310" s="19"/>
      <c r="D1310" s="24"/>
      <c r="E1310" s="24"/>
      <c r="F1310" s="24"/>
    </row>
    <row r="1311" customFormat="false" ht="13.8" hidden="false" customHeight="false" outlineLevel="0" collapsed="false">
      <c r="A1311" s="19"/>
      <c r="B1311" s="19"/>
      <c r="C1311" s="19"/>
      <c r="D1311" s="24"/>
      <c r="E1311" s="24"/>
      <c r="F1311" s="24"/>
    </row>
    <row r="1312" customFormat="false" ht="13.8" hidden="false" customHeight="false" outlineLevel="0" collapsed="false">
      <c r="A1312" s="19"/>
      <c r="B1312" s="19"/>
      <c r="C1312" s="19"/>
      <c r="D1312" s="24"/>
      <c r="E1312" s="24"/>
      <c r="F1312" s="24"/>
    </row>
    <row r="1313" customFormat="false" ht="13.8" hidden="false" customHeight="false" outlineLevel="0" collapsed="false">
      <c r="A1313" s="19"/>
      <c r="B1313" s="19"/>
      <c r="C1313" s="19"/>
      <c r="D1313" s="24"/>
      <c r="E1313" s="24"/>
      <c r="F1313" s="24"/>
    </row>
    <row r="1314" customFormat="false" ht="13.8" hidden="false" customHeight="false" outlineLevel="0" collapsed="false">
      <c r="A1314" s="19"/>
      <c r="B1314" s="19"/>
      <c r="C1314" s="19"/>
      <c r="D1314" s="24"/>
      <c r="E1314" s="24"/>
      <c r="F1314" s="24"/>
    </row>
    <row r="1315" customFormat="false" ht="13.8" hidden="false" customHeight="false" outlineLevel="0" collapsed="false">
      <c r="A1315" s="19"/>
      <c r="B1315" s="19"/>
      <c r="C1315" s="19"/>
      <c r="D1315" s="24"/>
      <c r="E1315" s="24"/>
      <c r="F1315" s="24"/>
    </row>
    <row r="1316" customFormat="false" ht="13.8" hidden="false" customHeight="false" outlineLevel="0" collapsed="false">
      <c r="A1316" s="19"/>
      <c r="B1316" s="19"/>
      <c r="C1316" s="19"/>
      <c r="D1316" s="24"/>
      <c r="E1316" s="24"/>
      <c r="F1316" s="24"/>
    </row>
    <row r="1317" customFormat="false" ht="13.8" hidden="false" customHeight="false" outlineLevel="0" collapsed="false">
      <c r="A1317" s="19"/>
      <c r="B1317" s="19"/>
      <c r="C1317" s="19"/>
      <c r="D1317" s="24"/>
      <c r="E1317" s="24"/>
      <c r="F1317" s="24"/>
    </row>
    <row r="1318" customFormat="false" ht="13.8" hidden="false" customHeight="false" outlineLevel="0" collapsed="false">
      <c r="A1318" s="19"/>
      <c r="B1318" s="19"/>
      <c r="C1318" s="19"/>
      <c r="D1318" s="24"/>
      <c r="E1318" s="24"/>
      <c r="F1318" s="24"/>
    </row>
    <row r="1319" customFormat="false" ht="13.8" hidden="false" customHeight="false" outlineLevel="0" collapsed="false">
      <c r="A1319" s="19"/>
      <c r="B1319" s="19"/>
      <c r="C1319" s="19"/>
      <c r="D1319" s="24"/>
      <c r="E1319" s="24"/>
      <c r="F1319" s="24"/>
    </row>
    <row r="1320" customFormat="false" ht="13.8" hidden="false" customHeight="false" outlineLevel="0" collapsed="false">
      <c r="A1320" s="19"/>
      <c r="B1320" s="19"/>
      <c r="C1320" s="19"/>
      <c r="D1320" s="24"/>
      <c r="E1320" s="24"/>
      <c r="F1320" s="24"/>
    </row>
    <row r="1321" customFormat="false" ht="13.8" hidden="false" customHeight="false" outlineLevel="0" collapsed="false">
      <c r="A1321" s="19"/>
      <c r="B1321" s="19"/>
      <c r="C1321" s="19"/>
      <c r="D1321" s="24"/>
      <c r="E1321" s="24"/>
      <c r="F1321" s="24"/>
    </row>
    <row r="1322" customFormat="false" ht="13.8" hidden="false" customHeight="false" outlineLevel="0" collapsed="false">
      <c r="A1322" s="19"/>
      <c r="B1322" s="19"/>
      <c r="C1322" s="19"/>
      <c r="D1322" s="24"/>
      <c r="E1322" s="24"/>
      <c r="F1322" s="24"/>
    </row>
    <row r="1323" customFormat="false" ht="13.8" hidden="false" customHeight="false" outlineLevel="0" collapsed="false">
      <c r="A1323" s="19"/>
      <c r="B1323" s="19"/>
      <c r="C1323" s="19"/>
      <c r="D1323" s="24"/>
      <c r="E1323" s="24"/>
      <c r="F1323" s="24"/>
    </row>
    <row r="1324" customFormat="false" ht="13.8" hidden="false" customHeight="false" outlineLevel="0" collapsed="false">
      <c r="A1324" s="19"/>
      <c r="B1324" s="19"/>
      <c r="C1324" s="19"/>
      <c r="D1324" s="24"/>
      <c r="E1324" s="24"/>
      <c r="F1324" s="24"/>
    </row>
    <row r="1325" customFormat="false" ht="13.8" hidden="false" customHeight="false" outlineLevel="0" collapsed="false">
      <c r="A1325" s="19"/>
      <c r="B1325" s="19"/>
      <c r="C1325" s="19"/>
      <c r="D1325" s="24"/>
      <c r="E1325" s="24"/>
      <c r="F1325" s="24"/>
    </row>
    <row r="1326" customFormat="false" ht="13.8" hidden="false" customHeight="false" outlineLevel="0" collapsed="false">
      <c r="A1326" s="19"/>
      <c r="B1326" s="19"/>
      <c r="C1326" s="19"/>
      <c r="D1326" s="24"/>
      <c r="E1326" s="24"/>
      <c r="F1326" s="24"/>
    </row>
    <row r="1327" customFormat="false" ht="13.8" hidden="false" customHeight="false" outlineLevel="0" collapsed="false">
      <c r="A1327" s="19"/>
      <c r="B1327" s="19"/>
      <c r="C1327" s="19"/>
      <c r="D1327" s="24"/>
      <c r="E1327" s="24"/>
      <c r="F1327" s="24"/>
    </row>
    <row r="1328" customFormat="false" ht="13.8" hidden="false" customHeight="false" outlineLevel="0" collapsed="false">
      <c r="A1328" s="19"/>
      <c r="B1328" s="19"/>
      <c r="C1328" s="19"/>
      <c r="D1328" s="24"/>
      <c r="E1328" s="24"/>
      <c r="F1328" s="24"/>
    </row>
    <row r="1329" customFormat="false" ht="13.8" hidden="false" customHeight="false" outlineLevel="0" collapsed="false">
      <c r="A1329" s="19"/>
      <c r="B1329" s="19"/>
      <c r="C1329" s="19"/>
      <c r="D1329" s="24"/>
      <c r="E1329" s="24"/>
      <c r="F1329" s="24"/>
    </row>
    <row r="1330" customFormat="false" ht="13.8" hidden="false" customHeight="false" outlineLevel="0" collapsed="false">
      <c r="A1330" s="19"/>
      <c r="B1330" s="19"/>
      <c r="C1330" s="19"/>
      <c r="D1330" s="24"/>
      <c r="E1330" s="24"/>
      <c r="F1330" s="24"/>
    </row>
    <row r="1331" customFormat="false" ht="13.8" hidden="false" customHeight="false" outlineLevel="0" collapsed="false">
      <c r="A1331" s="19"/>
      <c r="B1331" s="19"/>
      <c r="C1331" s="19"/>
      <c r="D1331" s="24"/>
      <c r="E1331" s="24"/>
      <c r="F1331" s="24"/>
    </row>
    <row r="1332" customFormat="false" ht="13.8" hidden="false" customHeight="false" outlineLevel="0" collapsed="false">
      <c r="A1332" s="19"/>
      <c r="B1332" s="19"/>
      <c r="C1332" s="19"/>
      <c r="D1332" s="24"/>
      <c r="E1332" s="24"/>
      <c r="F1332" s="24"/>
    </row>
    <row r="1333" customFormat="false" ht="13.8" hidden="false" customHeight="false" outlineLevel="0" collapsed="false">
      <c r="A1333" s="19"/>
      <c r="B1333" s="19"/>
      <c r="C1333" s="19"/>
      <c r="D1333" s="24"/>
      <c r="E1333" s="24"/>
      <c r="F1333" s="24"/>
    </row>
    <row r="1334" customFormat="false" ht="13.8" hidden="false" customHeight="false" outlineLevel="0" collapsed="false">
      <c r="A1334" s="19"/>
      <c r="B1334" s="19"/>
      <c r="C1334" s="19"/>
      <c r="D1334" s="24"/>
      <c r="E1334" s="24"/>
      <c r="F1334" s="24"/>
    </row>
    <row r="1335" customFormat="false" ht="13.8" hidden="false" customHeight="false" outlineLevel="0" collapsed="false">
      <c r="A1335" s="19"/>
      <c r="B1335" s="19"/>
      <c r="C1335" s="19"/>
      <c r="D1335" s="24"/>
      <c r="E1335" s="24"/>
      <c r="F1335" s="24"/>
    </row>
    <row r="1336" customFormat="false" ht="13.8" hidden="false" customHeight="false" outlineLevel="0" collapsed="false">
      <c r="A1336" s="19"/>
      <c r="B1336" s="19"/>
      <c r="C1336" s="19"/>
      <c r="D1336" s="24"/>
      <c r="E1336" s="24"/>
      <c r="F1336" s="24"/>
    </row>
    <row r="1337" customFormat="false" ht="13.8" hidden="false" customHeight="false" outlineLevel="0" collapsed="false">
      <c r="A1337" s="19"/>
      <c r="B1337" s="19"/>
      <c r="C1337" s="19"/>
      <c r="D1337" s="24"/>
      <c r="E1337" s="24"/>
      <c r="F1337" s="24"/>
    </row>
    <row r="1338" customFormat="false" ht="13.8" hidden="false" customHeight="false" outlineLevel="0" collapsed="false">
      <c r="A1338" s="19"/>
      <c r="B1338" s="19"/>
      <c r="C1338" s="19"/>
      <c r="D1338" s="24"/>
      <c r="E1338" s="24"/>
      <c r="F1338" s="24"/>
    </row>
    <row r="1339" customFormat="false" ht="13.8" hidden="false" customHeight="false" outlineLevel="0" collapsed="false">
      <c r="A1339" s="19"/>
      <c r="B1339" s="19"/>
      <c r="C1339" s="19"/>
      <c r="D1339" s="24"/>
      <c r="E1339" s="24"/>
      <c r="F1339" s="24"/>
    </row>
    <row r="1340" customFormat="false" ht="13.8" hidden="false" customHeight="false" outlineLevel="0" collapsed="false">
      <c r="A1340" s="19"/>
      <c r="B1340" s="19"/>
      <c r="C1340" s="19"/>
      <c r="D1340" s="24"/>
      <c r="E1340" s="24"/>
      <c r="F1340" s="24"/>
    </row>
    <row r="1341" customFormat="false" ht="13.8" hidden="false" customHeight="false" outlineLevel="0" collapsed="false">
      <c r="A1341" s="19"/>
      <c r="B1341" s="19"/>
      <c r="C1341" s="19"/>
      <c r="D1341" s="24"/>
      <c r="E1341" s="24"/>
      <c r="F1341" s="24"/>
    </row>
    <row r="1342" customFormat="false" ht="13.8" hidden="false" customHeight="false" outlineLevel="0" collapsed="false">
      <c r="A1342" s="19"/>
      <c r="B1342" s="19"/>
      <c r="C1342" s="19"/>
      <c r="D1342" s="24"/>
      <c r="E1342" s="24"/>
      <c r="F1342" s="24"/>
    </row>
    <row r="1343" customFormat="false" ht="13.8" hidden="false" customHeight="false" outlineLevel="0" collapsed="false">
      <c r="A1343" s="19"/>
      <c r="B1343" s="19"/>
      <c r="C1343" s="19"/>
      <c r="D1343" s="24"/>
      <c r="E1343" s="24"/>
      <c r="F1343" s="24"/>
    </row>
    <row r="1344" customFormat="false" ht="13.8" hidden="false" customHeight="false" outlineLevel="0" collapsed="false">
      <c r="A1344" s="19"/>
      <c r="B1344" s="19"/>
      <c r="C1344" s="19"/>
      <c r="D1344" s="24"/>
      <c r="E1344" s="24"/>
      <c r="F1344" s="24"/>
    </row>
    <row r="1345" customFormat="false" ht="13.8" hidden="false" customHeight="false" outlineLevel="0" collapsed="false">
      <c r="A1345" s="19"/>
      <c r="B1345" s="19"/>
      <c r="C1345" s="19"/>
      <c r="D1345" s="24"/>
      <c r="E1345" s="24"/>
      <c r="F1345" s="24"/>
    </row>
    <row r="1346" customFormat="false" ht="13.8" hidden="false" customHeight="false" outlineLevel="0" collapsed="false">
      <c r="A1346" s="19"/>
      <c r="B1346" s="19"/>
      <c r="C1346" s="19"/>
      <c r="D1346" s="24"/>
      <c r="E1346" s="24"/>
      <c r="F1346" s="24"/>
    </row>
    <row r="1347" customFormat="false" ht="13.8" hidden="false" customHeight="false" outlineLevel="0" collapsed="false">
      <c r="A1347" s="19"/>
      <c r="B1347" s="19"/>
      <c r="C1347" s="19"/>
      <c r="D1347" s="24"/>
      <c r="E1347" s="24"/>
      <c r="F1347" s="24"/>
    </row>
    <row r="1348" customFormat="false" ht="13.8" hidden="false" customHeight="false" outlineLevel="0" collapsed="false">
      <c r="A1348" s="19"/>
      <c r="B1348" s="19"/>
      <c r="C1348" s="19"/>
      <c r="D1348" s="24"/>
      <c r="E1348" s="24"/>
      <c r="F1348" s="24"/>
    </row>
    <row r="1349" customFormat="false" ht="13.8" hidden="false" customHeight="false" outlineLevel="0" collapsed="false">
      <c r="A1349" s="19"/>
      <c r="B1349" s="19"/>
      <c r="C1349" s="19"/>
      <c r="D1349" s="24"/>
      <c r="E1349" s="24"/>
      <c r="F1349" s="24"/>
    </row>
    <row r="1350" customFormat="false" ht="13.8" hidden="false" customHeight="false" outlineLevel="0" collapsed="false">
      <c r="A1350" s="19"/>
      <c r="B1350" s="19"/>
      <c r="C1350" s="19"/>
      <c r="D1350" s="24"/>
      <c r="E1350" s="24"/>
      <c r="F1350" s="24"/>
    </row>
    <row r="1351" customFormat="false" ht="13.8" hidden="false" customHeight="false" outlineLevel="0" collapsed="false">
      <c r="A1351" s="19"/>
      <c r="B1351" s="19"/>
      <c r="C1351" s="19"/>
      <c r="D1351" s="24"/>
      <c r="E1351" s="24"/>
      <c r="F1351" s="24"/>
    </row>
    <row r="1352" customFormat="false" ht="13.8" hidden="false" customHeight="false" outlineLevel="0" collapsed="false">
      <c r="A1352" s="19"/>
      <c r="B1352" s="19"/>
      <c r="C1352" s="19"/>
      <c r="D1352" s="24"/>
      <c r="E1352" s="24"/>
      <c r="F1352" s="24"/>
    </row>
    <row r="1353" customFormat="false" ht="13.8" hidden="false" customHeight="false" outlineLevel="0" collapsed="false">
      <c r="A1353" s="19"/>
      <c r="B1353" s="19"/>
      <c r="C1353" s="19"/>
      <c r="D1353" s="24"/>
      <c r="E1353" s="24"/>
      <c r="F1353" s="24"/>
    </row>
    <row r="1354" customFormat="false" ht="13.8" hidden="false" customHeight="false" outlineLevel="0" collapsed="false">
      <c r="A1354" s="19"/>
      <c r="B1354" s="19"/>
      <c r="C1354" s="19"/>
      <c r="D1354" s="24"/>
      <c r="E1354" s="24"/>
      <c r="F1354" s="24"/>
    </row>
    <row r="1355" customFormat="false" ht="13.8" hidden="false" customHeight="false" outlineLevel="0" collapsed="false">
      <c r="A1355" s="19"/>
      <c r="B1355" s="19"/>
      <c r="C1355" s="19"/>
      <c r="D1355" s="24"/>
      <c r="E1355" s="24"/>
      <c r="F1355" s="24"/>
    </row>
    <row r="1356" customFormat="false" ht="13.8" hidden="false" customHeight="false" outlineLevel="0" collapsed="false">
      <c r="A1356" s="19"/>
      <c r="B1356" s="19"/>
      <c r="C1356" s="19"/>
      <c r="D1356" s="24"/>
      <c r="E1356" s="24"/>
      <c r="F1356" s="24"/>
    </row>
    <row r="1357" customFormat="false" ht="13.8" hidden="false" customHeight="false" outlineLevel="0" collapsed="false">
      <c r="A1357" s="19"/>
      <c r="B1357" s="19"/>
      <c r="C1357" s="19"/>
      <c r="D1357" s="24"/>
      <c r="E1357" s="24"/>
      <c r="F1357" s="24"/>
    </row>
    <row r="1358" customFormat="false" ht="13.8" hidden="false" customHeight="false" outlineLevel="0" collapsed="false">
      <c r="A1358" s="19"/>
      <c r="B1358" s="19"/>
      <c r="C1358" s="19"/>
      <c r="D1358" s="24"/>
      <c r="E1358" s="24"/>
      <c r="F1358" s="24"/>
    </row>
    <row r="1359" customFormat="false" ht="13.8" hidden="false" customHeight="false" outlineLevel="0" collapsed="false">
      <c r="A1359" s="19"/>
      <c r="B1359" s="19"/>
      <c r="C1359" s="19"/>
      <c r="D1359" s="24"/>
      <c r="E1359" s="24"/>
      <c r="F1359" s="24"/>
    </row>
    <row r="1360" customFormat="false" ht="13.8" hidden="false" customHeight="false" outlineLevel="0" collapsed="false">
      <c r="A1360" s="19"/>
      <c r="B1360" s="19"/>
      <c r="C1360" s="19"/>
      <c r="D1360" s="24"/>
      <c r="E1360" s="24"/>
      <c r="F1360" s="24"/>
    </row>
    <row r="1361" customFormat="false" ht="13.8" hidden="false" customHeight="false" outlineLevel="0" collapsed="false">
      <c r="A1361" s="19"/>
      <c r="B1361" s="19"/>
      <c r="C1361" s="19"/>
      <c r="D1361" s="24"/>
      <c r="E1361" s="24"/>
      <c r="F1361" s="24"/>
    </row>
    <row r="1362" customFormat="false" ht="13.8" hidden="false" customHeight="false" outlineLevel="0" collapsed="false">
      <c r="A1362" s="19"/>
      <c r="B1362" s="19"/>
      <c r="C1362" s="19"/>
      <c r="D1362" s="24"/>
      <c r="E1362" s="24"/>
      <c r="F1362" s="24"/>
    </row>
    <row r="1363" customFormat="false" ht="13.8" hidden="false" customHeight="false" outlineLevel="0" collapsed="false">
      <c r="A1363" s="19"/>
      <c r="B1363" s="19"/>
      <c r="C1363" s="19"/>
      <c r="D1363" s="24"/>
      <c r="E1363" s="24"/>
      <c r="F1363" s="24"/>
    </row>
    <row r="1364" customFormat="false" ht="13.8" hidden="false" customHeight="false" outlineLevel="0" collapsed="false">
      <c r="A1364" s="19"/>
      <c r="B1364" s="19"/>
      <c r="C1364" s="19"/>
      <c r="D1364" s="24"/>
      <c r="E1364" s="24"/>
      <c r="F1364" s="24"/>
    </row>
    <row r="1365" customFormat="false" ht="13.8" hidden="false" customHeight="false" outlineLevel="0" collapsed="false">
      <c r="A1365" s="19"/>
      <c r="B1365" s="19"/>
      <c r="C1365" s="19"/>
      <c r="D1365" s="24"/>
      <c r="E1365" s="24"/>
      <c r="F1365" s="24"/>
    </row>
    <row r="1366" customFormat="false" ht="13.8" hidden="false" customHeight="false" outlineLevel="0" collapsed="false">
      <c r="A1366" s="19"/>
      <c r="B1366" s="19"/>
      <c r="C1366" s="19"/>
      <c r="D1366" s="24"/>
      <c r="E1366" s="24"/>
      <c r="F1366" s="24"/>
    </row>
    <row r="1367" customFormat="false" ht="13.8" hidden="false" customHeight="false" outlineLevel="0" collapsed="false">
      <c r="A1367" s="19"/>
      <c r="B1367" s="19"/>
      <c r="C1367" s="19"/>
      <c r="D1367" s="24"/>
      <c r="E1367" s="24"/>
      <c r="F1367" s="24"/>
    </row>
    <row r="1368" customFormat="false" ht="13.8" hidden="false" customHeight="false" outlineLevel="0" collapsed="false">
      <c r="A1368" s="19"/>
      <c r="B1368" s="19"/>
      <c r="C1368" s="19"/>
      <c r="D1368" s="24"/>
      <c r="E1368" s="24"/>
      <c r="F1368" s="24"/>
    </row>
    <row r="1369" customFormat="false" ht="13.8" hidden="false" customHeight="false" outlineLevel="0" collapsed="false">
      <c r="A1369" s="19"/>
      <c r="B1369" s="19"/>
      <c r="C1369" s="19"/>
      <c r="D1369" s="24"/>
      <c r="E1369" s="24"/>
      <c r="F1369" s="24"/>
    </row>
    <row r="1370" customFormat="false" ht="13.8" hidden="false" customHeight="false" outlineLevel="0" collapsed="false">
      <c r="A1370" s="19"/>
      <c r="B1370" s="19"/>
      <c r="C1370" s="19"/>
      <c r="D1370" s="24"/>
      <c r="E1370" s="24"/>
      <c r="F1370" s="24"/>
    </row>
    <row r="1371" customFormat="false" ht="13.8" hidden="false" customHeight="false" outlineLevel="0" collapsed="false">
      <c r="A1371" s="19"/>
      <c r="B1371" s="19"/>
      <c r="C1371" s="19"/>
      <c r="D1371" s="24"/>
      <c r="E1371" s="24"/>
      <c r="F1371" s="24"/>
    </row>
    <row r="1372" customFormat="false" ht="13.8" hidden="false" customHeight="false" outlineLevel="0" collapsed="false">
      <c r="A1372" s="19"/>
      <c r="B1372" s="19"/>
      <c r="C1372" s="19"/>
      <c r="D1372" s="24"/>
      <c r="E1372" s="24"/>
      <c r="F1372" s="24"/>
    </row>
    <row r="1373" customFormat="false" ht="13.8" hidden="false" customHeight="false" outlineLevel="0" collapsed="false">
      <c r="A1373" s="19"/>
      <c r="B1373" s="19"/>
      <c r="C1373" s="19"/>
      <c r="D1373" s="24"/>
      <c r="E1373" s="24"/>
      <c r="F1373" s="24"/>
    </row>
    <row r="1374" customFormat="false" ht="13.8" hidden="false" customHeight="false" outlineLevel="0" collapsed="false">
      <c r="A1374" s="19"/>
      <c r="B1374" s="19"/>
      <c r="C1374" s="19"/>
      <c r="D1374" s="24"/>
      <c r="E1374" s="24"/>
      <c r="F1374" s="24"/>
    </row>
    <row r="1375" customFormat="false" ht="13.8" hidden="false" customHeight="false" outlineLevel="0" collapsed="false">
      <c r="A1375" s="19"/>
      <c r="B1375" s="19"/>
      <c r="C1375" s="19"/>
      <c r="D1375" s="24"/>
      <c r="E1375" s="24"/>
      <c r="F1375" s="24"/>
    </row>
    <row r="1376" customFormat="false" ht="13.8" hidden="false" customHeight="false" outlineLevel="0" collapsed="false">
      <c r="A1376" s="19"/>
      <c r="B1376" s="19"/>
      <c r="C1376" s="19"/>
      <c r="D1376" s="24"/>
      <c r="E1376" s="24"/>
      <c r="F1376" s="24"/>
    </row>
    <row r="1377" customFormat="false" ht="13.8" hidden="false" customHeight="false" outlineLevel="0" collapsed="false">
      <c r="A1377" s="19"/>
      <c r="B1377" s="19"/>
      <c r="C1377" s="19"/>
      <c r="D1377" s="24"/>
      <c r="E1377" s="24"/>
      <c r="F1377" s="24"/>
    </row>
    <row r="1378" customFormat="false" ht="13.8" hidden="false" customHeight="false" outlineLevel="0" collapsed="false">
      <c r="A1378" s="19"/>
      <c r="B1378" s="19"/>
      <c r="C1378" s="19"/>
      <c r="D1378" s="24"/>
      <c r="E1378" s="24"/>
      <c r="F1378" s="24"/>
    </row>
    <row r="1379" customFormat="false" ht="13.8" hidden="false" customHeight="false" outlineLevel="0" collapsed="false">
      <c r="A1379" s="19"/>
      <c r="B1379" s="19"/>
      <c r="C1379" s="19"/>
      <c r="D1379" s="24"/>
      <c r="E1379" s="24"/>
      <c r="F1379" s="24"/>
    </row>
    <row r="1380" customFormat="false" ht="13.8" hidden="false" customHeight="false" outlineLevel="0" collapsed="false">
      <c r="A1380" s="19"/>
      <c r="B1380" s="19"/>
      <c r="C1380" s="19"/>
      <c r="D1380" s="24"/>
      <c r="E1380" s="24"/>
      <c r="F1380" s="24"/>
    </row>
    <row r="1381" customFormat="false" ht="13.8" hidden="false" customHeight="false" outlineLevel="0" collapsed="false">
      <c r="A1381" s="19"/>
      <c r="B1381" s="19"/>
      <c r="C1381" s="19"/>
      <c r="D1381" s="24"/>
      <c r="E1381" s="24"/>
      <c r="F1381" s="24"/>
    </row>
    <row r="1382" customFormat="false" ht="13.8" hidden="false" customHeight="false" outlineLevel="0" collapsed="false">
      <c r="A1382" s="19"/>
      <c r="B1382" s="19"/>
      <c r="C1382" s="19"/>
      <c r="D1382" s="24"/>
      <c r="E1382" s="24"/>
      <c r="F1382" s="24"/>
    </row>
    <row r="1383" customFormat="false" ht="13.8" hidden="false" customHeight="false" outlineLevel="0" collapsed="false">
      <c r="A1383" s="19"/>
      <c r="B1383" s="19"/>
      <c r="C1383" s="19"/>
      <c r="D1383" s="24"/>
      <c r="E1383" s="24"/>
      <c r="F1383" s="24"/>
    </row>
    <row r="1384" customFormat="false" ht="13.8" hidden="false" customHeight="false" outlineLevel="0" collapsed="false">
      <c r="A1384" s="19"/>
      <c r="B1384" s="19"/>
      <c r="C1384" s="19"/>
      <c r="D1384" s="24"/>
      <c r="E1384" s="24"/>
      <c r="F1384" s="24"/>
    </row>
    <row r="1385" customFormat="false" ht="13.8" hidden="false" customHeight="false" outlineLevel="0" collapsed="false">
      <c r="A1385" s="19"/>
      <c r="B1385" s="19"/>
      <c r="C1385" s="19"/>
      <c r="D1385" s="24"/>
      <c r="E1385" s="24"/>
      <c r="F1385" s="24"/>
    </row>
    <row r="1386" customFormat="false" ht="13.8" hidden="false" customHeight="false" outlineLevel="0" collapsed="false">
      <c r="A1386" s="19"/>
      <c r="B1386" s="19"/>
      <c r="C1386" s="19"/>
      <c r="D1386" s="24"/>
      <c r="E1386" s="24"/>
      <c r="F1386" s="24"/>
    </row>
    <row r="1387" customFormat="false" ht="13.8" hidden="false" customHeight="false" outlineLevel="0" collapsed="false">
      <c r="A1387" s="19"/>
      <c r="B1387" s="19"/>
      <c r="C1387" s="19"/>
      <c r="D1387" s="24"/>
      <c r="E1387" s="24"/>
      <c r="F1387" s="24"/>
    </row>
    <row r="1388" customFormat="false" ht="13.8" hidden="false" customHeight="false" outlineLevel="0" collapsed="false">
      <c r="A1388" s="19"/>
      <c r="B1388" s="19"/>
      <c r="C1388" s="19"/>
      <c r="D1388" s="24"/>
      <c r="E1388" s="24"/>
      <c r="F1388" s="24"/>
    </row>
    <row r="1389" customFormat="false" ht="13.8" hidden="false" customHeight="false" outlineLevel="0" collapsed="false">
      <c r="A1389" s="19"/>
      <c r="B1389" s="19"/>
      <c r="C1389" s="19"/>
      <c r="D1389" s="24"/>
      <c r="E1389" s="24"/>
      <c r="F1389" s="24"/>
    </row>
    <row r="1390" customFormat="false" ht="13.8" hidden="false" customHeight="false" outlineLevel="0" collapsed="false">
      <c r="A1390" s="19"/>
      <c r="B1390" s="19"/>
      <c r="C1390" s="19"/>
      <c r="D1390" s="24"/>
      <c r="E1390" s="24"/>
      <c r="F1390" s="24"/>
    </row>
    <row r="1391" customFormat="false" ht="13.8" hidden="false" customHeight="false" outlineLevel="0" collapsed="false">
      <c r="A1391" s="19"/>
      <c r="B1391" s="19"/>
      <c r="C1391" s="19"/>
      <c r="D1391" s="24"/>
      <c r="E1391" s="24"/>
      <c r="F1391" s="24"/>
    </row>
    <row r="1392" customFormat="false" ht="13.8" hidden="false" customHeight="false" outlineLevel="0" collapsed="false">
      <c r="A1392" s="19"/>
      <c r="B1392" s="19"/>
      <c r="C1392" s="19"/>
      <c r="D1392" s="24"/>
      <c r="E1392" s="24"/>
      <c r="F1392" s="24"/>
    </row>
    <row r="1393" customFormat="false" ht="13.8" hidden="false" customHeight="false" outlineLevel="0" collapsed="false">
      <c r="A1393" s="19"/>
      <c r="B1393" s="19"/>
      <c r="C1393" s="19"/>
      <c r="D1393" s="24"/>
      <c r="E1393" s="24"/>
      <c r="F1393" s="24"/>
    </row>
    <row r="1394" customFormat="false" ht="13.8" hidden="false" customHeight="false" outlineLevel="0" collapsed="false">
      <c r="A1394" s="19"/>
      <c r="B1394" s="19"/>
      <c r="C1394" s="19"/>
      <c r="D1394" s="24"/>
      <c r="E1394" s="24"/>
      <c r="F1394" s="24"/>
    </row>
    <row r="1395" customFormat="false" ht="13.8" hidden="false" customHeight="false" outlineLevel="0" collapsed="false">
      <c r="A1395" s="19"/>
      <c r="B1395" s="19"/>
      <c r="C1395" s="19"/>
      <c r="D1395" s="24"/>
      <c r="E1395" s="24"/>
      <c r="F1395" s="24"/>
    </row>
    <row r="1396" customFormat="false" ht="13.8" hidden="false" customHeight="false" outlineLevel="0" collapsed="false">
      <c r="A1396" s="19"/>
      <c r="B1396" s="19"/>
      <c r="C1396" s="19"/>
      <c r="D1396" s="24"/>
      <c r="E1396" s="24"/>
      <c r="F1396" s="24"/>
    </row>
    <row r="1397" customFormat="false" ht="13.8" hidden="false" customHeight="false" outlineLevel="0" collapsed="false">
      <c r="A1397" s="19"/>
      <c r="B1397" s="19"/>
      <c r="C1397" s="19"/>
      <c r="D1397" s="24"/>
      <c r="E1397" s="24"/>
      <c r="F1397" s="24"/>
    </row>
    <row r="1398" customFormat="false" ht="13.8" hidden="false" customHeight="false" outlineLevel="0" collapsed="false">
      <c r="A1398" s="19"/>
      <c r="B1398" s="19"/>
      <c r="C1398" s="19"/>
      <c r="D1398" s="24"/>
      <c r="E1398" s="24"/>
      <c r="F1398" s="24"/>
    </row>
    <row r="1399" customFormat="false" ht="13.8" hidden="false" customHeight="false" outlineLevel="0" collapsed="false">
      <c r="A1399" s="19"/>
      <c r="B1399" s="19"/>
      <c r="C1399" s="19"/>
      <c r="D1399" s="24"/>
      <c r="E1399" s="24"/>
      <c r="F1399" s="24"/>
    </row>
    <row r="1400" customFormat="false" ht="13.8" hidden="false" customHeight="false" outlineLevel="0" collapsed="false">
      <c r="A1400" s="19"/>
      <c r="B1400" s="19"/>
      <c r="C1400" s="19"/>
      <c r="D1400" s="24"/>
      <c r="E1400" s="24"/>
      <c r="F1400" s="24"/>
    </row>
    <row r="1401" customFormat="false" ht="13.8" hidden="false" customHeight="false" outlineLevel="0" collapsed="false">
      <c r="A1401" s="19"/>
      <c r="B1401" s="19"/>
      <c r="C1401" s="19"/>
      <c r="D1401" s="24"/>
      <c r="E1401" s="24"/>
      <c r="F1401" s="24"/>
    </row>
    <row r="1402" customFormat="false" ht="13.8" hidden="false" customHeight="false" outlineLevel="0" collapsed="false">
      <c r="A1402" s="19"/>
      <c r="B1402" s="19"/>
      <c r="C1402" s="19"/>
      <c r="D1402" s="24"/>
      <c r="E1402" s="24"/>
      <c r="F1402" s="24"/>
    </row>
    <row r="1403" customFormat="false" ht="13.8" hidden="false" customHeight="false" outlineLevel="0" collapsed="false">
      <c r="A1403" s="19"/>
      <c r="B1403" s="19"/>
      <c r="C1403" s="19"/>
      <c r="D1403" s="24"/>
      <c r="E1403" s="24"/>
      <c r="F1403" s="24"/>
    </row>
    <row r="1404" customFormat="false" ht="13.8" hidden="false" customHeight="false" outlineLevel="0" collapsed="false">
      <c r="A1404" s="19"/>
      <c r="B1404" s="19"/>
      <c r="C1404" s="19"/>
      <c r="D1404" s="24"/>
      <c r="E1404" s="24"/>
      <c r="F1404" s="24"/>
    </row>
    <row r="1405" customFormat="false" ht="13.8" hidden="false" customHeight="false" outlineLevel="0" collapsed="false">
      <c r="A1405" s="19"/>
      <c r="B1405" s="19"/>
      <c r="C1405" s="19"/>
      <c r="D1405" s="24"/>
      <c r="E1405" s="24"/>
      <c r="F1405" s="24"/>
    </row>
    <row r="1406" customFormat="false" ht="13.8" hidden="false" customHeight="false" outlineLevel="0" collapsed="false">
      <c r="A1406" s="19"/>
      <c r="B1406" s="19"/>
      <c r="C1406" s="19"/>
      <c r="D1406" s="24"/>
      <c r="E1406" s="24"/>
      <c r="F1406" s="24"/>
    </row>
    <row r="1407" customFormat="false" ht="13.8" hidden="false" customHeight="false" outlineLevel="0" collapsed="false">
      <c r="A1407" s="19"/>
      <c r="B1407" s="19"/>
      <c r="C1407" s="19"/>
      <c r="D1407" s="24"/>
      <c r="E1407" s="24"/>
      <c r="F1407" s="24"/>
    </row>
    <row r="1408" customFormat="false" ht="13.8" hidden="false" customHeight="false" outlineLevel="0" collapsed="false">
      <c r="A1408" s="19"/>
      <c r="B1408" s="19"/>
      <c r="C1408" s="19"/>
      <c r="D1408" s="24"/>
      <c r="E1408" s="24"/>
      <c r="F1408" s="24"/>
    </row>
    <row r="1409" customFormat="false" ht="13.8" hidden="false" customHeight="false" outlineLevel="0" collapsed="false">
      <c r="A1409" s="19"/>
      <c r="B1409" s="19"/>
      <c r="C1409" s="19"/>
      <c r="D1409" s="24"/>
      <c r="E1409" s="24"/>
      <c r="F1409" s="24"/>
    </row>
    <row r="1410" customFormat="false" ht="13.8" hidden="false" customHeight="false" outlineLevel="0" collapsed="false">
      <c r="A1410" s="19"/>
      <c r="B1410" s="19"/>
      <c r="C1410" s="19"/>
      <c r="D1410" s="24"/>
      <c r="E1410" s="24"/>
      <c r="F1410" s="24"/>
    </row>
    <row r="1411" customFormat="false" ht="13.8" hidden="false" customHeight="false" outlineLevel="0" collapsed="false">
      <c r="A1411" s="19"/>
      <c r="B1411" s="19"/>
      <c r="C1411" s="19"/>
      <c r="D1411" s="24"/>
      <c r="E1411" s="24"/>
      <c r="F1411" s="24"/>
    </row>
    <row r="1412" customFormat="false" ht="13.8" hidden="false" customHeight="false" outlineLevel="0" collapsed="false">
      <c r="A1412" s="19"/>
      <c r="B1412" s="19"/>
      <c r="C1412" s="19"/>
      <c r="D1412" s="24"/>
      <c r="E1412" s="24"/>
      <c r="F1412" s="24"/>
    </row>
    <row r="1413" customFormat="false" ht="13.8" hidden="false" customHeight="false" outlineLevel="0" collapsed="false">
      <c r="A1413" s="19"/>
      <c r="B1413" s="19"/>
      <c r="C1413" s="19"/>
      <c r="D1413" s="24"/>
      <c r="E1413" s="24"/>
      <c r="F1413" s="24"/>
    </row>
    <row r="1414" customFormat="false" ht="13.8" hidden="false" customHeight="false" outlineLevel="0" collapsed="false">
      <c r="A1414" s="19"/>
      <c r="B1414" s="19"/>
      <c r="C1414" s="19"/>
      <c r="D1414" s="24"/>
      <c r="E1414" s="24"/>
      <c r="F1414" s="24"/>
    </row>
    <row r="1415" customFormat="false" ht="13.8" hidden="false" customHeight="false" outlineLevel="0" collapsed="false">
      <c r="A1415" s="19"/>
      <c r="B1415" s="19"/>
      <c r="C1415" s="19"/>
      <c r="D1415" s="24"/>
      <c r="E1415" s="24"/>
      <c r="F1415" s="24"/>
    </row>
    <row r="1416" customFormat="false" ht="13.8" hidden="false" customHeight="false" outlineLevel="0" collapsed="false">
      <c r="A1416" s="19"/>
      <c r="B1416" s="19"/>
      <c r="C1416" s="19"/>
      <c r="D1416" s="24"/>
      <c r="E1416" s="24"/>
      <c r="F1416" s="24"/>
    </row>
    <row r="1417" customFormat="false" ht="13.8" hidden="false" customHeight="false" outlineLevel="0" collapsed="false">
      <c r="A1417" s="19"/>
      <c r="B1417" s="19"/>
      <c r="C1417" s="19"/>
      <c r="D1417" s="24"/>
      <c r="E1417" s="24"/>
      <c r="F1417" s="24"/>
    </row>
    <row r="1418" customFormat="false" ht="13.8" hidden="false" customHeight="false" outlineLevel="0" collapsed="false">
      <c r="A1418" s="19"/>
      <c r="B1418" s="19"/>
      <c r="C1418" s="19"/>
      <c r="D1418" s="24"/>
      <c r="E1418" s="24"/>
      <c r="F1418" s="24"/>
    </row>
    <row r="1419" customFormat="false" ht="13.8" hidden="false" customHeight="false" outlineLevel="0" collapsed="false">
      <c r="A1419" s="19"/>
      <c r="B1419" s="19"/>
      <c r="C1419" s="19"/>
      <c r="D1419" s="24"/>
      <c r="E1419" s="24"/>
      <c r="F1419" s="24"/>
    </row>
    <row r="1420" customFormat="false" ht="13.8" hidden="false" customHeight="false" outlineLevel="0" collapsed="false">
      <c r="A1420" s="19"/>
      <c r="B1420" s="19"/>
      <c r="C1420" s="19"/>
      <c r="D1420" s="24"/>
      <c r="E1420" s="24"/>
      <c r="F1420" s="24"/>
    </row>
    <row r="1421" customFormat="false" ht="13.8" hidden="false" customHeight="false" outlineLevel="0" collapsed="false">
      <c r="A1421" s="19"/>
      <c r="B1421" s="19"/>
      <c r="C1421" s="19"/>
      <c r="D1421" s="24"/>
      <c r="E1421" s="24"/>
      <c r="F1421" s="24"/>
    </row>
    <row r="1422" customFormat="false" ht="13.8" hidden="false" customHeight="false" outlineLevel="0" collapsed="false">
      <c r="A1422" s="19"/>
      <c r="B1422" s="19"/>
      <c r="C1422" s="19"/>
      <c r="D1422" s="24"/>
      <c r="E1422" s="24"/>
      <c r="F1422" s="24"/>
    </row>
    <row r="1423" customFormat="false" ht="13.8" hidden="false" customHeight="false" outlineLevel="0" collapsed="false">
      <c r="A1423" s="19"/>
      <c r="B1423" s="19"/>
      <c r="C1423" s="19"/>
      <c r="D1423" s="24"/>
      <c r="E1423" s="24"/>
      <c r="F1423" s="24"/>
    </row>
    <row r="1424" customFormat="false" ht="13.8" hidden="false" customHeight="false" outlineLevel="0" collapsed="false">
      <c r="A1424" s="19"/>
      <c r="B1424" s="19"/>
      <c r="C1424" s="19"/>
      <c r="D1424" s="24"/>
      <c r="E1424" s="24"/>
      <c r="F1424" s="24"/>
    </row>
    <row r="1425" customFormat="false" ht="13.8" hidden="false" customHeight="false" outlineLevel="0" collapsed="false">
      <c r="A1425" s="19"/>
      <c r="B1425" s="19"/>
      <c r="C1425" s="19"/>
      <c r="D1425" s="24"/>
      <c r="E1425" s="24"/>
      <c r="F1425" s="24"/>
    </row>
    <row r="1426" customFormat="false" ht="13.8" hidden="false" customHeight="false" outlineLevel="0" collapsed="false">
      <c r="A1426" s="19"/>
      <c r="B1426" s="19"/>
      <c r="C1426" s="19"/>
      <c r="D1426" s="24"/>
      <c r="E1426" s="24"/>
      <c r="F1426" s="24"/>
    </row>
    <row r="1427" customFormat="false" ht="13.8" hidden="false" customHeight="false" outlineLevel="0" collapsed="false">
      <c r="A1427" s="19"/>
      <c r="B1427" s="19"/>
      <c r="C1427" s="19"/>
      <c r="D1427" s="24"/>
      <c r="E1427" s="24"/>
      <c r="F1427" s="24"/>
    </row>
    <row r="1428" customFormat="false" ht="13.8" hidden="false" customHeight="false" outlineLevel="0" collapsed="false">
      <c r="A1428" s="19"/>
      <c r="B1428" s="19"/>
      <c r="C1428" s="19"/>
      <c r="D1428" s="24"/>
      <c r="E1428" s="24"/>
      <c r="F1428" s="24"/>
    </row>
    <row r="1429" customFormat="false" ht="13.8" hidden="false" customHeight="false" outlineLevel="0" collapsed="false">
      <c r="A1429" s="19"/>
      <c r="B1429" s="19"/>
      <c r="C1429" s="19"/>
      <c r="D1429" s="24"/>
      <c r="E1429" s="24"/>
      <c r="F1429" s="24"/>
    </row>
    <row r="1430" customFormat="false" ht="13.8" hidden="false" customHeight="false" outlineLevel="0" collapsed="false">
      <c r="A1430" s="19"/>
      <c r="B1430" s="19"/>
      <c r="C1430" s="19"/>
      <c r="D1430" s="24"/>
      <c r="E1430" s="24"/>
      <c r="F1430" s="24"/>
    </row>
    <row r="1431" customFormat="false" ht="13.8" hidden="false" customHeight="false" outlineLevel="0" collapsed="false">
      <c r="A1431" s="19"/>
      <c r="B1431" s="19"/>
      <c r="C1431" s="19"/>
      <c r="D1431" s="24"/>
      <c r="E1431" s="24"/>
      <c r="F1431" s="24"/>
    </row>
    <row r="1432" customFormat="false" ht="13.8" hidden="false" customHeight="false" outlineLevel="0" collapsed="false">
      <c r="A1432" s="19"/>
      <c r="B1432" s="19"/>
      <c r="C1432" s="19"/>
      <c r="D1432" s="24"/>
      <c r="E1432" s="24"/>
      <c r="F1432" s="24"/>
    </row>
    <row r="1433" customFormat="false" ht="13.8" hidden="false" customHeight="false" outlineLevel="0" collapsed="false">
      <c r="A1433" s="19"/>
      <c r="B1433" s="19"/>
      <c r="C1433" s="19"/>
      <c r="D1433" s="24"/>
      <c r="E1433" s="24"/>
      <c r="F1433" s="24"/>
    </row>
    <row r="1434" customFormat="false" ht="13.8" hidden="false" customHeight="false" outlineLevel="0" collapsed="false">
      <c r="A1434" s="19"/>
      <c r="B1434" s="19"/>
      <c r="C1434" s="19"/>
      <c r="D1434" s="24"/>
      <c r="E1434" s="24"/>
      <c r="F1434" s="24"/>
    </row>
    <row r="1435" customFormat="false" ht="13.8" hidden="false" customHeight="false" outlineLevel="0" collapsed="false">
      <c r="A1435" s="19"/>
      <c r="B1435" s="19"/>
      <c r="C1435" s="19"/>
      <c r="D1435" s="24"/>
      <c r="E1435" s="24"/>
      <c r="F1435" s="24"/>
    </row>
    <row r="1436" customFormat="false" ht="13.8" hidden="false" customHeight="false" outlineLevel="0" collapsed="false">
      <c r="A1436" s="19"/>
      <c r="B1436" s="19"/>
      <c r="C1436" s="19"/>
      <c r="D1436" s="24"/>
      <c r="E1436" s="24"/>
      <c r="F1436" s="24"/>
    </row>
    <row r="1437" customFormat="false" ht="13.8" hidden="false" customHeight="false" outlineLevel="0" collapsed="false">
      <c r="A1437" s="19"/>
      <c r="B1437" s="19"/>
      <c r="C1437" s="19"/>
      <c r="D1437" s="24"/>
      <c r="E1437" s="24"/>
      <c r="F1437" s="24"/>
    </row>
    <row r="1438" customFormat="false" ht="13.8" hidden="false" customHeight="false" outlineLevel="0" collapsed="false">
      <c r="A1438" s="19"/>
      <c r="B1438" s="19"/>
      <c r="C1438" s="19"/>
      <c r="D1438" s="24"/>
      <c r="E1438" s="24"/>
      <c r="F1438" s="24"/>
    </row>
    <row r="1439" customFormat="false" ht="13.8" hidden="false" customHeight="false" outlineLevel="0" collapsed="false">
      <c r="A1439" s="19"/>
      <c r="B1439" s="19"/>
      <c r="C1439" s="19"/>
      <c r="D1439" s="24"/>
      <c r="E1439" s="24"/>
      <c r="F1439" s="24"/>
    </row>
    <row r="1440" customFormat="false" ht="13.8" hidden="false" customHeight="false" outlineLevel="0" collapsed="false">
      <c r="A1440" s="19"/>
      <c r="B1440" s="19"/>
      <c r="C1440" s="19"/>
      <c r="D1440" s="24"/>
      <c r="E1440" s="24"/>
      <c r="F1440" s="24"/>
    </row>
    <row r="1441" customFormat="false" ht="13.8" hidden="false" customHeight="false" outlineLevel="0" collapsed="false">
      <c r="A1441" s="19"/>
      <c r="B1441" s="19"/>
      <c r="C1441" s="19"/>
      <c r="D1441" s="24"/>
      <c r="E1441" s="24"/>
      <c r="F1441" s="24"/>
    </row>
    <row r="1442" customFormat="false" ht="13.8" hidden="false" customHeight="false" outlineLevel="0" collapsed="false">
      <c r="A1442" s="19"/>
      <c r="B1442" s="19"/>
      <c r="C1442" s="19"/>
      <c r="D1442" s="24"/>
      <c r="E1442" s="24"/>
      <c r="F1442" s="24"/>
    </row>
    <row r="1443" customFormat="false" ht="13.8" hidden="false" customHeight="false" outlineLevel="0" collapsed="false">
      <c r="A1443" s="19"/>
      <c r="B1443" s="19"/>
      <c r="C1443" s="19"/>
      <c r="D1443" s="24"/>
      <c r="E1443" s="24"/>
      <c r="F1443" s="24"/>
    </row>
    <row r="1444" customFormat="false" ht="13.8" hidden="false" customHeight="false" outlineLevel="0" collapsed="false">
      <c r="A1444" s="19"/>
      <c r="B1444" s="19"/>
      <c r="C1444" s="19"/>
      <c r="D1444" s="24"/>
      <c r="E1444" s="24"/>
      <c r="F1444" s="24"/>
    </row>
    <row r="1445" customFormat="false" ht="13.8" hidden="false" customHeight="false" outlineLevel="0" collapsed="false">
      <c r="A1445" s="19"/>
      <c r="B1445" s="19"/>
      <c r="C1445" s="19"/>
      <c r="D1445" s="24"/>
      <c r="E1445" s="24"/>
      <c r="F1445" s="24"/>
    </row>
    <row r="1446" customFormat="false" ht="13.8" hidden="false" customHeight="false" outlineLevel="0" collapsed="false">
      <c r="A1446" s="19"/>
      <c r="B1446" s="19"/>
      <c r="C1446" s="19"/>
      <c r="D1446" s="24"/>
      <c r="E1446" s="24"/>
      <c r="F1446" s="24"/>
    </row>
    <row r="1447" customFormat="false" ht="13.8" hidden="false" customHeight="false" outlineLevel="0" collapsed="false">
      <c r="A1447" s="19"/>
      <c r="B1447" s="19"/>
      <c r="C1447" s="19"/>
      <c r="D1447" s="24"/>
      <c r="E1447" s="24"/>
      <c r="F1447" s="24"/>
    </row>
    <row r="1448" customFormat="false" ht="13.8" hidden="false" customHeight="false" outlineLevel="0" collapsed="false">
      <c r="A1448" s="19"/>
      <c r="B1448" s="19"/>
      <c r="C1448" s="19"/>
      <c r="D1448" s="24"/>
      <c r="E1448" s="24"/>
      <c r="F1448" s="24"/>
    </row>
    <row r="1449" customFormat="false" ht="13.8" hidden="false" customHeight="false" outlineLevel="0" collapsed="false">
      <c r="A1449" s="19"/>
      <c r="B1449" s="19"/>
      <c r="C1449" s="19"/>
      <c r="D1449" s="24"/>
      <c r="E1449" s="24"/>
      <c r="F1449" s="24"/>
    </row>
    <row r="1450" customFormat="false" ht="13.8" hidden="false" customHeight="false" outlineLevel="0" collapsed="false">
      <c r="A1450" s="19"/>
      <c r="B1450" s="19"/>
      <c r="C1450" s="19"/>
      <c r="D1450" s="24"/>
      <c r="E1450" s="24"/>
      <c r="F1450" s="24"/>
    </row>
    <row r="1451" customFormat="false" ht="13.8" hidden="false" customHeight="false" outlineLevel="0" collapsed="false">
      <c r="A1451" s="19"/>
      <c r="B1451" s="19"/>
      <c r="C1451" s="19"/>
      <c r="D1451" s="24"/>
      <c r="E1451" s="24"/>
      <c r="F1451" s="24"/>
    </row>
    <row r="1452" customFormat="false" ht="13.8" hidden="false" customHeight="false" outlineLevel="0" collapsed="false">
      <c r="A1452" s="19"/>
      <c r="B1452" s="19"/>
      <c r="C1452" s="19"/>
      <c r="D1452" s="24"/>
      <c r="E1452" s="24"/>
      <c r="F1452" s="24"/>
    </row>
    <row r="1453" customFormat="false" ht="13.8" hidden="false" customHeight="false" outlineLevel="0" collapsed="false">
      <c r="A1453" s="19"/>
      <c r="B1453" s="19"/>
      <c r="C1453" s="19"/>
      <c r="D1453" s="24"/>
      <c r="E1453" s="24"/>
      <c r="F1453" s="24"/>
    </row>
    <row r="1454" customFormat="false" ht="13.8" hidden="false" customHeight="false" outlineLevel="0" collapsed="false">
      <c r="A1454" s="19"/>
      <c r="B1454" s="19"/>
      <c r="C1454" s="19"/>
      <c r="D1454" s="24"/>
      <c r="E1454" s="24"/>
      <c r="F1454" s="24"/>
    </row>
    <row r="1455" customFormat="false" ht="13.8" hidden="false" customHeight="false" outlineLevel="0" collapsed="false">
      <c r="A1455" s="19"/>
      <c r="B1455" s="19"/>
      <c r="C1455" s="19"/>
      <c r="D1455" s="24"/>
      <c r="E1455" s="24"/>
      <c r="F1455" s="24"/>
    </row>
    <row r="1456" customFormat="false" ht="13.8" hidden="false" customHeight="false" outlineLevel="0" collapsed="false">
      <c r="A1456" s="19"/>
      <c r="B1456" s="19"/>
      <c r="C1456" s="19"/>
      <c r="D1456" s="24"/>
      <c r="E1456" s="24"/>
      <c r="F1456" s="24"/>
    </row>
    <row r="1457" customFormat="false" ht="13.8" hidden="false" customHeight="false" outlineLevel="0" collapsed="false">
      <c r="A1457" s="19"/>
      <c r="B1457" s="19"/>
      <c r="C1457" s="19"/>
      <c r="D1457" s="24"/>
      <c r="E1457" s="24"/>
      <c r="F1457" s="24"/>
    </row>
    <row r="1458" customFormat="false" ht="13.8" hidden="false" customHeight="false" outlineLevel="0" collapsed="false">
      <c r="A1458" s="19"/>
      <c r="B1458" s="19"/>
      <c r="C1458" s="19"/>
      <c r="D1458" s="24"/>
      <c r="E1458" s="24"/>
      <c r="F1458" s="24"/>
    </row>
    <row r="1459" customFormat="false" ht="13.8" hidden="false" customHeight="false" outlineLevel="0" collapsed="false">
      <c r="A1459" s="19"/>
      <c r="B1459" s="19"/>
      <c r="C1459" s="19"/>
      <c r="D1459" s="24"/>
      <c r="E1459" s="24"/>
      <c r="F1459" s="24"/>
    </row>
    <row r="1460" customFormat="false" ht="13.8" hidden="false" customHeight="false" outlineLevel="0" collapsed="false">
      <c r="A1460" s="19"/>
      <c r="B1460" s="19"/>
      <c r="C1460" s="19"/>
      <c r="D1460" s="24"/>
      <c r="E1460" s="24"/>
      <c r="F1460" s="24"/>
    </row>
    <row r="1461" customFormat="false" ht="13.8" hidden="false" customHeight="false" outlineLevel="0" collapsed="false">
      <c r="A1461" s="19"/>
      <c r="B1461" s="19"/>
      <c r="C1461" s="19"/>
      <c r="D1461" s="24"/>
      <c r="E1461" s="24"/>
      <c r="F1461" s="24"/>
    </row>
    <row r="1462" customFormat="false" ht="13.8" hidden="false" customHeight="false" outlineLevel="0" collapsed="false">
      <c r="A1462" s="19"/>
      <c r="B1462" s="19"/>
      <c r="C1462" s="19"/>
      <c r="D1462" s="24"/>
      <c r="E1462" s="24"/>
      <c r="F1462" s="24"/>
    </row>
    <row r="1463" customFormat="false" ht="13.8" hidden="false" customHeight="false" outlineLevel="0" collapsed="false">
      <c r="A1463" s="19"/>
      <c r="B1463" s="19"/>
      <c r="C1463" s="19"/>
      <c r="D1463" s="24"/>
      <c r="E1463" s="24"/>
      <c r="F1463" s="24"/>
    </row>
    <row r="1464" customFormat="false" ht="13.8" hidden="false" customHeight="false" outlineLevel="0" collapsed="false">
      <c r="A1464" s="19"/>
      <c r="B1464" s="19"/>
      <c r="C1464" s="19"/>
      <c r="D1464" s="24"/>
      <c r="E1464" s="24"/>
      <c r="F1464" s="24"/>
    </row>
    <row r="1465" customFormat="false" ht="13.8" hidden="false" customHeight="false" outlineLevel="0" collapsed="false">
      <c r="A1465" s="19"/>
      <c r="B1465" s="19"/>
      <c r="C1465" s="19"/>
      <c r="D1465" s="24"/>
      <c r="E1465" s="24"/>
      <c r="F1465" s="24"/>
    </row>
    <row r="1466" customFormat="false" ht="13.8" hidden="false" customHeight="false" outlineLevel="0" collapsed="false">
      <c r="A1466" s="19"/>
      <c r="B1466" s="19"/>
      <c r="C1466" s="19"/>
      <c r="D1466" s="24"/>
      <c r="E1466" s="24"/>
      <c r="F1466" s="24"/>
    </row>
    <row r="1467" customFormat="false" ht="13.8" hidden="false" customHeight="false" outlineLevel="0" collapsed="false">
      <c r="A1467" s="19"/>
      <c r="B1467" s="19"/>
      <c r="C1467" s="19"/>
      <c r="D1467" s="24"/>
      <c r="E1467" s="24"/>
      <c r="F1467" s="24"/>
    </row>
    <row r="1468" customFormat="false" ht="13.8" hidden="false" customHeight="false" outlineLevel="0" collapsed="false">
      <c r="A1468" s="19"/>
      <c r="B1468" s="19"/>
      <c r="C1468" s="19"/>
      <c r="D1468" s="24"/>
      <c r="E1468" s="24"/>
      <c r="F1468" s="24"/>
    </row>
    <row r="1469" customFormat="false" ht="13.8" hidden="false" customHeight="false" outlineLevel="0" collapsed="false">
      <c r="A1469" s="19"/>
      <c r="B1469" s="19"/>
      <c r="C1469" s="19"/>
      <c r="D1469" s="24"/>
      <c r="E1469" s="24"/>
      <c r="F1469" s="24"/>
    </row>
    <row r="1470" customFormat="false" ht="13.8" hidden="false" customHeight="false" outlineLevel="0" collapsed="false">
      <c r="A1470" s="19"/>
      <c r="B1470" s="19"/>
      <c r="C1470" s="19"/>
      <c r="D1470" s="24"/>
      <c r="E1470" s="24"/>
      <c r="F1470" s="24"/>
    </row>
    <row r="1471" customFormat="false" ht="13.8" hidden="false" customHeight="false" outlineLevel="0" collapsed="false">
      <c r="A1471" s="19"/>
      <c r="B1471" s="19"/>
      <c r="C1471" s="19"/>
      <c r="D1471" s="24"/>
      <c r="E1471" s="24"/>
      <c r="F1471" s="24"/>
    </row>
    <row r="1472" customFormat="false" ht="13.8" hidden="false" customHeight="false" outlineLevel="0" collapsed="false">
      <c r="A1472" s="19"/>
      <c r="B1472" s="19"/>
      <c r="C1472" s="19"/>
      <c r="D1472" s="24"/>
      <c r="E1472" s="24"/>
      <c r="F1472" s="24"/>
    </row>
    <row r="1473" customFormat="false" ht="13.8" hidden="false" customHeight="false" outlineLevel="0" collapsed="false">
      <c r="A1473" s="19"/>
      <c r="B1473" s="19"/>
      <c r="C1473" s="19"/>
      <c r="D1473" s="24"/>
      <c r="E1473" s="24"/>
      <c r="F1473" s="24"/>
    </row>
    <row r="1474" customFormat="false" ht="13.8" hidden="false" customHeight="false" outlineLevel="0" collapsed="false">
      <c r="A1474" s="19"/>
      <c r="B1474" s="19"/>
      <c r="C1474" s="19"/>
      <c r="D1474" s="24"/>
      <c r="E1474" s="24"/>
      <c r="F1474" s="24"/>
    </row>
    <row r="1475" customFormat="false" ht="13.8" hidden="false" customHeight="false" outlineLevel="0" collapsed="false">
      <c r="A1475" s="19"/>
      <c r="B1475" s="19"/>
      <c r="C1475" s="19"/>
      <c r="D1475" s="24"/>
      <c r="E1475" s="24"/>
      <c r="F1475" s="24"/>
    </row>
    <row r="1476" customFormat="false" ht="13.8" hidden="false" customHeight="false" outlineLevel="0" collapsed="false">
      <c r="A1476" s="19"/>
      <c r="B1476" s="19"/>
      <c r="C1476" s="19"/>
      <c r="D1476" s="24"/>
      <c r="E1476" s="24"/>
      <c r="F1476" s="24"/>
    </row>
    <row r="1477" customFormat="false" ht="13.8" hidden="false" customHeight="false" outlineLevel="0" collapsed="false">
      <c r="A1477" s="19"/>
      <c r="B1477" s="19"/>
      <c r="C1477" s="19"/>
      <c r="D1477" s="24"/>
      <c r="E1477" s="24"/>
      <c r="F1477" s="24"/>
    </row>
    <row r="1478" customFormat="false" ht="13.8" hidden="false" customHeight="false" outlineLevel="0" collapsed="false">
      <c r="A1478" s="19"/>
      <c r="B1478" s="19"/>
      <c r="C1478" s="19"/>
      <c r="D1478" s="24"/>
      <c r="E1478" s="24"/>
      <c r="F1478" s="24"/>
    </row>
    <row r="1479" customFormat="false" ht="13.8" hidden="false" customHeight="false" outlineLevel="0" collapsed="false">
      <c r="A1479" s="19"/>
      <c r="B1479" s="19"/>
      <c r="C1479" s="19"/>
      <c r="D1479" s="24"/>
      <c r="E1479" s="24"/>
      <c r="F1479" s="24"/>
    </row>
    <row r="1480" customFormat="false" ht="13.8" hidden="false" customHeight="false" outlineLevel="0" collapsed="false">
      <c r="A1480" s="19"/>
      <c r="B1480" s="19"/>
      <c r="C1480" s="19"/>
      <c r="D1480" s="24"/>
      <c r="E1480" s="24"/>
      <c r="F1480" s="24"/>
    </row>
    <row r="1481" customFormat="false" ht="13.8" hidden="false" customHeight="false" outlineLevel="0" collapsed="false">
      <c r="A1481" s="19"/>
      <c r="B1481" s="19"/>
      <c r="C1481" s="19"/>
      <c r="D1481" s="24"/>
      <c r="E1481" s="24"/>
      <c r="F1481" s="24"/>
    </row>
    <row r="1482" customFormat="false" ht="13.8" hidden="false" customHeight="false" outlineLevel="0" collapsed="false">
      <c r="A1482" s="19"/>
      <c r="B1482" s="19"/>
      <c r="C1482" s="19"/>
      <c r="D1482" s="24"/>
      <c r="E1482" s="24"/>
      <c r="F1482" s="24"/>
    </row>
    <row r="1483" customFormat="false" ht="13.8" hidden="false" customHeight="false" outlineLevel="0" collapsed="false">
      <c r="A1483" s="19"/>
      <c r="B1483" s="19"/>
      <c r="C1483" s="19"/>
      <c r="D1483" s="24"/>
      <c r="E1483" s="24"/>
      <c r="F1483" s="24"/>
    </row>
    <row r="1484" customFormat="false" ht="13.8" hidden="false" customHeight="false" outlineLevel="0" collapsed="false">
      <c r="A1484" s="19"/>
      <c r="B1484" s="19"/>
      <c r="C1484" s="19"/>
      <c r="D1484" s="24"/>
      <c r="E1484" s="24"/>
      <c r="F1484" s="24"/>
    </row>
    <row r="1485" customFormat="false" ht="13.8" hidden="false" customHeight="false" outlineLevel="0" collapsed="false">
      <c r="A1485" s="19"/>
      <c r="B1485" s="19"/>
      <c r="C1485" s="19"/>
      <c r="D1485" s="24"/>
      <c r="E1485" s="24"/>
      <c r="F1485" s="24"/>
    </row>
    <row r="1486" customFormat="false" ht="13.8" hidden="false" customHeight="false" outlineLevel="0" collapsed="false">
      <c r="A1486" s="19"/>
      <c r="B1486" s="19"/>
      <c r="C1486" s="19"/>
      <c r="D1486" s="24"/>
      <c r="E1486" s="24"/>
      <c r="F1486" s="24"/>
    </row>
    <row r="1487" customFormat="false" ht="13.8" hidden="false" customHeight="false" outlineLevel="0" collapsed="false">
      <c r="A1487" s="19"/>
      <c r="B1487" s="19"/>
      <c r="C1487" s="19"/>
      <c r="D1487" s="24"/>
      <c r="E1487" s="24"/>
      <c r="F1487" s="24"/>
    </row>
    <row r="1488" customFormat="false" ht="13.8" hidden="false" customHeight="false" outlineLevel="0" collapsed="false">
      <c r="A1488" s="19"/>
      <c r="B1488" s="19"/>
      <c r="C1488" s="19"/>
      <c r="D1488" s="24"/>
      <c r="E1488" s="24"/>
      <c r="F1488" s="24"/>
    </row>
    <row r="1489" customFormat="false" ht="13.8" hidden="false" customHeight="false" outlineLevel="0" collapsed="false">
      <c r="A1489" s="19"/>
      <c r="B1489" s="19"/>
      <c r="C1489" s="19"/>
      <c r="D1489" s="24"/>
      <c r="E1489" s="24"/>
      <c r="F1489" s="24"/>
    </row>
    <row r="1490" customFormat="false" ht="13.8" hidden="false" customHeight="false" outlineLevel="0" collapsed="false">
      <c r="A1490" s="19"/>
      <c r="B1490" s="19"/>
      <c r="C1490" s="19"/>
      <c r="D1490" s="24"/>
      <c r="E1490" s="24"/>
      <c r="F1490" s="24"/>
    </row>
    <row r="1491" customFormat="false" ht="13.8" hidden="false" customHeight="false" outlineLevel="0" collapsed="false">
      <c r="A1491" s="19"/>
      <c r="B1491" s="19"/>
      <c r="C1491" s="19"/>
      <c r="D1491" s="24"/>
      <c r="E1491" s="24"/>
      <c r="F1491" s="24"/>
    </row>
    <row r="1492" customFormat="false" ht="13.8" hidden="false" customHeight="false" outlineLevel="0" collapsed="false">
      <c r="A1492" s="19"/>
      <c r="B1492" s="19"/>
      <c r="C1492" s="19"/>
      <c r="D1492" s="24"/>
      <c r="E1492" s="24"/>
      <c r="F1492" s="24"/>
    </row>
    <row r="1493" customFormat="false" ht="13.8" hidden="false" customHeight="false" outlineLevel="0" collapsed="false">
      <c r="A1493" s="19"/>
      <c r="B1493" s="19"/>
      <c r="C1493" s="19"/>
      <c r="D1493" s="24"/>
      <c r="E1493" s="24"/>
      <c r="F1493" s="24"/>
    </row>
    <row r="1494" customFormat="false" ht="13.8" hidden="false" customHeight="false" outlineLevel="0" collapsed="false">
      <c r="A1494" s="19"/>
      <c r="B1494" s="19"/>
      <c r="C1494" s="19"/>
      <c r="D1494" s="24"/>
      <c r="E1494" s="24"/>
      <c r="F1494" s="24"/>
    </row>
    <row r="1495" customFormat="false" ht="13.8" hidden="false" customHeight="false" outlineLevel="0" collapsed="false">
      <c r="A1495" s="19"/>
      <c r="B1495" s="19"/>
      <c r="C1495" s="19"/>
      <c r="D1495" s="24"/>
      <c r="E1495" s="24"/>
      <c r="F1495" s="24"/>
    </row>
    <row r="1496" customFormat="false" ht="13.8" hidden="false" customHeight="false" outlineLevel="0" collapsed="false">
      <c r="A1496" s="19"/>
      <c r="B1496" s="19"/>
      <c r="C1496" s="19"/>
      <c r="D1496" s="24"/>
      <c r="E1496" s="24"/>
      <c r="F1496" s="24"/>
    </row>
    <row r="1497" customFormat="false" ht="13.8" hidden="false" customHeight="false" outlineLevel="0" collapsed="false">
      <c r="A1497" s="19"/>
      <c r="B1497" s="19"/>
      <c r="C1497" s="19"/>
      <c r="D1497" s="24"/>
      <c r="E1497" s="24"/>
      <c r="F1497" s="24"/>
    </row>
    <row r="1498" customFormat="false" ht="13.8" hidden="false" customHeight="false" outlineLevel="0" collapsed="false">
      <c r="A1498" s="19"/>
      <c r="B1498" s="19"/>
      <c r="C1498" s="19"/>
      <c r="D1498" s="24"/>
      <c r="E1498" s="24"/>
      <c r="F1498" s="24"/>
    </row>
    <row r="1499" customFormat="false" ht="13.8" hidden="false" customHeight="false" outlineLevel="0" collapsed="false">
      <c r="A1499" s="19"/>
      <c r="B1499" s="19"/>
      <c r="C1499" s="19"/>
      <c r="D1499" s="24"/>
      <c r="E1499" s="24"/>
      <c r="F1499" s="24"/>
    </row>
    <row r="1500" customFormat="false" ht="13.8" hidden="false" customHeight="false" outlineLevel="0" collapsed="false">
      <c r="A1500" s="19"/>
      <c r="B1500" s="19"/>
      <c r="C1500" s="19"/>
      <c r="D1500" s="24"/>
      <c r="E1500" s="24"/>
      <c r="F1500" s="24"/>
    </row>
    <row r="1501" customFormat="false" ht="13.8" hidden="false" customHeight="false" outlineLevel="0" collapsed="false">
      <c r="A1501" s="19"/>
      <c r="B1501" s="19"/>
      <c r="C1501" s="19"/>
      <c r="D1501" s="24"/>
      <c r="E1501" s="24"/>
      <c r="F1501" s="24"/>
    </row>
    <row r="1502" customFormat="false" ht="13.8" hidden="false" customHeight="false" outlineLevel="0" collapsed="false">
      <c r="A1502" s="19"/>
      <c r="B1502" s="19"/>
      <c r="C1502" s="19"/>
      <c r="D1502" s="24"/>
      <c r="E1502" s="24"/>
      <c r="F1502" s="24"/>
    </row>
    <row r="1503" customFormat="false" ht="13.8" hidden="false" customHeight="false" outlineLevel="0" collapsed="false">
      <c r="A1503" s="19"/>
      <c r="B1503" s="19"/>
      <c r="C1503" s="19"/>
      <c r="D1503" s="24"/>
      <c r="E1503" s="24"/>
      <c r="F1503" s="24"/>
    </row>
    <row r="1504" customFormat="false" ht="13.8" hidden="false" customHeight="false" outlineLevel="0" collapsed="false">
      <c r="A1504" s="19"/>
      <c r="B1504" s="19"/>
      <c r="C1504" s="19"/>
      <c r="D1504" s="24"/>
      <c r="E1504" s="24"/>
      <c r="F1504" s="24"/>
    </row>
    <row r="1505" customFormat="false" ht="13.8" hidden="false" customHeight="false" outlineLevel="0" collapsed="false">
      <c r="A1505" s="19"/>
      <c r="B1505" s="19"/>
      <c r="C1505" s="19"/>
      <c r="D1505" s="24"/>
      <c r="E1505" s="24"/>
      <c r="F1505" s="24"/>
    </row>
    <row r="1506" customFormat="false" ht="13.8" hidden="false" customHeight="false" outlineLevel="0" collapsed="false">
      <c r="A1506" s="19"/>
      <c r="B1506" s="19"/>
      <c r="C1506" s="19"/>
      <c r="D1506" s="24"/>
      <c r="E1506" s="24"/>
      <c r="F1506" s="24"/>
    </row>
    <row r="1507" customFormat="false" ht="13.8" hidden="false" customHeight="false" outlineLevel="0" collapsed="false">
      <c r="A1507" s="19"/>
      <c r="B1507" s="19"/>
      <c r="C1507" s="19"/>
      <c r="D1507" s="24"/>
      <c r="E1507" s="24"/>
      <c r="F1507" s="24"/>
    </row>
    <row r="1508" customFormat="false" ht="13.8" hidden="false" customHeight="false" outlineLevel="0" collapsed="false">
      <c r="A1508" s="19"/>
      <c r="B1508" s="19"/>
      <c r="C1508" s="19"/>
      <c r="D1508" s="24"/>
      <c r="E1508" s="24"/>
      <c r="F1508" s="24"/>
    </row>
    <row r="1509" customFormat="false" ht="13.8" hidden="false" customHeight="false" outlineLevel="0" collapsed="false">
      <c r="A1509" s="19"/>
      <c r="B1509" s="19"/>
      <c r="C1509" s="19"/>
      <c r="D1509" s="24"/>
      <c r="E1509" s="24"/>
      <c r="F1509" s="24"/>
    </row>
    <row r="1510" customFormat="false" ht="13.8" hidden="false" customHeight="false" outlineLevel="0" collapsed="false">
      <c r="A1510" s="19"/>
      <c r="B1510" s="19"/>
      <c r="C1510" s="19"/>
      <c r="D1510" s="24"/>
      <c r="E1510" s="24"/>
      <c r="F1510" s="24"/>
    </row>
    <row r="1511" customFormat="false" ht="13.8" hidden="false" customHeight="false" outlineLevel="0" collapsed="false">
      <c r="A1511" s="19"/>
      <c r="B1511" s="19"/>
      <c r="C1511" s="19"/>
      <c r="D1511" s="24"/>
      <c r="E1511" s="24"/>
      <c r="F1511" s="24"/>
    </row>
    <row r="1512" customFormat="false" ht="13.8" hidden="false" customHeight="false" outlineLevel="0" collapsed="false">
      <c r="A1512" s="19"/>
      <c r="B1512" s="19"/>
      <c r="C1512" s="19"/>
      <c r="D1512" s="24"/>
      <c r="E1512" s="24"/>
      <c r="F1512" s="24"/>
    </row>
    <row r="1513" customFormat="false" ht="13.8" hidden="false" customHeight="false" outlineLevel="0" collapsed="false">
      <c r="A1513" s="19"/>
      <c r="B1513" s="19"/>
      <c r="C1513" s="19"/>
      <c r="D1513" s="24"/>
      <c r="E1513" s="24"/>
      <c r="F1513" s="24"/>
    </row>
    <row r="1514" customFormat="false" ht="13.8" hidden="false" customHeight="false" outlineLevel="0" collapsed="false">
      <c r="A1514" s="19"/>
      <c r="B1514" s="19"/>
      <c r="C1514" s="19"/>
      <c r="D1514" s="24"/>
      <c r="E1514" s="24"/>
      <c r="F1514" s="24"/>
    </row>
    <row r="1515" customFormat="false" ht="13.8" hidden="false" customHeight="false" outlineLevel="0" collapsed="false">
      <c r="A1515" s="19"/>
      <c r="B1515" s="19"/>
      <c r="C1515" s="19"/>
      <c r="D1515" s="24"/>
      <c r="E1515" s="24"/>
      <c r="F1515" s="24"/>
    </row>
    <row r="1516" customFormat="false" ht="13.8" hidden="false" customHeight="false" outlineLevel="0" collapsed="false">
      <c r="A1516" s="19"/>
      <c r="B1516" s="19"/>
      <c r="C1516" s="19"/>
      <c r="D1516" s="24"/>
      <c r="E1516" s="24"/>
      <c r="F1516" s="24"/>
    </row>
    <row r="1517" customFormat="false" ht="13.8" hidden="false" customHeight="false" outlineLevel="0" collapsed="false">
      <c r="A1517" s="19"/>
      <c r="B1517" s="19"/>
      <c r="C1517" s="19"/>
      <c r="D1517" s="24"/>
      <c r="E1517" s="24"/>
      <c r="F1517" s="24"/>
    </row>
    <row r="1518" customFormat="false" ht="13.8" hidden="false" customHeight="false" outlineLevel="0" collapsed="false">
      <c r="A1518" s="19"/>
      <c r="B1518" s="19"/>
      <c r="C1518" s="19"/>
      <c r="D1518" s="24"/>
      <c r="E1518" s="24"/>
      <c r="F1518" s="24"/>
    </row>
    <row r="1519" customFormat="false" ht="13.8" hidden="false" customHeight="false" outlineLevel="0" collapsed="false">
      <c r="A1519" s="19"/>
      <c r="B1519" s="19"/>
      <c r="C1519" s="19"/>
      <c r="D1519" s="24"/>
      <c r="E1519" s="24"/>
      <c r="F1519" s="24"/>
    </row>
    <row r="1520" customFormat="false" ht="13.8" hidden="false" customHeight="false" outlineLevel="0" collapsed="false">
      <c r="A1520" s="19"/>
      <c r="B1520" s="19"/>
      <c r="C1520" s="19"/>
      <c r="D1520" s="24"/>
      <c r="E1520" s="24"/>
      <c r="F1520" s="24"/>
    </row>
    <row r="1521" customFormat="false" ht="13.8" hidden="false" customHeight="false" outlineLevel="0" collapsed="false">
      <c r="A1521" s="19"/>
      <c r="B1521" s="19"/>
      <c r="C1521" s="19"/>
      <c r="D1521" s="24"/>
      <c r="E1521" s="24"/>
      <c r="F1521" s="24"/>
    </row>
    <row r="1522" customFormat="false" ht="13.8" hidden="false" customHeight="false" outlineLevel="0" collapsed="false">
      <c r="A1522" s="19"/>
      <c r="B1522" s="19"/>
      <c r="C1522" s="19"/>
      <c r="D1522" s="24"/>
      <c r="E1522" s="24"/>
      <c r="F1522" s="24"/>
    </row>
    <row r="1523" customFormat="false" ht="13.8" hidden="false" customHeight="false" outlineLevel="0" collapsed="false">
      <c r="A1523" s="19"/>
      <c r="B1523" s="19"/>
      <c r="C1523" s="19"/>
      <c r="D1523" s="24"/>
      <c r="E1523" s="24"/>
      <c r="F1523" s="24"/>
    </row>
    <row r="1524" customFormat="false" ht="13.8" hidden="false" customHeight="false" outlineLevel="0" collapsed="false">
      <c r="A1524" s="19"/>
      <c r="B1524" s="19"/>
      <c r="C1524" s="19"/>
      <c r="D1524" s="24"/>
      <c r="E1524" s="24"/>
      <c r="F1524" s="24"/>
    </row>
    <row r="1525" customFormat="false" ht="13.8" hidden="false" customHeight="false" outlineLevel="0" collapsed="false">
      <c r="A1525" s="19"/>
      <c r="B1525" s="19"/>
      <c r="C1525" s="19"/>
      <c r="D1525" s="24"/>
      <c r="E1525" s="24"/>
      <c r="F1525" s="24"/>
    </row>
    <row r="1526" customFormat="false" ht="13.8" hidden="false" customHeight="false" outlineLevel="0" collapsed="false">
      <c r="A1526" s="19"/>
      <c r="B1526" s="19"/>
      <c r="C1526" s="19"/>
      <c r="D1526" s="24"/>
      <c r="E1526" s="24"/>
      <c r="F1526" s="24"/>
    </row>
    <row r="1527" customFormat="false" ht="13.8" hidden="false" customHeight="false" outlineLevel="0" collapsed="false">
      <c r="A1527" s="19"/>
      <c r="B1527" s="19"/>
      <c r="C1527" s="19"/>
      <c r="D1527" s="24"/>
      <c r="E1527" s="24"/>
      <c r="F1527" s="24"/>
    </row>
    <row r="1528" customFormat="false" ht="13.8" hidden="false" customHeight="false" outlineLevel="0" collapsed="false">
      <c r="A1528" s="19"/>
      <c r="B1528" s="19"/>
      <c r="C1528" s="19"/>
      <c r="D1528" s="24"/>
      <c r="E1528" s="24"/>
      <c r="F1528" s="24"/>
    </row>
    <row r="1529" customFormat="false" ht="13.8" hidden="false" customHeight="false" outlineLevel="0" collapsed="false">
      <c r="A1529" s="19"/>
      <c r="B1529" s="19"/>
      <c r="C1529" s="19"/>
      <c r="D1529" s="24"/>
      <c r="E1529" s="24"/>
      <c r="F1529" s="24"/>
    </row>
    <row r="1530" customFormat="false" ht="13.8" hidden="false" customHeight="false" outlineLevel="0" collapsed="false">
      <c r="A1530" s="19"/>
      <c r="B1530" s="19"/>
      <c r="C1530" s="19"/>
      <c r="D1530" s="24"/>
      <c r="E1530" s="24"/>
      <c r="F1530" s="24"/>
    </row>
    <row r="1531" customFormat="false" ht="13.8" hidden="false" customHeight="false" outlineLevel="0" collapsed="false">
      <c r="A1531" s="19"/>
      <c r="B1531" s="19"/>
      <c r="C1531" s="19"/>
      <c r="D1531" s="24"/>
      <c r="E1531" s="24"/>
      <c r="F1531" s="24"/>
    </row>
    <row r="1532" customFormat="false" ht="13.8" hidden="false" customHeight="false" outlineLevel="0" collapsed="false">
      <c r="A1532" s="19"/>
      <c r="B1532" s="19"/>
      <c r="C1532" s="19"/>
      <c r="D1532" s="24"/>
      <c r="E1532" s="24"/>
      <c r="F1532" s="24"/>
    </row>
    <row r="1533" customFormat="false" ht="13.8" hidden="false" customHeight="false" outlineLevel="0" collapsed="false">
      <c r="A1533" s="19"/>
      <c r="B1533" s="19"/>
      <c r="C1533" s="19"/>
      <c r="D1533" s="24"/>
      <c r="E1533" s="24"/>
      <c r="F1533" s="24"/>
    </row>
    <row r="1534" customFormat="false" ht="13.8" hidden="false" customHeight="false" outlineLevel="0" collapsed="false">
      <c r="A1534" s="19"/>
      <c r="B1534" s="19"/>
      <c r="C1534" s="19"/>
      <c r="D1534" s="24"/>
      <c r="E1534" s="24"/>
      <c r="F1534" s="24"/>
    </row>
    <row r="1535" customFormat="false" ht="13.8" hidden="false" customHeight="false" outlineLevel="0" collapsed="false">
      <c r="A1535" s="19"/>
      <c r="B1535" s="19"/>
      <c r="C1535" s="19"/>
      <c r="D1535" s="24"/>
      <c r="E1535" s="24"/>
      <c r="F1535" s="24"/>
    </row>
    <row r="1536" customFormat="false" ht="13.8" hidden="false" customHeight="false" outlineLevel="0" collapsed="false">
      <c r="A1536" s="19"/>
      <c r="B1536" s="19"/>
      <c r="C1536" s="19"/>
      <c r="D1536" s="24"/>
      <c r="E1536" s="24"/>
      <c r="F1536" s="24"/>
    </row>
    <row r="1537" customFormat="false" ht="13.8" hidden="false" customHeight="false" outlineLevel="0" collapsed="false">
      <c r="A1537" s="19"/>
      <c r="B1537" s="19"/>
      <c r="C1537" s="19"/>
      <c r="D1537" s="24"/>
      <c r="E1537" s="24"/>
      <c r="F1537" s="24"/>
    </row>
    <row r="1538" customFormat="false" ht="13.8" hidden="false" customHeight="false" outlineLevel="0" collapsed="false">
      <c r="A1538" s="19"/>
      <c r="B1538" s="19"/>
      <c r="C1538" s="19"/>
      <c r="D1538" s="24"/>
      <c r="E1538" s="24"/>
      <c r="F1538" s="24"/>
    </row>
    <row r="1539" customFormat="false" ht="13.8" hidden="false" customHeight="false" outlineLevel="0" collapsed="false">
      <c r="A1539" s="19"/>
      <c r="B1539" s="19"/>
      <c r="C1539" s="19"/>
      <c r="D1539" s="24"/>
      <c r="E1539" s="24"/>
      <c r="F1539" s="24"/>
    </row>
    <row r="1540" customFormat="false" ht="13.8" hidden="false" customHeight="false" outlineLevel="0" collapsed="false">
      <c r="A1540" s="19"/>
      <c r="B1540" s="19"/>
      <c r="C1540" s="19"/>
      <c r="D1540" s="24"/>
      <c r="E1540" s="24"/>
      <c r="F1540" s="24"/>
    </row>
    <row r="1541" customFormat="false" ht="13.8" hidden="false" customHeight="false" outlineLevel="0" collapsed="false">
      <c r="A1541" s="19"/>
      <c r="B1541" s="19"/>
      <c r="C1541" s="19"/>
      <c r="D1541" s="24"/>
      <c r="E1541" s="24"/>
      <c r="F1541" s="24"/>
    </row>
    <row r="1542" customFormat="false" ht="13.8" hidden="false" customHeight="false" outlineLevel="0" collapsed="false">
      <c r="A1542" s="19"/>
      <c r="B1542" s="19"/>
      <c r="C1542" s="19"/>
      <c r="D1542" s="24"/>
      <c r="E1542" s="24"/>
      <c r="F1542" s="24"/>
    </row>
    <row r="1543" customFormat="false" ht="13.8" hidden="false" customHeight="false" outlineLevel="0" collapsed="false">
      <c r="A1543" s="19"/>
      <c r="B1543" s="19"/>
      <c r="C1543" s="19"/>
      <c r="D1543" s="24"/>
      <c r="E1543" s="24"/>
      <c r="F1543" s="24"/>
    </row>
    <row r="1544" customFormat="false" ht="13.8" hidden="false" customHeight="false" outlineLevel="0" collapsed="false">
      <c r="A1544" s="19"/>
      <c r="B1544" s="19"/>
      <c r="C1544" s="19"/>
      <c r="D1544" s="24"/>
      <c r="E1544" s="24"/>
      <c r="F1544" s="24"/>
    </row>
    <row r="1545" customFormat="false" ht="13.8" hidden="false" customHeight="false" outlineLevel="0" collapsed="false">
      <c r="A1545" s="19"/>
      <c r="B1545" s="19"/>
      <c r="C1545" s="19"/>
      <c r="D1545" s="24"/>
      <c r="E1545" s="24"/>
      <c r="F1545" s="24"/>
    </row>
    <row r="1546" customFormat="false" ht="13.8" hidden="false" customHeight="false" outlineLevel="0" collapsed="false">
      <c r="A1546" s="19"/>
      <c r="B1546" s="19"/>
      <c r="C1546" s="19"/>
      <c r="D1546" s="24"/>
      <c r="E1546" s="24"/>
      <c r="F1546" s="24"/>
    </row>
    <row r="1547" customFormat="false" ht="13.8" hidden="false" customHeight="false" outlineLevel="0" collapsed="false">
      <c r="A1547" s="19"/>
      <c r="B1547" s="19"/>
      <c r="C1547" s="19"/>
      <c r="D1547" s="24"/>
      <c r="E1547" s="24"/>
      <c r="F1547" s="24"/>
    </row>
    <row r="1548" customFormat="false" ht="13.8" hidden="false" customHeight="false" outlineLevel="0" collapsed="false">
      <c r="A1548" s="19"/>
      <c r="B1548" s="19"/>
      <c r="C1548" s="19"/>
      <c r="D1548" s="24"/>
      <c r="E1548" s="24"/>
      <c r="F1548" s="24"/>
    </row>
    <row r="1549" customFormat="false" ht="13.8" hidden="false" customHeight="false" outlineLevel="0" collapsed="false">
      <c r="A1549" s="19"/>
      <c r="B1549" s="19"/>
      <c r="C1549" s="19"/>
      <c r="D1549" s="24"/>
      <c r="E1549" s="24"/>
      <c r="F1549" s="24"/>
    </row>
    <row r="1550" customFormat="false" ht="13.8" hidden="false" customHeight="false" outlineLevel="0" collapsed="false">
      <c r="A1550" s="19"/>
      <c r="B1550" s="19"/>
      <c r="C1550" s="19"/>
      <c r="D1550" s="24"/>
      <c r="E1550" s="24"/>
      <c r="F1550" s="24"/>
    </row>
    <row r="1551" customFormat="false" ht="13.8" hidden="false" customHeight="false" outlineLevel="0" collapsed="false">
      <c r="A1551" s="19"/>
      <c r="B1551" s="19"/>
      <c r="C1551" s="19"/>
      <c r="D1551" s="24"/>
      <c r="E1551" s="24"/>
      <c r="F1551" s="24"/>
    </row>
    <row r="1552" customFormat="false" ht="13.8" hidden="false" customHeight="false" outlineLevel="0" collapsed="false">
      <c r="A1552" s="19"/>
      <c r="B1552" s="19"/>
      <c r="C1552" s="19"/>
      <c r="D1552" s="24"/>
      <c r="E1552" s="24"/>
      <c r="F1552" s="24"/>
    </row>
    <row r="1553" customFormat="false" ht="13.8" hidden="false" customHeight="false" outlineLevel="0" collapsed="false">
      <c r="A1553" s="19"/>
      <c r="B1553" s="19"/>
      <c r="C1553" s="19"/>
      <c r="D1553" s="24"/>
      <c r="E1553" s="24"/>
      <c r="F1553" s="24"/>
    </row>
    <row r="1554" customFormat="false" ht="13.8" hidden="false" customHeight="false" outlineLevel="0" collapsed="false">
      <c r="A1554" s="19"/>
      <c r="B1554" s="19"/>
      <c r="C1554" s="19"/>
      <c r="D1554" s="24"/>
      <c r="E1554" s="24"/>
      <c r="F1554" s="24"/>
    </row>
    <row r="1555" customFormat="false" ht="13.8" hidden="false" customHeight="false" outlineLevel="0" collapsed="false">
      <c r="A1555" s="19"/>
      <c r="B1555" s="19"/>
      <c r="C1555" s="19"/>
      <c r="D1555" s="24"/>
      <c r="E1555" s="24"/>
      <c r="F1555" s="24"/>
    </row>
    <row r="1556" customFormat="false" ht="13.8" hidden="false" customHeight="false" outlineLevel="0" collapsed="false">
      <c r="A1556" s="19"/>
      <c r="B1556" s="19"/>
      <c r="C1556" s="19"/>
      <c r="D1556" s="24"/>
      <c r="E1556" s="24"/>
      <c r="F1556" s="24"/>
    </row>
    <row r="1557" customFormat="false" ht="13.8" hidden="false" customHeight="false" outlineLevel="0" collapsed="false">
      <c r="A1557" s="19"/>
      <c r="B1557" s="19"/>
      <c r="C1557" s="19"/>
      <c r="D1557" s="24"/>
      <c r="E1557" s="24"/>
      <c r="F1557" s="24"/>
    </row>
    <row r="1558" customFormat="false" ht="13.8" hidden="false" customHeight="false" outlineLevel="0" collapsed="false">
      <c r="A1558" s="19"/>
      <c r="B1558" s="19"/>
      <c r="C1558" s="19"/>
      <c r="D1558" s="24"/>
      <c r="E1558" s="24"/>
      <c r="F1558" s="24"/>
    </row>
    <row r="1559" customFormat="false" ht="13.8" hidden="false" customHeight="false" outlineLevel="0" collapsed="false">
      <c r="A1559" s="19"/>
      <c r="B1559" s="19"/>
      <c r="C1559" s="19"/>
      <c r="D1559" s="24"/>
      <c r="E1559" s="24"/>
      <c r="F1559" s="24"/>
    </row>
    <row r="1560" customFormat="false" ht="13.8" hidden="false" customHeight="false" outlineLevel="0" collapsed="false">
      <c r="A1560" s="19"/>
      <c r="B1560" s="19"/>
      <c r="C1560" s="19"/>
      <c r="D1560" s="24"/>
      <c r="E1560" s="24"/>
      <c r="F1560" s="24"/>
    </row>
    <row r="1561" customFormat="false" ht="13.8" hidden="false" customHeight="false" outlineLevel="0" collapsed="false">
      <c r="A1561" s="19"/>
      <c r="B1561" s="19"/>
      <c r="C1561" s="19"/>
      <c r="D1561" s="24"/>
      <c r="E1561" s="24"/>
      <c r="F1561" s="24"/>
    </row>
    <row r="1562" customFormat="false" ht="13.8" hidden="false" customHeight="false" outlineLevel="0" collapsed="false">
      <c r="A1562" s="19"/>
      <c r="B1562" s="19"/>
      <c r="C1562" s="19"/>
      <c r="D1562" s="24"/>
      <c r="E1562" s="24"/>
      <c r="F1562" s="24"/>
    </row>
    <row r="1563" customFormat="false" ht="13.8" hidden="false" customHeight="false" outlineLevel="0" collapsed="false">
      <c r="A1563" s="19"/>
      <c r="B1563" s="19"/>
      <c r="C1563" s="19"/>
      <c r="D1563" s="24"/>
      <c r="E1563" s="24"/>
      <c r="F1563" s="24"/>
    </row>
    <row r="1564" customFormat="false" ht="13.8" hidden="false" customHeight="false" outlineLevel="0" collapsed="false">
      <c r="A1564" s="19"/>
      <c r="B1564" s="19"/>
      <c r="C1564" s="19"/>
      <c r="D1564" s="24"/>
      <c r="E1564" s="24"/>
      <c r="F1564" s="24"/>
    </row>
    <row r="1565" customFormat="false" ht="13.8" hidden="false" customHeight="false" outlineLevel="0" collapsed="false">
      <c r="A1565" s="19"/>
      <c r="B1565" s="19"/>
      <c r="C1565" s="19"/>
      <c r="D1565" s="24"/>
      <c r="E1565" s="24"/>
      <c r="F1565" s="24"/>
    </row>
    <row r="1566" customFormat="false" ht="13.8" hidden="false" customHeight="false" outlineLevel="0" collapsed="false">
      <c r="A1566" s="19"/>
      <c r="B1566" s="19"/>
      <c r="C1566" s="19"/>
      <c r="D1566" s="24"/>
      <c r="E1566" s="24"/>
      <c r="F1566" s="24"/>
    </row>
    <row r="1567" customFormat="false" ht="13.8" hidden="false" customHeight="false" outlineLevel="0" collapsed="false">
      <c r="A1567" s="19"/>
      <c r="B1567" s="19"/>
      <c r="C1567" s="19"/>
      <c r="D1567" s="24"/>
      <c r="E1567" s="24"/>
      <c r="F1567" s="24"/>
    </row>
    <row r="1568" customFormat="false" ht="13.8" hidden="false" customHeight="false" outlineLevel="0" collapsed="false">
      <c r="A1568" s="19"/>
      <c r="B1568" s="19"/>
      <c r="C1568" s="19"/>
      <c r="D1568" s="24"/>
      <c r="E1568" s="24"/>
      <c r="F1568" s="24"/>
    </row>
    <row r="1569" customFormat="false" ht="13.8" hidden="false" customHeight="false" outlineLevel="0" collapsed="false">
      <c r="A1569" s="19"/>
      <c r="B1569" s="19"/>
      <c r="C1569" s="19"/>
      <c r="D1569" s="24"/>
      <c r="E1569" s="24"/>
      <c r="F1569" s="24"/>
    </row>
    <row r="1570" customFormat="false" ht="13.8" hidden="false" customHeight="false" outlineLevel="0" collapsed="false">
      <c r="A1570" s="19"/>
      <c r="B1570" s="19"/>
      <c r="C1570" s="19"/>
      <c r="D1570" s="24"/>
      <c r="E1570" s="24"/>
      <c r="F1570" s="24"/>
    </row>
    <row r="1571" customFormat="false" ht="13.8" hidden="false" customHeight="false" outlineLevel="0" collapsed="false">
      <c r="A1571" s="19"/>
      <c r="B1571" s="19"/>
      <c r="C1571" s="19"/>
      <c r="D1571" s="24"/>
      <c r="E1571" s="24"/>
      <c r="F1571" s="24"/>
    </row>
    <row r="1572" customFormat="false" ht="13.8" hidden="false" customHeight="false" outlineLevel="0" collapsed="false">
      <c r="A1572" s="19"/>
      <c r="B1572" s="19"/>
      <c r="C1572" s="19"/>
      <c r="D1572" s="24"/>
      <c r="E1572" s="24"/>
      <c r="F1572" s="24"/>
    </row>
    <row r="1573" customFormat="false" ht="13.8" hidden="false" customHeight="false" outlineLevel="0" collapsed="false">
      <c r="A1573" s="19"/>
      <c r="B1573" s="19"/>
      <c r="C1573" s="19"/>
      <c r="D1573" s="24"/>
      <c r="E1573" s="24"/>
      <c r="F1573" s="24"/>
    </row>
    <row r="1574" customFormat="false" ht="13.8" hidden="false" customHeight="false" outlineLevel="0" collapsed="false">
      <c r="A1574" s="19"/>
      <c r="B1574" s="19"/>
      <c r="C1574" s="19"/>
      <c r="D1574" s="24"/>
      <c r="E1574" s="24"/>
      <c r="F1574" s="24"/>
    </row>
    <row r="1575" customFormat="false" ht="13.8" hidden="false" customHeight="false" outlineLevel="0" collapsed="false">
      <c r="A1575" s="19"/>
      <c r="B1575" s="19"/>
      <c r="C1575" s="19"/>
      <c r="D1575" s="24"/>
      <c r="E1575" s="24"/>
      <c r="F1575" s="24"/>
    </row>
    <row r="1576" customFormat="false" ht="13.8" hidden="false" customHeight="false" outlineLevel="0" collapsed="false">
      <c r="A1576" s="19"/>
      <c r="B1576" s="19"/>
      <c r="C1576" s="19"/>
      <c r="D1576" s="24"/>
      <c r="E1576" s="24"/>
      <c r="F1576" s="24"/>
    </row>
    <row r="1577" customFormat="false" ht="13.8" hidden="false" customHeight="false" outlineLevel="0" collapsed="false">
      <c r="A1577" s="19"/>
      <c r="B1577" s="19"/>
      <c r="C1577" s="19"/>
      <c r="D1577" s="24"/>
      <c r="E1577" s="24"/>
      <c r="F1577" s="24"/>
    </row>
    <row r="1578" customFormat="false" ht="13.8" hidden="false" customHeight="false" outlineLevel="0" collapsed="false">
      <c r="A1578" s="19"/>
      <c r="B1578" s="19"/>
      <c r="C1578" s="19"/>
      <c r="D1578" s="24"/>
      <c r="E1578" s="24"/>
      <c r="F1578" s="24"/>
    </row>
    <row r="1579" customFormat="false" ht="13.8" hidden="false" customHeight="false" outlineLevel="0" collapsed="false">
      <c r="A1579" s="19"/>
      <c r="B1579" s="19"/>
      <c r="C1579" s="19"/>
      <c r="D1579" s="24"/>
      <c r="E1579" s="24"/>
      <c r="F1579" s="24"/>
    </row>
    <row r="1580" customFormat="false" ht="13.8" hidden="false" customHeight="false" outlineLevel="0" collapsed="false">
      <c r="A1580" s="19"/>
      <c r="B1580" s="19"/>
      <c r="C1580" s="19"/>
      <c r="D1580" s="24"/>
      <c r="E1580" s="24"/>
      <c r="F1580" s="24"/>
    </row>
    <row r="1581" customFormat="false" ht="13.8" hidden="false" customHeight="false" outlineLevel="0" collapsed="false">
      <c r="A1581" s="19"/>
      <c r="B1581" s="19"/>
      <c r="C1581" s="19"/>
      <c r="D1581" s="24"/>
      <c r="E1581" s="24"/>
      <c r="F1581" s="24"/>
    </row>
    <row r="1582" customFormat="false" ht="13.8" hidden="false" customHeight="false" outlineLevel="0" collapsed="false">
      <c r="A1582" s="19"/>
      <c r="B1582" s="19"/>
      <c r="C1582" s="19"/>
      <c r="D1582" s="24"/>
      <c r="E1582" s="24"/>
      <c r="F1582" s="24"/>
    </row>
    <row r="1583" customFormat="false" ht="13.8" hidden="false" customHeight="false" outlineLevel="0" collapsed="false">
      <c r="A1583" s="19"/>
      <c r="B1583" s="19"/>
      <c r="C1583" s="19"/>
      <c r="D1583" s="24"/>
      <c r="E1583" s="24"/>
      <c r="F1583" s="24"/>
    </row>
    <row r="1584" customFormat="false" ht="13.8" hidden="false" customHeight="false" outlineLevel="0" collapsed="false">
      <c r="A1584" s="19"/>
      <c r="B1584" s="19"/>
      <c r="C1584" s="19"/>
      <c r="D1584" s="24"/>
      <c r="E1584" s="24"/>
      <c r="F1584" s="24"/>
    </row>
    <row r="1585" customFormat="false" ht="13.8" hidden="false" customHeight="false" outlineLevel="0" collapsed="false">
      <c r="A1585" s="19"/>
      <c r="B1585" s="19"/>
      <c r="C1585" s="19"/>
      <c r="D1585" s="24"/>
      <c r="E1585" s="24"/>
      <c r="F1585" s="24"/>
    </row>
    <row r="1586" customFormat="false" ht="13.8" hidden="false" customHeight="false" outlineLevel="0" collapsed="false">
      <c r="A1586" s="19"/>
      <c r="B1586" s="19"/>
      <c r="C1586" s="19"/>
      <c r="D1586" s="24"/>
      <c r="E1586" s="24"/>
      <c r="F1586" s="24"/>
    </row>
    <row r="1587" customFormat="false" ht="13.8" hidden="false" customHeight="false" outlineLevel="0" collapsed="false">
      <c r="A1587" s="19"/>
      <c r="B1587" s="19"/>
      <c r="C1587" s="19"/>
      <c r="D1587" s="24"/>
      <c r="E1587" s="24"/>
      <c r="F1587" s="24"/>
    </row>
    <row r="1588" customFormat="false" ht="13.8" hidden="false" customHeight="false" outlineLevel="0" collapsed="false">
      <c r="A1588" s="19"/>
      <c r="B1588" s="19"/>
      <c r="C1588" s="19"/>
      <c r="D1588" s="24"/>
      <c r="E1588" s="24"/>
      <c r="F1588" s="24"/>
    </row>
    <row r="1589" customFormat="false" ht="13.8" hidden="false" customHeight="false" outlineLevel="0" collapsed="false">
      <c r="A1589" s="19"/>
      <c r="B1589" s="19"/>
      <c r="C1589" s="19"/>
      <c r="D1589" s="24"/>
      <c r="E1589" s="24"/>
      <c r="F1589" s="24"/>
    </row>
    <row r="1590" customFormat="false" ht="13.8" hidden="false" customHeight="false" outlineLevel="0" collapsed="false">
      <c r="A1590" s="19"/>
      <c r="B1590" s="19"/>
      <c r="C1590" s="19"/>
      <c r="D1590" s="24"/>
      <c r="E1590" s="24"/>
      <c r="F1590" s="24"/>
    </row>
    <row r="1591" customFormat="false" ht="13.8" hidden="false" customHeight="false" outlineLevel="0" collapsed="false">
      <c r="A1591" s="19"/>
      <c r="B1591" s="19"/>
      <c r="C1591" s="19"/>
      <c r="D1591" s="24"/>
      <c r="E1591" s="24"/>
      <c r="F1591" s="24"/>
    </row>
    <row r="1592" customFormat="false" ht="13.8" hidden="false" customHeight="false" outlineLevel="0" collapsed="false">
      <c r="A1592" s="19"/>
      <c r="B1592" s="19"/>
      <c r="C1592" s="19"/>
      <c r="D1592" s="24"/>
      <c r="E1592" s="24"/>
      <c r="F1592" s="24"/>
    </row>
    <row r="1593" customFormat="false" ht="13.8" hidden="false" customHeight="false" outlineLevel="0" collapsed="false">
      <c r="A1593" s="19"/>
      <c r="B1593" s="19"/>
      <c r="C1593" s="19"/>
      <c r="D1593" s="24"/>
      <c r="E1593" s="24"/>
      <c r="F1593" s="24"/>
    </row>
    <row r="1594" customFormat="false" ht="13.8" hidden="false" customHeight="false" outlineLevel="0" collapsed="false">
      <c r="A1594" s="19"/>
      <c r="B1594" s="19"/>
      <c r="C1594" s="19"/>
      <c r="D1594" s="24"/>
      <c r="E1594" s="24"/>
      <c r="F1594" s="24"/>
    </row>
    <row r="1595" customFormat="false" ht="13.8" hidden="false" customHeight="false" outlineLevel="0" collapsed="false">
      <c r="A1595" s="19"/>
      <c r="B1595" s="19"/>
      <c r="C1595" s="19"/>
      <c r="D1595" s="24"/>
      <c r="E1595" s="24"/>
      <c r="F1595" s="24"/>
    </row>
    <row r="1596" customFormat="false" ht="13.8" hidden="false" customHeight="false" outlineLevel="0" collapsed="false">
      <c r="A1596" s="19"/>
      <c r="B1596" s="19"/>
      <c r="C1596" s="19"/>
      <c r="D1596" s="24"/>
      <c r="E1596" s="24"/>
      <c r="F1596" s="24"/>
    </row>
    <row r="1597" customFormat="false" ht="13.8" hidden="false" customHeight="false" outlineLevel="0" collapsed="false">
      <c r="A1597" s="19"/>
      <c r="B1597" s="19"/>
      <c r="C1597" s="19"/>
      <c r="D1597" s="24"/>
      <c r="E1597" s="24"/>
      <c r="F1597" s="24"/>
    </row>
    <row r="1598" customFormat="false" ht="13.8" hidden="false" customHeight="false" outlineLevel="0" collapsed="false">
      <c r="A1598" s="19"/>
      <c r="B1598" s="19"/>
      <c r="C1598" s="19"/>
      <c r="D1598" s="24"/>
      <c r="E1598" s="24"/>
      <c r="F1598" s="24"/>
    </row>
    <row r="1599" customFormat="false" ht="13.8" hidden="false" customHeight="false" outlineLevel="0" collapsed="false">
      <c r="A1599" s="19"/>
      <c r="B1599" s="19"/>
      <c r="C1599" s="19"/>
      <c r="D1599" s="24"/>
      <c r="E1599" s="24"/>
      <c r="F1599" s="24"/>
    </row>
    <row r="1600" customFormat="false" ht="13.8" hidden="false" customHeight="false" outlineLevel="0" collapsed="false">
      <c r="A1600" s="19"/>
      <c r="B1600" s="19"/>
      <c r="C1600" s="19"/>
      <c r="D1600" s="24"/>
      <c r="E1600" s="24"/>
      <c r="F1600" s="24"/>
    </row>
    <row r="1601" customFormat="false" ht="13.8" hidden="false" customHeight="false" outlineLevel="0" collapsed="false">
      <c r="A1601" s="19"/>
      <c r="B1601" s="19"/>
      <c r="C1601" s="19"/>
      <c r="D1601" s="24"/>
      <c r="E1601" s="24"/>
      <c r="F1601" s="24"/>
    </row>
    <row r="1602" customFormat="false" ht="13.8" hidden="false" customHeight="false" outlineLevel="0" collapsed="false">
      <c r="A1602" s="19"/>
      <c r="B1602" s="19"/>
      <c r="C1602" s="19"/>
      <c r="D1602" s="24"/>
      <c r="E1602" s="24"/>
      <c r="F1602" s="24"/>
    </row>
    <row r="1603" customFormat="false" ht="13.8" hidden="false" customHeight="false" outlineLevel="0" collapsed="false">
      <c r="A1603" s="19"/>
      <c r="B1603" s="19"/>
      <c r="C1603" s="19"/>
      <c r="D1603" s="24"/>
      <c r="E1603" s="24"/>
      <c r="F1603" s="24"/>
    </row>
    <row r="1604" customFormat="false" ht="13.8" hidden="false" customHeight="false" outlineLevel="0" collapsed="false">
      <c r="A1604" s="19"/>
      <c r="B1604" s="19"/>
      <c r="C1604" s="19"/>
      <c r="D1604" s="24"/>
      <c r="E1604" s="24"/>
      <c r="F1604" s="24"/>
    </row>
    <row r="1605" customFormat="false" ht="13.8" hidden="false" customHeight="false" outlineLevel="0" collapsed="false">
      <c r="A1605" s="19"/>
      <c r="B1605" s="19"/>
      <c r="C1605" s="19"/>
      <c r="D1605" s="24"/>
      <c r="E1605" s="24"/>
      <c r="F1605" s="24"/>
    </row>
    <row r="1606" customFormat="false" ht="13.8" hidden="false" customHeight="false" outlineLevel="0" collapsed="false">
      <c r="A1606" s="19"/>
      <c r="B1606" s="19"/>
      <c r="C1606" s="19"/>
      <c r="D1606" s="24"/>
      <c r="E1606" s="24"/>
      <c r="F1606" s="24"/>
    </row>
    <row r="1607" customFormat="false" ht="13.8" hidden="false" customHeight="false" outlineLevel="0" collapsed="false">
      <c r="A1607" s="19"/>
      <c r="B1607" s="19"/>
      <c r="C1607" s="19"/>
      <c r="D1607" s="24"/>
      <c r="E1607" s="24"/>
      <c r="F1607" s="24"/>
    </row>
    <row r="1608" customFormat="false" ht="13.8" hidden="false" customHeight="false" outlineLevel="0" collapsed="false">
      <c r="A1608" s="19"/>
      <c r="B1608" s="19"/>
      <c r="C1608" s="19"/>
      <c r="D1608" s="24"/>
      <c r="E1608" s="24"/>
      <c r="F1608" s="24"/>
    </row>
    <row r="1609" customFormat="false" ht="13.8" hidden="false" customHeight="false" outlineLevel="0" collapsed="false">
      <c r="A1609" s="19"/>
      <c r="B1609" s="19"/>
      <c r="C1609" s="19"/>
      <c r="D1609" s="24"/>
      <c r="E1609" s="24"/>
      <c r="F1609" s="24"/>
    </row>
    <row r="1610" customFormat="false" ht="13.8" hidden="false" customHeight="false" outlineLevel="0" collapsed="false">
      <c r="A1610" s="19"/>
      <c r="B1610" s="19"/>
      <c r="C1610" s="19"/>
      <c r="D1610" s="24"/>
      <c r="E1610" s="24"/>
      <c r="F1610" s="24"/>
    </row>
    <row r="1611" customFormat="false" ht="13.8" hidden="false" customHeight="false" outlineLevel="0" collapsed="false">
      <c r="A1611" s="19"/>
      <c r="B1611" s="19"/>
      <c r="C1611" s="19"/>
      <c r="D1611" s="24"/>
      <c r="E1611" s="24"/>
      <c r="F1611" s="24"/>
    </row>
    <row r="1612" customFormat="false" ht="13.8" hidden="false" customHeight="false" outlineLevel="0" collapsed="false">
      <c r="A1612" s="19"/>
      <c r="B1612" s="19"/>
      <c r="C1612" s="19"/>
      <c r="D1612" s="24"/>
      <c r="E1612" s="24"/>
      <c r="F1612" s="24"/>
    </row>
    <row r="1613" customFormat="false" ht="13.8" hidden="false" customHeight="false" outlineLevel="0" collapsed="false">
      <c r="A1613" s="19"/>
      <c r="B1613" s="19"/>
      <c r="C1613" s="19"/>
      <c r="D1613" s="24"/>
      <c r="E1613" s="24"/>
      <c r="F1613" s="24"/>
    </row>
    <row r="1614" customFormat="false" ht="13.8" hidden="false" customHeight="false" outlineLevel="0" collapsed="false">
      <c r="A1614" s="19"/>
      <c r="B1614" s="19"/>
      <c r="C1614" s="19"/>
      <c r="D1614" s="24"/>
      <c r="E1614" s="24"/>
      <c r="F1614" s="24"/>
    </row>
    <row r="1615" customFormat="false" ht="13.8" hidden="false" customHeight="false" outlineLevel="0" collapsed="false">
      <c r="A1615" s="19"/>
      <c r="B1615" s="19"/>
      <c r="C1615" s="19"/>
      <c r="D1615" s="24"/>
      <c r="E1615" s="24"/>
      <c r="F1615" s="24"/>
    </row>
    <row r="1616" customFormat="false" ht="13.8" hidden="false" customHeight="false" outlineLevel="0" collapsed="false">
      <c r="A1616" s="19"/>
      <c r="B1616" s="19"/>
      <c r="C1616" s="19"/>
      <c r="D1616" s="24"/>
      <c r="E1616" s="24"/>
      <c r="F1616" s="24"/>
    </row>
    <row r="1617" customFormat="false" ht="13.8" hidden="false" customHeight="false" outlineLevel="0" collapsed="false">
      <c r="A1617" s="19"/>
      <c r="B1617" s="19"/>
      <c r="C1617" s="19"/>
      <c r="D1617" s="24"/>
      <c r="E1617" s="24"/>
      <c r="F1617" s="24"/>
    </row>
    <row r="1618" customFormat="false" ht="13.8" hidden="false" customHeight="false" outlineLevel="0" collapsed="false">
      <c r="A1618" s="19"/>
      <c r="B1618" s="19"/>
      <c r="C1618" s="19"/>
      <c r="D1618" s="24"/>
      <c r="E1618" s="24"/>
      <c r="F1618" s="24"/>
    </row>
    <row r="1619" customFormat="false" ht="13.8" hidden="false" customHeight="false" outlineLevel="0" collapsed="false">
      <c r="A1619" s="19"/>
      <c r="B1619" s="19"/>
      <c r="C1619" s="19"/>
      <c r="D1619" s="24"/>
      <c r="E1619" s="24"/>
      <c r="F1619" s="24"/>
    </row>
    <row r="1620" customFormat="false" ht="13.8" hidden="false" customHeight="false" outlineLevel="0" collapsed="false">
      <c r="A1620" s="19"/>
      <c r="B1620" s="19"/>
      <c r="C1620" s="19"/>
      <c r="D1620" s="24"/>
      <c r="E1620" s="24"/>
      <c r="F1620" s="24"/>
    </row>
    <row r="1621" customFormat="false" ht="13.8" hidden="false" customHeight="false" outlineLevel="0" collapsed="false">
      <c r="A1621" s="19"/>
      <c r="B1621" s="19"/>
      <c r="C1621" s="19"/>
      <c r="D1621" s="24"/>
      <c r="E1621" s="24"/>
      <c r="F1621" s="24"/>
    </row>
    <row r="1622" customFormat="false" ht="13.8" hidden="false" customHeight="false" outlineLevel="0" collapsed="false">
      <c r="A1622" s="19"/>
      <c r="B1622" s="19"/>
      <c r="C1622" s="19"/>
      <c r="D1622" s="24"/>
      <c r="E1622" s="24"/>
      <c r="F1622" s="24"/>
    </row>
    <row r="1623" customFormat="false" ht="13.8" hidden="false" customHeight="false" outlineLevel="0" collapsed="false">
      <c r="A1623" s="19"/>
      <c r="B1623" s="19"/>
      <c r="C1623" s="19"/>
      <c r="D1623" s="24"/>
      <c r="E1623" s="24"/>
      <c r="F1623" s="24"/>
    </row>
    <row r="1624" customFormat="false" ht="13.8" hidden="false" customHeight="false" outlineLevel="0" collapsed="false">
      <c r="A1624" s="19"/>
      <c r="B1624" s="19"/>
      <c r="C1624" s="19"/>
      <c r="D1624" s="24"/>
      <c r="E1624" s="24"/>
      <c r="F1624" s="24"/>
    </row>
    <row r="1625" customFormat="false" ht="13.8" hidden="false" customHeight="false" outlineLevel="0" collapsed="false">
      <c r="A1625" s="19"/>
      <c r="B1625" s="19"/>
      <c r="C1625" s="19"/>
      <c r="D1625" s="24"/>
      <c r="E1625" s="24"/>
      <c r="F1625" s="24"/>
    </row>
    <row r="1626" customFormat="false" ht="13.8" hidden="false" customHeight="false" outlineLevel="0" collapsed="false">
      <c r="A1626" s="19"/>
      <c r="B1626" s="19"/>
      <c r="C1626" s="19"/>
      <c r="D1626" s="24"/>
      <c r="E1626" s="24"/>
      <c r="F1626" s="24"/>
    </row>
    <row r="1627" customFormat="false" ht="13.8" hidden="false" customHeight="false" outlineLevel="0" collapsed="false">
      <c r="A1627" s="19"/>
      <c r="B1627" s="19"/>
      <c r="C1627" s="19"/>
      <c r="D1627" s="24"/>
      <c r="E1627" s="24"/>
      <c r="F1627" s="24"/>
    </row>
    <row r="1628" customFormat="false" ht="13.8" hidden="false" customHeight="false" outlineLevel="0" collapsed="false">
      <c r="A1628" s="19"/>
      <c r="B1628" s="19"/>
      <c r="C1628" s="19"/>
      <c r="D1628" s="24"/>
      <c r="E1628" s="24"/>
      <c r="F1628" s="24"/>
    </row>
    <row r="1629" customFormat="false" ht="13.8" hidden="false" customHeight="false" outlineLevel="0" collapsed="false">
      <c r="A1629" s="19"/>
      <c r="B1629" s="19"/>
      <c r="C1629" s="19"/>
      <c r="D1629" s="24"/>
      <c r="E1629" s="24"/>
      <c r="F1629" s="24"/>
    </row>
    <row r="1630" customFormat="false" ht="13.8" hidden="false" customHeight="false" outlineLevel="0" collapsed="false">
      <c r="A1630" s="19"/>
      <c r="B1630" s="19"/>
      <c r="C1630" s="19"/>
      <c r="D1630" s="24"/>
      <c r="E1630" s="24"/>
      <c r="F1630" s="24"/>
    </row>
    <row r="1631" customFormat="false" ht="13.8" hidden="false" customHeight="false" outlineLevel="0" collapsed="false">
      <c r="A1631" s="19"/>
      <c r="B1631" s="19"/>
      <c r="C1631" s="19"/>
      <c r="D1631" s="24"/>
      <c r="E1631" s="24"/>
      <c r="F1631" s="24"/>
    </row>
    <row r="1632" customFormat="false" ht="13.8" hidden="false" customHeight="false" outlineLevel="0" collapsed="false">
      <c r="A1632" s="19"/>
      <c r="B1632" s="19"/>
      <c r="C1632" s="19"/>
      <c r="D1632" s="24"/>
      <c r="E1632" s="24"/>
      <c r="F1632" s="24"/>
    </row>
    <row r="1633" customFormat="false" ht="13.8" hidden="false" customHeight="false" outlineLevel="0" collapsed="false">
      <c r="A1633" s="19"/>
      <c r="B1633" s="19"/>
      <c r="C1633" s="19"/>
      <c r="D1633" s="24"/>
      <c r="E1633" s="24"/>
      <c r="F1633" s="24"/>
    </row>
    <row r="1634" customFormat="false" ht="13.8" hidden="false" customHeight="false" outlineLevel="0" collapsed="false">
      <c r="A1634" s="19"/>
      <c r="B1634" s="19"/>
      <c r="C1634" s="19"/>
      <c r="D1634" s="24"/>
      <c r="E1634" s="24"/>
      <c r="F1634" s="24"/>
    </row>
    <row r="1635" customFormat="false" ht="13.8" hidden="false" customHeight="false" outlineLevel="0" collapsed="false">
      <c r="A1635" s="19"/>
      <c r="B1635" s="19"/>
      <c r="C1635" s="19"/>
      <c r="D1635" s="24"/>
      <c r="E1635" s="24"/>
      <c r="F1635" s="24"/>
    </row>
    <row r="1636" customFormat="false" ht="13.8" hidden="false" customHeight="false" outlineLevel="0" collapsed="false">
      <c r="A1636" s="19"/>
      <c r="B1636" s="19"/>
      <c r="C1636" s="19"/>
      <c r="D1636" s="24"/>
      <c r="E1636" s="24"/>
      <c r="F1636" s="24"/>
    </row>
    <row r="1637" customFormat="false" ht="13.8" hidden="false" customHeight="false" outlineLevel="0" collapsed="false">
      <c r="A1637" s="19"/>
      <c r="B1637" s="19"/>
      <c r="C1637" s="19"/>
      <c r="D1637" s="24"/>
      <c r="E1637" s="24"/>
      <c r="F1637" s="24"/>
    </row>
    <row r="1638" customFormat="false" ht="13.8" hidden="false" customHeight="false" outlineLevel="0" collapsed="false">
      <c r="A1638" s="19"/>
      <c r="B1638" s="19"/>
      <c r="C1638" s="19"/>
      <c r="D1638" s="24"/>
      <c r="E1638" s="24"/>
      <c r="F1638" s="24"/>
    </row>
    <row r="1639" customFormat="false" ht="13.8" hidden="false" customHeight="false" outlineLevel="0" collapsed="false">
      <c r="A1639" s="19"/>
      <c r="B1639" s="19"/>
      <c r="C1639" s="19"/>
      <c r="D1639" s="24"/>
      <c r="E1639" s="24"/>
      <c r="F1639" s="24"/>
    </row>
    <row r="1640" customFormat="false" ht="13.8" hidden="false" customHeight="false" outlineLevel="0" collapsed="false">
      <c r="A1640" s="19"/>
      <c r="B1640" s="19"/>
      <c r="C1640" s="19"/>
      <c r="D1640" s="24"/>
      <c r="E1640" s="24"/>
      <c r="F1640" s="24"/>
    </row>
    <row r="1641" customFormat="false" ht="13.8" hidden="false" customHeight="false" outlineLevel="0" collapsed="false">
      <c r="A1641" s="19"/>
      <c r="B1641" s="19"/>
      <c r="C1641" s="19"/>
      <c r="D1641" s="24"/>
      <c r="E1641" s="24"/>
      <c r="F1641" s="24"/>
    </row>
    <row r="1642" customFormat="false" ht="13.8" hidden="false" customHeight="false" outlineLevel="0" collapsed="false">
      <c r="A1642" s="19"/>
      <c r="B1642" s="19"/>
      <c r="C1642" s="19"/>
      <c r="D1642" s="24"/>
      <c r="E1642" s="24"/>
      <c r="F1642" s="24"/>
    </row>
    <row r="1643" customFormat="false" ht="13.8" hidden="false" customHeight="false" outlineLevel="0" collapsed="false">
      <c r="A1643" s="19"/>
      <c r="B1643" s="19"/>
      <c r="C1643" s="19"/>
      <c r="D1643" s="24"/>
      <c r="E1643" s="24"/>
      <c r="F1643" s="24"/>
    </row>
    <row r="1644" customFormat="false" ht="13.8" hidden="false" customHeight="false" outlineLevel="0" collapsed="false">
      <c r="A1644" s="19"/>
      <c r="B1644" s="19"/>
      <c r="C1644" s="19"/>
      <c r="D1644" s="24"/>
      <c r="E1644" s="24"/>
      <c r="F1644" s="24"/>
    </row>
    <row r="1645" customFormat="false" ht="13.8" hidden="false" customHeight="false" outlineLevel="0" collapsed="false">
      <c r="A1645" s="19"/>
      <c r="B1645" s="19"/>
      <c r="C1645" s="19"/>
      <c r="D1645" s="24"/>
      <c r="E1645" s="24"/>
      <c r="F1645" s="24"/>
    </row>
    <row r="1646" customFormat="false" ht="13.8" hidden="false" customHeight="false" outlineLevel="0" collapsed="false">
      <c r="A1646" s="19"/>
      <c r="B1646" s="19"/>
      <c r="C1646" s="19"/>
      <c r="D1646" s="24"/>
      <c r="E1646" s="24"/>
      <c r="F1646" s="24"/>
    </row>
    <row r="1647" customFormat="false" ht="13.8" hidden="false" customHeight="false" outlineLevel="0" collapsed="false">
      <c r="A1647" s="19"/>
      <c r="B1647" s="19"/>
      <c r="C1647" s="19"/>
      <c r="D1647" s="24"/>
      <c r="E1647" s="24"/>
      <c r="F1647" s="24"/>
    </row>
    <row r="1648" customFormat="false" ht="13.8" hidden="false" customHeight="false" outlineLevel="0" collapsed="false">
      <c r="A1648" s="19"/>
      <c r="B1648" s="19"/>
      <c r="C1648" s="19"/>
      <c r="D1648" s="24"/>
      <c r="E1648" s="24"/>
      <c r="F1648" s="24"/>
    </row>
    <row r="1649" customFormat="false" ht="13.8" hidden="false" customHeight="false" outlineLevel="0" collapsed="false">
      <c r="A1649" s="19"/>
      <c r="B1649" s="19"/>
      <c r="C1649" s="19"/>
      <c r="D1649" s="24"/>
      <c r="E1649" s="24"/>
      <c r="F1649" s="24"/>
    </row>
    <row r="1650" customFormat="false" ht="13.8" hidden="false" customHeight="false" outlineLevel="0" collapsed="false">
      <c r="A1650" s="19"/>
      <c r="B1650" s="19"/>
      <c r="C1650" s="19"/>
      <c r="D1650" s="24"/>
      <c r="E1650" s="24"/>
      <c r="F1650" s="24"/>
    </row>
    <row r="1651" customFormat="false" ht="13.8" hidden="false" customHeight="false" outlineLevel="0" collapsed="false">
      <c r="A1651" s="19"/>
      <c r="B1651" s="19"/>
      <c r="C1651" s="19"/>
      <c r="D1651" s="24"/>
      <c r="E1651" s="24"/>
      <c r="F1651" s="24"/>
    </row>
    <row r="1652" customFormat="false" ht="13.8" hidden="false" customHeight="false" outlineLevel="0" collapsed="false">
      <c r="A1652" s="19"/>
      <c r="B1652" s="19"/>
      <c r="C1652" s="19"/>
      <c r="D1652" s="24"/>
      <c r="E1652" s="24"/>
      <c r="F1652" s="24"/>
    </row>
    <row r="1653" customFormat="false" ht="13.8" hidden="false" customHeight="false" outlineLevel="0" collapsed="false">
      <c r="A1653" s="19"/>
      <c r="B1653" s="19"/>
      <c r="C1653" s="19"/>
      <c r="D1653" s="24"/>
      <c r="E1653" s="24"/>
      <c r="F1653" s="24"/>
    </row>
    <row r="1654" customFormat="false" ht="13.8" hidden="false" customHeight="false" outlineLevel="0" collapsed="false">
      <c r="A1654" s="19"/>
      <c r="B1654" s="19"/>
      <c r="C1654" s="19"/>
      <c r="D1654" s="24"/>
      <c r="E1654" s="24"/>
      <c r="F1654" s="24"/>
    </row>
    <row r="1655" customFormat="false" ht="13.8" hidden="false" customHeight="false" outlineLevel="0" collapsed="false">
      <c r="A1655" s="19"/>
      <c r="B1655" s="19"/>
      <c r="C1655" s="19"/>
      <c r="D1655" s="24"/>
      <c r="E1655" s="24"/>
      <c r="F1655" s="24"/>
    </row>
    <row r="1656" customFormat="false" ht="13.8" hidden="false" customHeight="false" outlineLevel="0" collapsed="false">
      <c r="A1656" s="19"/>
      <c r="B1656" s="19"/>
      <c r="C1656" s="19"/>
      <c r="D1656" s="24"/>
      <c r="E1656" s="24"/>
      <c r="F1656" s="24"/>
    </row>
    <row r="1657" customFormat="false" ht="13.8" hidden="false" customHeight="false" outlineLevel="0" collapsed="false">
      <c r="A1657" s="19"/>
      <c r="B1657" s="19"/>
      <c r="C1657" s="19"/>
      <c r="D1657" s="24"/>
      <c r="E1657" s="24"/>
      <c r="F1657" s="24"/>
    </row>
    <row r="1658" customFormat="false" ht="13.8" hidden="false" customHeight="false" outlineLevel="0" collapsed="false">
      <c r="A1658" s="19"/>
      <c r="B1658" s="19"/>
      <c r="C1658" s="19"/>
      <c r="D1658" s="24"/>
      <c r="E1658" s="24"/>
      <c r="F1658" s="24"/>
    </row>
    <row r="1659" customFormat="false" ht="13.8" hidden="false" customHeight="false" outlineLevel="0" collapsed="false">
      <c r="A1659" s="19"/>
      <c r="B1659" s="19"/>
      <c r="C1659" s="19"/>
      <c r="D1659" s="24"/>
      <c r="E1659" s="24"/>
      <c r="F1659" s="24"/>
    </row>
    <row r="1660" customFormat="false" ht="13.8" hidden="false" customHeight="false" outlineLevel="0" collapsed="false">
      <c r="A1660" s="19"/>
      <c r="B1660" s="19"/>
      <c r="C1660" s="19"/>
      <c r="D1660" s="24"/>
      <c r="E1660" s="24"/>
      <c r="F1660" s="24"/>
    </row>
    <row r="1661" customFormat="false" ht="13.8" hidden="false" customHeight="false" outlineLevel="0" collapsed="false">
      <c r="A1661" s="19"/>
      <c r="B1661" s="19"/>
      <c r="C1661" s="19"/>
      <c r="D1661" s="24"/>
      <c r="E1661" s="24"/>
      <c r="F1661" s="24"/>
    </row>
    <row r="1662" customFormat="false" ht="13.8" hidden="false" customHeight="false" outlineLevel="0" collapsed="false">
      <c r="A1662" s="19"/>
      <c r="B1662" s="19"/>
      <c r="C1662" s="19"/>
      <c r="D1662" s="24"/>
      <c r="E1662" s="24"/>
      <c r="F1662" s="24"/>
    </row>
    <row r="1663" customFormat="false" ht="13.8" hidden="false" customHeight="false" outlineLevel="0" collapsed="false">
      <c r="A1663" s="19"/>
      <c r="B1663" s="19"/>
      <c r="C1663" s="19"/>
      <c r="D1663" s="24"/>
      <c r="E1663" s="24"/>
      <c r="F1663" s="24"/>
    </row>
    <row r="1664" customFormat="false" ht="13.8" hidden="false" customHeight="false" outlineLevel="0" collapsed="false">
      <c r="A1664" s="19"/>
      <c r="B1664" s="19"/>
      <c r="C1664" s="19"/>
      <c r="D1664" s="24"/>
      <c r="E1664" s="24"/>
      <c r="F1664" s="24"/>
    </row>
    <row r="1665" customFormat="false" ht="13.8" hidden="false" customHeight="false" outlineLevel="0" collapsed="false">
      <c r="A1665" s="19"/>
      <c r="B1665" s="19"/>
      <c r="C1665" s="19"/>
      <c r="D1665" s="24"/>
      <c r="E1665" s="24"/>
      <c r="F1665" s="24"/>
    </row>
    <row r="1666" customFormat="false" ht="13.8" hidden="false" customHeight="false" outlineLevel="0" collapsed="false">
      <c r="A1666" s="19"/>
      <c r="B1666" s="19"/>
      <c r="C1666" s="19"/>
      <c r="D1666" s="24"/>
      <c r="E1666" s="24"/>
      <c r="F1666" s="24"/>
    </row>
    <row r="1667" customFormat="false" ht="13.8" hidden="false" customHeight="false" outlineLevel="0" collapsed="false">
      <c r="A1667" s="19"/>
      <c r="B1667" s="19"/>
      <c r="C1667" s="19"/>
      <c r="D1667" s="24"/>
      <c r="E1667" s="24"/>
      <c r="F1667" s="24"/>
    </row>
    <row r="1668" customFormat="false" ht="13.8" hidden="false" customHeight="false" outlineLevel="0" collapsed="false">
      <c r="A1668" s="19"/>
      <c r="B1668" s="19"/>
      <c r="C1668" s="19"/>
      <c r="D1668" s="24"/>
      <c r="E1668" s="24"/>
      <c r="F1668" s="24"/>
    </row>
    <row r="1669" customFormat="false" ht="13.8" hidden="false" customHeight="false" outlineLevel="0" collapsed="false">
      <c r="A1669" s="19"/>
      <c r="B1669" s="19"/>
      <c r="C1669" s="19"/>
      <c r="D1669" s="24"/>
      <c r="E1669" s="24"/>
      <c r="F1669" s="24"/>
    </row>
    <row r="1670" customFormat="false" ht="13.8" hidden="false" customHeight="false" outlineLevel="0" collapsed="false">
      <c r="A1670" s="19"/>
      <c r="B1670" s="19"/>
      <c r="C1670" s="19"/>
      <c r="D1670" s="24"/>
      <c r="E1670" s="24"/>
      <c r="F1670" s="24"/>
    </row>
    <row r="1671" customFormat="false" ht="13.8" hidden="false" customHeight="false" outlineLevel="0" collapsed="false">
      <c r="A1671" s="19"/>
      <c r="B1671" s="19"/>
      <c r="C1671" s="19"/>
      <c r="D1671" s="24"/>
      <c r="E1671" s="24"/>
      <c r="F1671" s="24"/>
    </row>
    <row r="1672" customFormat="false" ht="13.8" hidden="false" customHeight="false" outlineLevel="0" collapsed="false">
      <c r="A1672" s="19"/>
      <c r="B1672" s="19"/>
      <c r="C1672" s="19"/>
      <c r="D1672" s="24"/>
      <c r="E1672" s="24"/>
      <c r="F1672" s="24"/>
    </row>
    <row r="1673" customFormat="false" ht="13.8" hidden="false" customHeight="false" outlineLevel="0" collapsed="false">
      <c r="A1673" s="19"/>
      <c r="B1673" s="19"/>
      <c r="C1673" s="19"/>
      <c r="D1673" s="24"/>
      <c r="E1673" s="24"/>
      <c r="F1673" s="24"/>
    </row>
    <row r="1674" customFormat="false" ht="13.8" hidden="false" customHeight="false" outlineLevel="0" collapsed="false">
      <c r="A1674" s="19"/>
      <c r="B1674" s="19"/>
      <c r="C1674" s="19"/>
      <c r="D1674" s="24"/>
      <c r="E1674" s="24"/>
      <c r="F1674" s="24"/>
    </row>
    <row r="1675" customFormat="false" ht="13.8" hidden="false" customHeight="false" outlineLevel="0" collapsed="false">
      <c r="A1675" s="19"/>
      <c r="B1675" s="19"/>
      <c r="C1675" s="19"/>
      <c r="D1675" s="24"/>
      <c r="E1675" s="24"/>
      <c r="F1675" s="24"/>
    </row>
    <row r="1676" customFormat="false" ht="13.8" hidden="false" customHeight="false" outlineLevel="0" collapsed="false">
      <c r="A1676" s="19"/>
      <c r="B1676" s="19"/>
      <c r="C1676" s="19"/>
      <c r="D1676" s="24"/>
      <c r="E1676" s="24"/>
      <c r="F1676" s="24"/>
    </row>
    <row r="1677" customFormat="false" ht="13.8" hidden="false" customHeight="false" outlineLevel="0" collapsed="false">
      <c r="A1677" s="19"/>
      <c r="B1677" s="19"/>
      <c r="C1677" s="19"/>
      <c r="D1677" s="24"/>
      <c r="E1677" s="24"/>
      <c r="F1677" s="24"/>
    </row>
    <row r="1678" customFormat="false" ht="13.8" hidden="false" customHeight="false" outlineLevel="0" collapsed="false">
      <c r="A1678" s="19"/>
      <c r="B1678" s="19"/>
      <c r="C1678" s="19"/>
      <c r="D1678" s="24"/>
      <c r="E1678" s="24"/>
      <c r="F1678" s="24"/>
    </row>
    <row r="1679" customFormat="false" ht="13.8" hidden="false" customHeight="false" outlineLevel="0" collapsed="false">
      <c r="A1679" s="19"/>
      <c r="B1679" s="19"/>
      <c r="C1679" s="19"/>
      <c r="D1679" s="24"/>
      <c r="E1679" s="24"/>
      <c r="F1679" s="24"/>
    </row>
    <row r="1680" customFormat="false" ht="13.8" hidden="false" customHeight="false" outlineLevel="0" collapsed="false">
      <c r="A1680" s="19"/>
      <c r="B1680" s="19"/>
      <c r="C1680" s="19"/>
      <c r="D1680" s="24"/>
      <c r="E1680" s="24"/>
      <c r="F1680" s="24"/>
    </row>
    <row r="1681" customFormat="false" ht="13.8" hidden="false" customHeight="false" outlineLevel="0" collapsed="false">
      <c r="A1681" s="19"/>
      <c r="B1681" s="19"/>
      <c r="C1681" s="19"/>
      <c r="D1681" s="24"/>
      <c r="E1681" s="24"/>
      <c r="F1681" s="24"/>
    </row>
    <row r="1682" customFormat="false" ht="13.8" hidden="false" customHeight="false" outlineLevel="0" collapsed="false">
      <c r="A1682" s="19"/>
      <c r="B1682" s="19"/>
      <c r="C1682" s="19"/>
      <c r="D1682" s="24"/>
      <c r="E1682" s="24"/>
      <c r="F1682" s="24"/>
    </row>
    <row r="1683" customFormat="false" ht="13.8" hidden="false" customHeight="false" outlineLevel="0" collapsed="false">
      <c r="A1683" s="19"/>
      <c r="B1683" s="19"/>
      <c r="C1683" s="19"/>
      <c r="D1683" s="24"/>
      <c r="E1683" s="24"/>
      <c r="F1683" s="24"/>
    </row>
    <row r="1684" customFormat="false" ht="13.8" hidden="false" customHeight="false" outlineLevel="0" collapsed="false">
      <c r="A1684" s="19"/>
      <c r="B1684" s="19"/>
      <c r="C1684" s="19"/>
      <c r="D1684" s="24"/>
      <c r="E1684" s="24"/>
      <c r="F1684" s="24"/>
    </row>
    <row r="1685" customFormat="false" ht="13.8" hidden="false" customHeight="false" outlineLevel="0" collapsed="false">
      <c r="A1685" s="19"/>
      <c r="B1685" s="19"/>
      <c r="C1685" s="19"/>
      <c r="D1685" s="24"/>
      <c r="E1685" s="24"/>
      <c r="F1685" s="24"/>
    </row>
    <row r="1686" customFormat="false" ht="13.8" hidden="false" customHeight="false" outlineLevel="0" collapsed="false">
      <c r="A1686" s="19"/>
      <c r="B1686" s="19"/>
      <c r="C1686" s="19"/>
      <c r="D1686" s="24"/>
      <c r="E1686" s="24"/>
      <c r="F1686" s="24"/>
    </row>
    <row r="1687" customFormat="false" ht="13.8" hidden="false" customHeight="false" outlineLevel="0" collapsed="false">
      <c r="A1687" s="19"/>
      <c r="B1687" s="19"/>
      <c r="C1687" s="19"/>
      <c r="D1687" s="24"/>
      <c r="E1687" s="24"/>
      <c r="F1687" s="24"/>
    </row>
    <row r="1688" customFormat="false" ht="13.8" hidden="false" customHeight="false" outlineLevel="0" collapsed="false">
      <c r="A1688" s="19"/>
      <c r="B1688" s="19"/>
      <c r="C1688" s="19"/>
      <c r="D1688" s="24"/>
      <c r="E1688" s="24"/>
      <c r="F1688" s="24"/>
    </row>
    <row r="1689" customFormat="false" ht="13.8" hidden="false" customHeight="false" outlineLevel="0" collapsed="false">
      <c r="A1689" s="19"/>
      <c r="B1689" s="19"/>
      <c r="C1689" s="19"/>
      <c r="D1689" s="24"/>
      <c r="E1689" s="24"/>
      <c r="F1689" s="24"/>
    </row>
    <row r="1690" customFormat="false" ht="13.8" hidden="false" customHeight="false" outlineLevel="0" collapsed="false">
      <c r="A1690" s="19"/>
      <c r="B1690" s="19"/>
      <c r="C1690" s="19"/>
      <c r="D1690" s="24"/>
      <c r="E1690" s="24"/>
      <c r="F1690" s="24"/>
    </row>
    <row r="1691" customFormat="false" ht="13.8" hidden="false" customHeight="false" outlineLevel="0" collapsed="false">
      <c r="A1691" s="19"/>
      <c r="B1691" s="19"/>
      <c r="C1691" s="19"/>
      <c r="D1691" s="24"/>
      <c r="E1691" s="24"/>
      <c r="F1691" s="24"/>
    </row>
    <row r="1692" customFormat="false" ht="13.8" hidden="false" customHeight="false" outlineLevel="0" collapsed="false">
      <c r="A1692" s="19"/>
      <c r="B1692" s="19"/>
      <c r="C1692" s="19"/>
      <c r="D1692" s="24"/>
      <c r="E1692" s="24"/>
      <c r="F1692" s="24"/>
    </row>
    <row r="1693" customFormat="false" ht="13.8" hidden="false" customHeight="false" outlineLevel="0" collapsed="false">
      <c r="A1693" s="19"/>
      <c r="B1693" s="19"/>
      <c r="C1693" s="19"/>
      <c r="D1693" s="24"/>
      <c r="E1693" s="24"/>
      <c r="F1693" s="24"/>
    </row>
    <row r="1694" customFormat="false" ht="13.8" hidden="false" customHeight="false" outlineLevel="0" collapsed="false">
      <c r="A1694" s="19"/>
      <c r="B1694" s="19"/>
      <c r="C1694" s="19"/>
      <c r="D1694" s="24"/>
      <c r="E1694" s="24"/>
      <c r="F1694" s="24"/>
    </row>
    <row r="1695" customFormat="false" ht="13.8" hidden="false" customHeight="false" outlineLevel="0" collapsed="false">
      <c r="A1695" s="19"/>
      <c r="B1695" s="19"/>
      <c r="C1695" s="19"/>
      <c r="D1695" s="24"/>
      <c r="E1695" s="24"/>
      <c r="F1695" s="24"/>
    </row>
    <row r="1696" customFormat="false" ht="13.8" hidden="false" customHeight="false" outlineLevel="0" collapsed="false">
      <c r="A1696" s="19"/>
      <c r="B1696" s="19"/>
      <c r="C1696" s="19"/>
      <c r="D1696" s="24"/>
      <c r="E1696" s="24"/>
      <c r="F1696" s="24"/>
    </row>
    <row r="1697" customFormat="false" ht="13.8" hidden="false" customHeight="false" outlineLevel="0" collapsed="false">
      <c r="A1697" s="19"/>
      <c r="B1697" s="19"/>
      <c r="C1697" s="19"/>
      <c r="D1697" s="24"/>
      <c r="E1697" s="24"/>
      <c r="F1697" s="24"/>
    </row>
    <row r="1698" customFormat="false" ht="13.8" hidden="false" customHeight="false" outlineLevel="0" collapsed="false">
      <c r="A1698" s="19"/>
      <c r="B1698" s="19"/>
      <c r="C1698" s="19"/>
      <c r="D1698" s="24"/>
      <c r="E1698" s="24"/>
      <c r="F1698" s="24"/>
    </row>
    <row r="1699" customFormat="false" ht="13.8" hidden="false" customHeight="false" outlineLevel="0" collapsed="false">
      <c r="A1699" s="19"/>
      <c r="B1699" s="19"/>
      <c r="C1699" s="19"/>
      <c r="D1699" s="24"/>
      <c r="E1699" s="24"/>
      <c r="F1699" s="24"/>
    </row>
    <row r="1700" customFormat="false" ht="13.8" hidden="false" customHeight="false" outlineLevel="0" collapsed="false">
      <c r="A1700" s="19"/>
      <c r="B1700" s="19"/>
      <c r="C1700" s="19"/>
      <c r="D1700" s="24"/>
      <c r="E1700" s="24"/>
      <c r="F1700" s="24"/>
    </row>
    <row r="1701" customFormat="false" ht="13.8" hidden="false" customHeight="false" outlineLevel="0" collapsed="false">
      <c r="A1701" s="19"/>
      <c r="B1701" s="19"/>
      <c r="C1701" s="19"/>
      <c r="D1701" s="24"/>
      <c r="E1701" s="24"/>
      <c r="F1701" s="24"/>
    </row>
    <row r="1702" customFormat="false" ht="13.8" hidden="false" customHeight="false" outlineLevel="0" collapsed="false">
      <c r="A1702" s="19"/>
      <c r="B1702" s="19"/>
      <c r="C1702" s="19"/>
      <c r="D1702" s="24"/>
      <c r="E1702" s="24"/>
      <c r="F1702" s="24"/>
    </row>
    <row r="1703" customFormat="false" ht="13.8" hidden="false" customHeight="false" outlineLevel="0" collapsed="false">
      <c r="A1703" s="19"/>
      <c r="B1703" s="19"/>
      <c r="C1703" s="19"/>
      <c r="D1703" s="24"/>
      <c r="E1703" s="24"/>
      <c r="F1703" s="24"/>
    </row>
    <row r="1704" customFormat="false" ht="13.8" hidden="false" customHeight="false" outlineLevel="0" collapsed="false">
      <c r="A1704" s="19"/>
      <c r="B1704" s="19"/>
      <c r="C1704" s="19"/>
      <c r="D1704" s="24"/>
      <c r="E1704" s="24"/>
      <c r="F1704" s="24"/>
    </row>
    <row r="1705" customFormat="false" ht="13.8" hidden="false" customHeight="false" outlineLevel="0" collapsed="false">
      <c r="A1705" s="19"/>
      <c r="B1705" s="19"/>
      <c r="C1705" s="19"/>
      <c r="D1705" s="24"/>
      <c r="E1705" s="24"/>
      <c r="F1705" s="24"/>
    </row>
    <row r="1706" customFormat="false" ht="13.8" hidden="false" customHeight="false" outlineLevel="0" collapsed="false">
      <c r="A1706" s="19"/>
      <c r="B1706" s="19"/>
      <c r="C1706" s="19"/>
      <c r="D1706" s="24"/>
      <c r="E1706" s="24"/>
      <c r="F1706" s="24"/>
    </row>
    <row r="1707" customFormat="false" ht="13.8" hidden="false" customHeight="false" outlineLevel="0" collapsed="false">
      <c r="A1707" s="19"/>
      <c r="B1707" s="19"/>
      <c r="C1707" s="19"/>
      <c r="D1707" s="24"/>
      <c r="E1707" s="24"/>
      <c r="F1707" s="24"/>
    </row>
    <row r="1708" customFormat="false" ht="13.8" hidden="false" customHeight="false" outlineLevel="0" collapsed="false">
      <c r="A1708" s="19"/>
      <c r="B1708" s="19"/>
      <c r="C1708" s="19"/>
      <c r="D1708" s="24"/>
      <c r="E1708" s="24"/>
      <c r="F1708" s="24"/>
    </row>
    <row r="1709" customFormat="false" ht="13.8" hidden="false" customHeight="false" outlineLevel="0" collapsed="false">
      <c r="A1709" s="19"/>
      <c r="B1709" s="19"/>
      <c r="C1709" s="19"/>
      <c r="D1709" s="24"/>
      <c r="E1709" s="24"/>
      <c r="F1709" s="24"/>
    </row>
    <row r="1710" customFormat="false" ht="13.8" hidden="false" customHeight="false" outlineLevel="0" collapsed="false">
      <c r="A1710" s="19"/>
      <c r="B1710" s="19"/>
      <c r="C1710" s="19"/>
      <c r="D1710" s="24"/>
      <c r="E1710" s="24"/>
      <c r="F1710" s="24"/>
    </row>
    <row r="1711" customFormat="false" ht="13.8" hidden="false" customHeight="false" outlineLevel="0" collapsed="false">
      <c r="A1711" s="19"/>
      <c r="B1711" s="19"/>
      <c r="C1711" s="19"/>
      <c r="D1711" s="24"/>
      <c r="E1711" s="24"/>
      <c r="F1711" s="24"/>
    </row>
    <row r="1712" customFormat="false" ht="13.8" hidden="false" customHeight="false" outlineLevel="0" collapsed="false">
      <c r="A1712" s="19"/>
      <c r="B1712" s="19"/>
      <c r="C1712" s="19"/>
      <c r="D1712" s="24"/>
      <c r="E1712" s="24"/>
      <c r="F1712" s="24"/>
    </row>
    <row r="1713" customFormat="false" ht="13.8" hidden="false" customHeight="false" outlineLevel="0" collapsed="false">
      <c r="A1713" s="19"/>
      <c r="B1713" s="19"/>
      <c r="C1713" s="19"/>
      <c r="D1713" s="24"/>
      <c r="E1713" s="24"/>
      <c r="F1713" s="24"/>
    </row>
    <row r="1714" customFormat="false" ht="13.8" hidden="false" customHeight="false" outlineLevel="0" collapsed="false">
      <c r="A1714" s="19"/>
      <c r="B1714" s="19"/>
      <c r="C1714" s="19"/>
      <c r="D1714" s="24"/>
      <c r="E1714" s="24"/>
      <c r="F1714" s="24"/>
    </row>
    <row r="1715" customFormat="false" ht="13.8" hidden="false" customHeight="false" outlineLevel="0" collapsed="false">
      <c r="A1715" s="19"/>
      <c r="B1715" s="19"/>
      <c r="C1715" s="19"/>
      <c r="D1715" s="24"/>
      <c r="E1715" s="24"/>
      <c r="F1715" s="24"/>
    </row>
    <row r="1716" customFormat="false" ht="13.8" hidden="false" customHeight="false" outlineLevel="0" collapsed="false">
      <c r="A1716" s="19"/>
      <c r="B1716" s="19"/>
      <c r="C1716" s="19"/>
      <c r="D1716" s="24"/>
      <c r="E1716" s="24"/>
      <c r="F1716" s="24"/>
    </row>
    <row r="1717" customFormat="false" ht="13.8" hidden="false" customHeight="false" outlineLevel="0" collapsed="false">
      <c r="A1717" s="19"/>
      <c r="B1717" s="19"/>
      <c r="C1717" s="19"/>
      <c r="D1717" s="24"/>
      <c r="E1717" s="24"/>
      <c r="F1717" s="24"/>
    </row>
    <row r="1718" customFormat="false" ht="13.8" hidden="false" customHeight="false" outlineLevel="0" collapsed="false">
      <c r="A1718" s="19"/>
      <c r="B1718" s="19"/>
      <c r="C1718" s="19"/>
      <c r="D1718" s="24"/>
      <c r="E1718" s="24"/>
      <c r="F1718" s="24"/>
    </row>
    <row r="1719" customFormat="false" ht="13.8" hidden="false" customHeight="false" outlineLevel="0" collapsed="false">
      <c r="A1719" s="19"/>
      <c r="B1719" s="19"/>
      <c r="C1719" s="19"/>
      <c r="D1719" s="24"/>
      <c r="E1719" s="24"/>
      <c r="F1719" s="24"/>
    </row>
    <row r="1720" customFormat="false" ht="13.8" hidden="false" customHeight="false" outlineLevel="0" collapsed="false">
      <c r="A1720" s="19"/>
      <c r="B1720" s="19"/>
      <c r="C1720" s="19"/>
      <c r="D1720" s="24"/>
      <c r="E1720" s="24"/>
      <c r="F1720" s="24"/>
    </row>
    <row r="1721" customFormat="false" ht="13.8" hidden="false" customHeight="false" outlineLevel="0" collapsed="false">
      <c r="A1721" s="19"/>
      <c r="B1721" s="19"/>
      <c r="C1721" s="19"/>
      <c r="D1721" s="24"/>
      <c r="E1721" s="24"/>
      <c r="F1721" s="24"/>
    </row>
    <row r="1722" customFormat="false" ht="13.8" hidden="false" customHeight="false" outlineLevel="0" collapsed="false">
      <c r="A1722" s="19"/>
      <c r="B1722" s="19"/>
      <c r="C1722" s="19"/>
      <c r="D1722" s="24"/>
      <c r="E1722" s="24"/>
      <c r="F1722" s="24"/>
    </row>
    <row r="1723" customFormat="false" ht="13.8" hidden="false" customHeight="false" outlineLevel="0" collapsed="false">
      <c r="A1723" s="19"/>
      <c r="B1723" s="19"/>
      <c r="C1723" s="19"/>
      <c r="D1723" s="24"/>
      <c r="E1723" s="24"/>
      <c r="F1723" s="24"/>
    </row>
    <row r="1724" customFormat="false" ht="13.8" hidden="false" customHeight="false" outlineLevel="0" collapsed="false">
      <c r="A1724" s="19"/>
      <c r="B1724" s="19"/>
      <c r="C1724" s="19"/>
      <c r="D1724" s="24"/>
      <c r="E1724" s="24"/>
      <c r="F1724" s="24"/>
    </row>
    <row r="1725" customFormat="false" ht="13.8" hidden="false" customHeight="false" outlineLevel="0" collapsed="false">
      <c r="A1725" s="19"/>
      <c r="B1725" s="19"/>
      <c r="C1725" s="19"/>
      <c r="D1725" s="24"/>
      <c r="E1725" s="24"/>
      <c r="F1725" s="24"/>
    </row>
    <row r="1726" customFormat="false" ht="13.8" hidden="false" customHeight="false" outlineLevel="0" collapsed="false">
      <c r="A1726" s="19"/>
      <c r="B1726" s="19"/>
      <c r="C1726" s="19"/>
      <c r="D1726" s="24"/>
      <c r="E1726" s="24"/>
      <c r="F1726" s="24"/>
    </row>
    <row r="1727" customFormat="false" ht="13.8" hidden="false" customHeight="false" outlineLevel="0" collapsed="false">
      <c r="A1727" s="19"/>
      <c r="B1727" s="19"/>
      <c r="C1727" s="19"/>
      <c r="D1727" s="24"/>
      <c r="E1727" s="24"/>
      <c r="F1727" s="24"/>
    </row>
    <row r="1728" customFormat="false" ht="13.8" hidden="false" customHeight="false" outlineLevel="0" collapsed="false">
      <c r="A1728" s="19"/>
      <c r="B1728" s="19"/>
      <c r="C1728" s="19"/>
      <c r="D1728" s="24"/>
      <c r="E1728" s="24"/>
      <c r="F1728" s="24"/>
    </row>
    <row r="1729" customFormat="false" ht="13.8" hidden="false" customHeight="false" outlineLevel="0" collapsed="false">
      <c r="A1729" s="19"/>
      <c r="B1729" s="19"/>
      <c r="C1729" s="19"/>
      <c r="D1729" s="24"/>
      <c r="E1729" s="24"/>
      <c r="F1729" s="24"/>
    </row>
    <row r="1730" customFormat="false" ht="13.8" hidden="false" customHeight="false" outlineLevel="0" collapsed="false">
      <c r="A1730" s="19"/>
      <c r="B1730" s="19"/>
      <c r="C1730" s="19"/>
      <c r="D1730" s="24"/>
      <c r="E1730" s="24"/>
      <c r="F1730" s="24"/>
    </row>
    <row r="1731" customFormat="false" ht="13.8" hidden="false" customHeight="false" outlineLevel="0" collapsed="false">
      <c r="A1731" s="19"/>
      <c r="B1731" s="19"/>
      <c r="C1731" s="19"/>
      <c r="D1731" s="24"/>
      <c r="E1731" s="24"/>
      <c r="F1731" s="24"/>
    </row>
    <row r="1732" customFormat="false" ht="13.8" hidden="false" customHeight="false" outlineLevel="0" collapsed="false">
      <c r="A1732" s="19"/>
      <c r="B1732" s="19"/>
      <c r="C1732" s="19"/>
      <c r="D1732" s="24"/>
      <c r="E1732" s="24"/>
      <c r="F1732" s="24"/>
    </row>
    <row r="1733" customFormat="false" ht="13.8" hidden="false" customHeight="false" outlineLevel="0" collapsed="false">
      <c r="A1733" s="19"/>
      <c r="B1733" s="19"/>
      <c r="C1733" s="19"/>
      <c r="D1733" s="24"/>
      <c r="E1733" s="24"/>
      <c r="F1733" s="24"/>
    </row>
    <row r="1734" customFormat="false" ht="13.8" hidden="false" customHeight="false" outlineLevel="0" collapsed="false">
      <c r="A1734" s="19"/>
      <c r="B1734" s="19"/>
      <c r="C1734" s="19"/>
      <c r="D1734" s="24"/>
      <c r="E1734" s="24"/>
      <c r="F1734" s="24"/>
    </row>
    <row r="1735" customFormat="false" ht="13.8" hidden="false" customHeight="false" outlineLevel="0" collapsed="false">
      <c r="A1735" s="19"/>
      <c r="B1735" s="19"/>
      <c r="C1735" s="19"/>
      <c r="D1735" s="24"/>
      <c r="E1735" s="24"/>
      <c r="F1735" s="24"/>
    </row>
    <row r="1736" customFormat="false" ht="13.8" hidden="false" customHeight="false" outlineLevel="0" collapsed="false">
      <c r="A1736" s="19"/>
      <c r="B1736" s="19"/>
      <c r="C1736" s="19"/>
      <c r="D1736" s="24"/>
      <c r="E1736" s="24"/>
      <c r="F1736" s="24"/>
    </row>
    <row r="1737" customFormat="false" ht="13.8" hidden="false" customHeight="false" outlineLevel="0" collapsed="false">
      <c r="A1737" s="19"/>
      <c r="B1737" s="19"/>
      <c r="C1737" s="19"/>
      <c r="D1737" s="24"/>
      <c r="E1737" s="24"/>
      <c r="F1737" s="24"/>
    </row>
    <row r="1738" customFormat="false" ht="13.8" hidden="false" customHeight="false" outlineLevel="0" collapsed="false">
      <c r="A1738" s="19"/>
      <c r="B1738" s="19"/>
      <c r="C1738" s="19"/>
      <c r="D1738" s="24"/>
      <c r="E1738" s="24"/>
      <c r="F1738" s="24"/>
    </row>
    <row r="1739" customFormat="false" ht="13.8" hidden="false" customHeight="false" outlineLevel="0" collapsed="false">
      <c r="A1739" s="19"/>
      <c r="B1739" s="19"/>
      <c r="C1739" s="19"/>
      <c r="D1739" s="24"/>
      <c r="E1739" s="24"/>
      <c r="F1739" s="24"/>
    </row>
    <row r="1740" customFormat="false" ht="13.8" hidden="false" customHeight="false" outlineLevel="0" collapsed="false">
      <c r="A1740" s="19"/>
      <c r="B1740" s="19"/>
      <c r="C1740" s="19"/>
      <c r="D1740" s="24"/>
      <c r="E1740" s="24"/>
      <c r="F1740" s="24"/>
    </row>
    <row r="1741" customFormat="false" ht="13.8" hidden="false" customHeight="false" outlineLevel="0" collapsed="false">
      <c r="A1741" s="19"/>
      <c r="B1741" s="19"/>
      <c r="C1741" s="19"/>
      <c r="D1741" s="24"/>
      <c r="E1741" s="24"/>
      <c r="F1741" s="24"/>
    </row>
    <row r="1742" customFormat="false" ht="13.8" hidden="false" customHeight="false" outlineLevel="0" collapsed="false">
      <c r="A1742" s="19"/>
      <c r="B1742" s="19"/>
      <c r="C1742" s="19"/>
      <c r="D1742" s="24"/>
      <c r="E1742" s="24"/>
      <c r="F1742" s="24"/>
    </row>
    <row r="1743" customFormat="false" ht="13.8" hidden="false" customHeight="false" outlineLevel="0" collapsed="false">
      <c r="A1743" s="19"/>
      <c r="B1743" s="19"/>
      <c r="C1743" s="19"/>
      <c r="D1743" s="24"/>
      <c r="E1743" s="24"/>
      <c r="F1743" s="24"/>
    </row>
    <row r="1744" customFormat="false" ht="13.8" hidden="false" customHeight="false" outlineLevel="0" collapsed="false">
      <c r="A1744" s="19"/>
      <c r="B1744" s="19"/>
      <c r="C1744" s="19"/>
      <c r="D1744" s="24"/>
      <c r="E1744" s="24"/>
      <c r="F1744" s="24"/>
    </row>
    <row r="1745" customFormat="false" ht="13.8" hidden="false" customHeight="false" outlineLevel="0" collapsed="false">
      <c r="A1745" s="19"/>
      <c r="B1745" s="19"/>
      <c r="C1745" s="19"/>
      <c r="D1745" s="24"/>
      <c r="E1745" s="24"/>
      <c r="F1745" s="24"/>
    </row>
    <row r="1746" customFormat="false" ht="13.8" hidden="false" customHeight="false" outlineLevel="0" collapsed="false">
      <c r="A1746" s="19"/>
      <c r="B1746" s="19"/>
      <c r="C1746" s="19"/>
      <c r="D1746" s="24"/>
      <c r="E1746" s="24"/>
      <c r="F1746" s="24"/>
    </row>
    <row r="1747" customFormat="false" ht="13.8" hidden="false" customHeight="false" outlineLevel="0" collapsed="false">
      <c r="A1747" s="19"/>
      <c r="B1747" s="19"/>
      <c r="C1747" s="19"/>
      <c r="D1747" s="24"/>
      <c r="E1747" s="24"/>
      <c r="F1747" s="24"/>
    </row>
    <row r="1748" customFormat="false" ht="13.8" hidden="false" customHeight="false" outlineLevel="0" collapsed="false">
      <c r="A1748" s="19"/>
      <c r="B1748" s="19"/>
      <c r="C1748" s="19"/>
      <c r="D1748" s="24"/>
      <c r="E1748" s="24"/>
      <c r="F1748" s="24"/>
    </row>
    <row r="1749" customFormat="false" ht="13.8" hidden="false" customHeight="false" outlineLevel="0" collapsed="false">
      <c r="A1749" s="19"/>
      <c r="B1749" s="19"/>
      <c r="C1749" s="19"/>
      <c r="D1749" s="24"/>
      <c r="E1749" s="24"/>
      <c r="F1749" s="24"/>
    </row>
    <row r="1750" customFormat="false" ht="13.8" hidden="false" customHeight="false" outlineLevel="0" collapsed="false">
      <c r="A1750" s="19"/>
      <c r="B1750" s="19"/>
      <c r="C1750" s="19"/>
      <c r="D1750" s="24"/>
      <c r="E1750" s="24"/>
      <c r="F1750" s="24"/>
    </row>
    <row r="1751" customFormat="false" ht="13.8" hidden="false" customHeight="false" outlineLevel="0" collapsed="false">
      <c r="A1751" s="19"/>
      <c r="B1751" s="19"/>
      <c r="C1751" s="19"/>
      <c r="D1751" s="24"/>
      <c r="E1751" s="24"/>
      <c r="F1751" s="24"/>
    </row>
    <row r="1752" customFormat="false" ht="13.8" hidden="false" customHeight="false" outlineLevel="0" collapsed="false">
      <c r="A1752" s="19"/>
      <c r="B1752" s="19"/>
      <c r="C1752" s="19"/>
      <c r="D1752" s="24"/>
      <c r="E1752" s="24"/>
      <c r="F1752" s="24"/>
    </row>
    <row r="1753" customFormat="false" ht="13.8" hidden="false" customHeight="false" outlineLevel="0" collapsed="false">
      <c r="A1753" s="19"/>
      <c r="B1753" s="19"/>
      <c r="C1753" s="19"/>
      <c r="D1753" s="24"/>
      <c r="E1753" s="24"/>
      <c r="F1753" s="24"/>
    </row>
    <row r="1754" customFormat="false" ht="13.8" hidden="false" customHeight="false" outlineLevel="0" collapsed="false">
      <c r="A1754" s="19"/>
      <c r="B1754" s="19"/>
      <c r="C1754" s="19"/>
      <c r="D1754" s="24"/>
      <c r="E1754" s="24"/>
      <c r="F1754" s="24"/>
    </row>
    <row r="1755" customFormat="false" ht="13.8" hidden="false" customHeight="false" outlineLevel="0" collapsed="false">
      <c r="A1755" s="19"/>
      <c r="B1755" s="19"/>
      <c r="C1755" s="19"/>
      <c r="D1755" s="24"/>
      <c r="E1755" s="24"/>
      <c r="F1755" s="24"/>
    </row>
    <row r="1756" customFormat="false" ht="13.8" hidden="false" customHeight="false" outlineLevel="0" collapsed="false">
      <c r="A1756" s="19"/>
      <c r="B1756" s="19"/>
      <c r="C1756" s="19"/>
      <c r="D1756" s="24"/>
      <c r="E1756" s="24"/>
      <c r="F1756" s="24"/>
    </row>
    <row r="1757" customFormat="false" ht="13.8" hidden="false" customHeight="false" outlineLevel="0" collapsed="false">
      <c r="A1757" s="19"/>
      <c r="B1757" s="19"/>
      <c r="C1757" s="19"/>
      <c r="D1757" s="24"/>
      <c r="E1757" s="24"/>
      <c r="F1757" s="24"/>
    </row>
    <row r="1758" customFormat="false" ht="13.8" hidden="false" customHeight="false" outlineLevel="0" collapsed="false">
      <c r="A1758" s="19"/>
      <c r="B1758" s="19"/>
      <c r="C1758" s="19"/>
      <c r="D1758" s="24"/>
      <c r="E1758" s="24"/>
      <c r="F1758" s="24"/>
    </row>
    <row r="1759" customFormat="false" ht="13.8" hidden="false" customHeight="false" outlineLevel="0" collapsed="false">
      <c r="A1759" s="19"/>
      <c r="B1759" s="19"/>
      <c r="C1759" s="19"/>
      <c r="D1759" s="24"/>
      <c r="E1759" s="24"/>
      <c r="F1759" s="24"/>
    </row>
    <row r="1760" customFormat="false" ht="13.8" hidden="false" customHeight="false" outlineLevel="0" collapsed="false">
      <c r="A1760" s="19"/>
      <c r="B1760" s="19"/>
      <c r="C1760" s="19"/>
      <c r="D1760" s="24"/>
      <c r="E1760" s="24"/>
      <c r="F1760" s="24"/>
    </row>
    <row r="1761" customFormat="false" ht="13.8" hidden="false" customHeight="false" outlineLevel="0" collapsed="false">
      <c r="A1761" s="19"/>
      <c r="B1761" s="19"/>
      <c r="C1761" s="19"/>
      <c r="D1761" s="24"/>
      <c r="E1761" s="24"/>
      <c r="F1761" s="24"/>
    </row>
    <row r="1762" customFormat="false" ht="13.8" hidden="false" customHeight="false" outlineLevel="0" collapsed="false">
      <c r="A1762" s="19"/>
      <c r="B1762" s="19"/>
      <c r="C1762" s="19"/>
      <c r="D1762" s="24"/>
      <c r="E1762" s="24"/>
      <c r="F1762" s="24"/>
    </row>
    <row r="1763" customFormat="false" ht="13.8" hidden="false" customHeight="false" outlineLevel="0" collapsed="false">
      <c r="A1763" s="19"/>
      <c r="B1763" s="19"/>
      <c r="C1763" s="19"/>
      <c r="D1763" s="24"/>
      <c r="E1763" s="24"/>
      <c r="F1763" s="24"/>
    </row>
    <row r="1764" customFormat="false" ht="13.8" hidden="false" customHeight="false" outlineLevel="0" collapsed="false">
      <c r="A1764" s="19"/>
      <c r="B1764" s="19"/>
      <c r="C1764" s="19"/>
      <c r="D1764" s="24"/>
      <c r="E1764" s="24"/>
      <c r="F1764" s="24"/>
    </row>
    <row r="1765" customFormat="false" ht="13.8" hidden="false" customHeight="false" outlineLevel="0" collapsed="false">
      <c r="A1765" s="19"/>
      <c r="B1765" s="19"/>
      <c r="C1765" s="19"/>
      <c r="D1765" s="24"/>
      <c r="E1765" s="24"/>
      <c r="F1765" s="24"/>
    </row>
    <row r="1766" customFormat="false" ht="13.8" hidden="false" customHeight="false" outlineLevel="0" collapsed="false">
      <c r="A1766" s="19"/>
      <c r="B1766" s="19"/>
      <c r="C1766" s="19"/>
      <c r="D1766" s="24"/>
      <c r="E1766" s="24"/>
      <c r="F1766" s="24"/>
    </row>
    <row r="1767" customFormat="false" ht="13.8" hidden="false" customHeight="false" outlineLevel="0" collapsed="false">
      <c r="A1767" s="19"/>
      <c r="B1767" s="19"/>
      <c r="C1767" s="19"/>
      <c r="D1767" s="24"/>
      <c r="E1767" s="24"/>
      <c r="F1767" s="24"/>
    </row>
    <row r="1768" customFormat="false" ht="13.8" hidden="false" customHeight="false" outlineLevel="0" collapsed="false">
      <c r="A1768" s="19"/>
      <c r="B1768" s="19"/>
      <c r="C1768" s="19"/>
      <c r="D1768" s="24"/>
      <c r="E1768" s="24"/>
      <c r="F1768" s="24"/>
    </row>
    <row r="1769" customFormat="false" ht="13.8" hidden="false" customHeight="false" outlineLevel="0" collapsed="false">
      <c r="A1769" s="19"/>
      <c r="B1769" s="19"/>
      <c r="C1769" s="19"/>
      <c r="D1769" s="24"/>
      <c r="E1769" s="24"/>
      <c r="F1769" s="24"/>
    </row>
    <row r="1770" customFormat="false" ht="13.8" hidden="false" customHeight="false" outlineLevel="0" collapsed="false">
      <c r="A1770" s="19"/>
      <c r="B1770" s="19"/>
      <c r="C1770" s="19"/>
      <c r="D1770" s="24"/>
      <c r="E1770" s="24"/>
      <c r="F1770" s="24"/>
    </row>
    <row r="1771" customFormat="false" ht="13.8" hidden="false" customHeight="false" outlineLevel="0" collapsed="false">
      <c r="A1771" s="19"/>
      <c r="B1771" s="19"/>
      <c r="C1771" s="19"/>
      <c r="D1771" s="24"/>
      <c r="E1771" s="24"/>
      <c r="F1771" s="24"/>
    </row>
    <row r="1772" customFormat="false" ht="13.8" hidden="false" customHeight="false" outlineLevel="0" collapsed="false">
      <c r="A1772" s="19"/>
      <c r="B1772" s="19"/>
      <c r="C1772" s="19"/>
      <c r="D1772" s="24"/>
      <c r="E1772" s="24"/>
      <c r="F1772" s="24"/>
    </row>
    <row r="1773" customFormat="false" ht="13.8" hidden="false" customHeight="false" outlineLevel="0" collapsed="false">
      <c r="A1773" s="19"/>
      <c r="B1773" s="19"/>
      <c r="C1773" s="19"/>
      <c r="D1773" s="24"/>
      <c r="E1773" s="24"/>
      <c r="F1773" s="24"/>
    </row>
    <row r="1774" customFormat="false" ht="13.8" hidden="false" customHeight="false" outlineLevel="0" collapsed="false">
      <c r="A1774" s="19"/>
      <c r="B1774" s="19"/>
      <c r="C1774" s="19"/>
      <c r="D1774" s="24"/>
      <c r="E1774" s="24"/>
      <c r="F1774" s="24"/>
    </row>
    <row r="1775" customFormat="false" ht="13.8" hidden="false" customHeight="false" outlineLevel="0" collapsed="false">
      <c r="A1775" s="19"/>
      <c r="B1775" s="19"/>
      <c r="C1775" s="19"/>
      <c r="D1775" s="24"/>
      <c r="E1775" s="24"/>
      <c r="F1775" s="24"/>
    </row>
    <row r="1776" customFormat="false" ht="13.8" hidden="false" customHeight="false" outlineLevel="0" collapsed="false">
      <c r="A1776" s="19"/>
      <c r="B1776" s="19"/>
      <c r="C1776" s="19"/>
      <c r="D1776" s="24"/>
      <c r="E1776" s="24"/>
      <c r="F1776" s="24"/>
    </row>
    <row r="1777" customFormat="false" ht="13.8" hidden="false" customHeight="false" outlineLevel="0" collapsed="false">
      <c r="A1777" s="19"/>
      <c r="B1777" s="19"/>
      <c r="C1777" s="19"/>
      <c r="D1777" s="24"/>
      <c r="E1777" s="24"/>
      <c r="F1777" s="24"/>
    </row>
    <row r="1778" customFormat="false" ht="13.8" hidden="false" customHeight="false" outlineLevel="0" collapsed="false">
      <c r="A1778" s="19"/>
      <c r="B1778" s="19"/>
      <c r="C1778" s="19"/>
      <c r="D1778" s="24"/>
      <c r="E1778" s="24"/>
      <c r="F1778" s="24"/>
    </row>
    <row r="1779" customFormat="false" ht="13.8" hidden="false" customHeight="false" outlineLevel="0" collapsed="false">
      <c r="A1779" s="19"/>
      <c r="B1779" s="19"/>
      <c r="C1779" s="19"/>
      <c r="D1779" s="24"/>
      <c r="E1779" s="24"/>
      <c r="F1779" s="24"/>
    </row>
    <row r="1780" customFormat="false" ht="13.8" hidden="false" customHeight="false" outlineLevel="0" collapsed="false">
      <c r="A1780" s="19"/>
      <c r="B1780" s="19"/>
      <c r="C1780" s="19"/>
      <c r="D1780" s="24"/>
      <c r="E1780" s="24"/>
      <c r="F1780" s="24"/>
    </row>
    <row r="1781" customFormat="false" ht="13.8" hidden="false" customHeight="false" outlineLevel="0" collapsed="false">
      <c r="A1781" s="19"/>
      <c r="B1781" s="19"/>
      <c r="C1781" s="19"/>
      <c r="D1781" s="24"/>
      <c r="E1781" s="24"/>
      <c r="F1781" s="24"/>
    </row>
    <row r="1782" customFormat="false" ht="13.8" hidden="false" customHeight="false" outlineLevel="0" collapsed="false">
      <c r="A1782" s="19"/>
      <c r="B1782" s="19"/>
      <c r="C1782" s="19"/>
      <c r="D1782" s="24"/>
      <c r="E1782" s="24"/>
      <c r="F1782" s="24"/>
    </row>
    <row r="1783" customFormat="false" ht="13.8" hidden="false" customHeight="false" outlineLevel="0" collapsed="false">
      <c r="A1783" s="19"/>
      <c r="B1783" s="19"/>
      <c r="C1783" s="19"/>
      <c r="D1783" s="24"/>
      <c r="E1783" s="24"/>
      <c r="F1783" s="24"/>
    </row>
    <row r="1784" customFormat="false" ht="13.8" hidden="false" customHeight="false" outlineLevel="0" collapsed="false">
      <c r="A1784" s="19"/>
      <c r="B1784" s="19"/>
      <c r="C1784" s="19"/>
      <c r="D1784" s="24"/>
      <c r="E1784" s="24"/>
      <c r="F1784" s="24"/>
    </row>
    <row r="1785" customFormat="false" ht="13.8" hidden="false" customHeight="false" outlineLevel="0" collapsed="false">
      <c r="A1785" s="19"/>
      <c r="B1785" s="19"/>
      <c r="C1785" s="19"/>
      <c r="D1785" s="24"/>
      <c r="E1785" s="24"/>
      <c r="F1785" s="24"/>
    </row>
    <row r="1786" customFormat="false" ht="13.8" hidden="false" customHeight="false" outlineLevel="0" collapsed="false">
      <c r="A1786" s="19"/>
      <c r="B1786" s="19"/>
      <c r="C1786" s="19"/>
      <c r="D1786" s="24"/>
      <c r="E1786" s="24"/>
      <c r="F1786" s="24"/>
    </row>
    <row r="1787" customFormat="false" ht="13.8" hidden="false" customHeight="false" outlineLevel="0" collapsed="false">
      <c r="A1787" s="19"/>
      <c r="B1787" s="19"/>
      <c r="C1787" s="19"/>
      <c r="D1787" s="24"/>
      <c r="E1787" s="24"/>
      <c r="F1787" s="24"/>
    </row>
    <row r="1788" customFormat="false" ht="13.8" hidden="false" customHeight="false" outlineLevel="0" collapsed="false">
      <c r="A1788" s="19"/>
      <c r="B1788" s="19"/>
      <c r="C1788" s="19"/>
      <c r="D1788" s="24"/>
      <c r="E1788" s="24"/>
      <c r="F1788" s="24"/>
    </row>
    <row r="1789" customFormat="false" ht="13.8" hidden="false" customHeight="false" outlineLevel="0" collapsed="false">
      <c r="A1789" s="19"/>
      <c r="B1789" s="19"/>
      <c r="C1789" s="19"/>
      <c r="D1789" s="24"/>
      <c r="E1789" s="24"/>
      <c r="F1789" s="24"/>
    </row>
    <row r="1790" customFormat="false" ht="13.8" hidden="false" customHeight="false" outlineLevel="0" collapsed="false">
      <c r="A1790" s="19"/>
      <c r="B1790" s="19"/>
      <c r="C1790" s="19"/>
      <c r="D1790" s="24"/>
      <c r="E1790" s="24"/>
      <c r="F1790" s="24"/>
    </row>
    <row r="1791" customFormat="false" ht="13.8" hidden="false" customHeight="false" outlineLevel="0" collapsed="false">
      <c r="A1791" s="19"/>
      <c r="B1791" s="19"/>
      <c r="C1791" s="19"/>
      <c r="D1791" s="24"/>
      <c r="E1791" s="24"/>
      <c r="F1791" s="24"/>
    </row>
    <row r="1792" customFormat="false" ht="13.8" hidden="false" customHeight="false" outlineLevel="0" collapsed="false">
      <c r="A1792" s="19"/>
      <c r="B1792" s="19"/>
      <c r="C1792" s="19"/>
      <c r="D1792" s="24"/>
      <c r="E1792" s="24"/>
      <c r="F1792" s="24"/>
    </row>
    <row r="1793" customFormat="false" ht="13.8" hidden="false" customHeight="false" outlineLevel="0" collapsed="false">
      <c r="A1793" s="19"/>
      <c r="B1793" s="19"/>
      <c r="C1793" s="19"/>
      <c r="D1793" s="24"/>
      <c r="E1793" s="24"/>
      <c r="F1793" s="24"/>
    </row>
    <row r="1794" customFormat="false" ht="13.8" hidden="false" customHeight="false" outlineLevel="0" collapsed="false">
      <c r="A1794" s="19"/>
      <c r="B1794" s="19"/>
      <c r="C1794" s="19"/>
      <c r="D1794" s="24"/>
      <c r="E1794" s="24"/>
      <c r="F1794" s="24"/>
    </row>
    <row r="1795" customFormat="false" ht="13.8" hidden="false" customHeight="false" outlineLevel="0" collapsed="false">
      <c r="A1795" s="19"/>
      <c r="B1795" s="19"/>
      <c r="C1795" s="19"/>
      <c r="D1795" s="24"/>
      <c r="E1795" s="24"/>
      <c r="F1795" s="24"/>
    </row>
    <row r="1796" customFormat="false" ht="13.8" hidden="false" customHeight="false" outlineLevel="0" collapsed="false">
      <c r="A1796" s="19"/>
      <c r="B1796" s="19"/>
      <c r="C1796" s="19"/>
      <c r="D1796" s="24"/>
      <c r="E1796" s="24"/>
      <c r="F1796" s="24"/>
    </row>
    <row r="1797" customFormat="false" ht="13.8" hidden="false" customHeight="false" outlineLevel="0" collapsed="false">
      <c r="A1797" s="19"/>
      <c r="B1797" s="19"/>
      <c r="C1797" s="19"/>
      <c r="D1797" s="24"/>
      <c r="E1797" s="24"/>
      <c r="F1797" s="24"/>
    </row>
    <row r="1798" customFormat="false" ht="13.8" hidden="false" customHeight="false" outlineLevel="0" collapsed="false">
      <c r="A1798" s="19"/>
      <c r="B1798" s="19"/>
      <c r="C1798" s="19"/>
      <c r="D1798" s="24"/>
      <c r="E1798" s="24"/>
      <c r="F1798" s="24"/>
    </row>
    <row r="1799" customFormat="false" ht="13.8" hidden="false" customHeight="false" outlineLevel="0" collapsed="false">
      <c r="A1799" s="19"/>
      <c r="B1799" s="19"/>
      <c r="C1799" s="19"/>
      <c r="D1799" s="24"/>
      <c r="E1799" s="24"/>
      <c r="F1799" s="24"/>
    </row>
    <row r="1800" customFormat="false" ht="13.8" hidden="false" customHeight="false" outlineLevel="0" collapsed="false">
      <c r="A1800" s="19"/>
      <c r="B1800" s="19"/>
      <c r="C1800" s="19"/>
      <c r="D1800" s="24"/>
      <c r="E1800" s="24"/>
      <c r="F1800" s="24"/>
    </row>
    <row r="1801" customFormat="false" ht="13.8" hidden="false" customHeight="false" outlineLevel="0" collapsed="false">
      <c r="A1801" s="19"/>
      <c r="B1801" s="19"/>
      <c r="C1801" s="19"/>
      <c r="D1801" s="24"/>
      <c r="E1801" s="24"/>
      <c r="F1801" s="24"/>
    </row>
    <row r="1802" customFormat="false" ht="13.8" hidden="false" customHeight="false" outlineLevel="0" collapsed="false">
      <c r="A1802" s="19"/>
      <c r="B1802" s="19"/>
      <c r="C1802" s="19"/>
      <c r="D1802" s="24"/>
      <c r="E1802" s="24"/>
      <c r="F1802" s="24"/>
    </row>
    <row r="1803" customFormat="false" ht="13.8" hidden="false" customHeight="false" outlineLevel="0" collapsed="false">
      <c r="A1803" s="19"/>
      <c r="B1803" s="19"/>
      <c r="C1803" s="19"/>
      <c r="D1803" s="24"/>
      <c r="E1803" s="24"/>
      <c r="F1803" s="24"/>
    </row>
    <row r="1804" customFormat="false" ht="13.8" hidden="false" customHeight="false" outlineLevel="0" collapsed="false">
      <c r="A1804" s="19"/>
      <c r="B1804" s="19"/>
      <c r="C1804" s="19"/>
      <c r="D1804" s="24"/>
      <c r="E1804" s="24"/>
      <c r="F1804" s="24"/>
    </row>
    <row r="1805" customFormat="false" ht="13.8" hidden="false" customHeight="false" outlineLevel="0" collapsed="false">
      <c r="A1805" s="19"/>
      <c r="B1805" s="19"/>
      <c r="C1805" s="19"/>
      <c r="D1805" s="24"/>
      <c r="E1805" s="24"/>
      <c r="F1805" s="24"/>
    </row>
    <row r="1806" customFormat="false" ht="13.8" hidden="false" customHeight="false" outlineLevel="0" collapsed="false">
      <c r="A1806" s="19"/>
      <c r="B1806" s="19"/>
      <c r="C1806" s="19"/>
      <c r="D1806" s="24"/>
      <c r="E1806" s="24"/>
      <c r="F1806" s="24"/>
    </row>
    <row r="1807" customFormat="false" ht="13.8" hidden="false" customHeight="false" outlineLevel="0" collapsed="false">
      <c r="A1807" s="19"/>
      <c r="B1807" s="19"/>
      <c r="C1807" s="19"/>
      <c r="D1807" s="24"/>
      <c r="E1807" s="24"/>
      <c r="F1807" s="24"/>
    </row>
    <row r="1808" customFormat="false" ht="13.8" hidden="false" customHeight="false" outlineLevel="0" collapsed="false">
      <c r="A1808" s="19"/>
      <c r="B1808" s="19"/>
      <c r="C1808" s="19"/>
      <c r="D1808" s="24"/>
      <c r="E1808" s="24"/>
      <c r="F1808" s="24"/>
    </row>
    <row r="1809" customFormat="false" ht="13.8" hidden="false" customHeight="false" outlineLevel="0" collapsed="false">
      <c r="A1809" s="19"/>
      <c r="B1809" s="19"/>
      <c r="C1809" s="19"/>
      <c r="D1809" s="24"/>
      <c r="E1809" s="24"/>
      <c r="F1809" s="24"/>
    </row>
    <row r="1810" customFormat="false" ht="13.8" hidden="false" customHeight="false" outlineLevel="0" collapsed="false">
      <c r="A1810" s="19"/>
      <c r="B1810" s="19"/>
      <c r="C1810" s="19"/>
      <c r="D1810" s="24"/>
      <c r="E1810" s="24"/>
      <c r="F1810" s="24"/>
    </row>
    <row r="1811" customFormat="false" ht="13.8" hidden="false" customHeight="false" outlineLevel="0" collapsed="false">
      <c r="A1811" s="19"/>
      <c r="B1811" s="19"/>
      <c r="C1811" s="19"/>
      <c r="D1811" s="24"/>
      <c r="E1811" s="24"/>
      <c r="F1811" s="24"/>
    </row>
    <row r="1812" customFormat="false" ht="13.8" hidden="false" customHeight="false" outlineLevel="0" collapsed="false">
      <c r="A1812" s="19"/>
      <c r="B1812" s="19"/>
      <c r="C1812" s="19"/>
      <c r="D1812" s="24"/>
      <c r="E1812" s="24"/>
      <c r="F1812" s="24"/>
    </row>
    <row r="1813" customFormat="false" ht="13.8" hidden="false" customHeight="false" outlineLevel="0" collapsed="false">
      <c r="A1813" s="19"/>
      <c r="B1813" s="19"/>
      <c r="C1813" s="19"/>
      <c r="D1813" s="24"/>
      <c r="E1813" s="24"/>
      <c r="F1813" s="24"/>
    </row>
    <row r="1814" customFormat="false" ht="13.8" hidden="false" customHeight="false" outlineLevel="0" collapsed="false">
      <c r="A1814" s="19"/>
      <c r="B1814" s="19"/>
      <c r="C1814" s="19"/>
      <c r="D1814" s="24"/>
      <c r="E1814" s="24"/>
      <c r="F1814" s="24"/>
    </row>
    <row r="1815" customFormat="false" ht="13.8" hidden="false" customHeight="false" outlineLevel="0" collapsed="false">
      <c r="A1815" s="19"/>
      <c r="B1815" s="19"/>
      <c r="C1815" s="19"/>
      <c r="D1815" s="24"/>
      <c r="E1815" s="24"/>
      <c r="F1815" s="24"/>
    </row>
    <row r="1816" customFormat="false" ht="13.8" hidden="false" customHeight="false" outlineLevel="0" collapsed="false">
      <c r="A1816" s="19"/>
      <c r="B1816" s="19"/>
      <c r="C1816" s="19"/>
      <c r="D1816" s="24"/>
      <c r="E1816" s="24"/>
      <c r="F1816" s="24"/>
    </row>
    <row r="1817" customFormat="false" ht="13.8" hidden="false" customHeight="false" outlineLevel="0" collapsed="false">
      <c r="A1817" s="19"/>
      <c r="B1817" s="19"/>
      <c r="C1817" s="19"/>
      <c r="D1817" s="24"/>
      <c r="E1817" s="24"/>
      <c r="F1817" s="24"/>
    </row>
    <row r="1818" customFormat="false" ht="13.8" hidden="false" customHeight="false" outlineLevel="0" collapsed="false">
      <c r="A1818" s="19"/>
      <c r="B1818" s="19"/>
      <c r="C1818" s="19"/>
      <c r="D1818" s="24"/>
      <c r="E1818" s="24"/>
      <c r="F1818" s="24"/>
    </row>
    <row r="1819" customFormat="false" ht="13.8" hidden="false" customHeight="false" outlineLevel="0" collapsed="false">
      <c r="A1819" s="19"/>
      <c r="B1819" s="19"/>
      <c r="C1819" s="19"/>
      <c r="D1819" s="24"/>
      <c r="E1819" s="24"/>
      <c r="F1819" s="24"/>
    </row>
    <row r="1820" customFormat="false" ht="13.8" hidden="false" customHeight="false" outlineLevel="0" collapsed="false">
      <c r="A1820" s="19"/>
      <c r="B1820" s="19"/>
      <c r="C1820" s="19"/>
      <c r="D1820" s="24"/>
      <c r="E1820" s="24"/>
      <c r="F1820" s="24"/>
    </row>
    <row r="1821" customFormat="false" ht="13.8" hidden="false" customHeight="false" outlineLevel="0" collapsed="false">
      <c r="A1821" s="19"/>
      <c r="B1821" s="19"/>
      <c r="C1821" s="19"/>
      <c r="D1821" s="24"/>
      <c r="E1821" s="24"/>
      <c r="F1821" s="24"/>
    </row>
    <row r="1822" customFormat="false" ht="13.8" hidden="false" customHeight="false" outlineLevel="0" collapsed="false">
      <c r="A1822" s="19"/>
      <c r="B1822" s="19"/>
      <c r="C1822" s="19"/>
      <c r="D1822" s="24"/>
      <c r="E1822" s="24"/>
      <c r="F1822" s="24"/>
    </row>
    <row r="1823" customFormat="false" ht="13.8" hidden="false" customHeight="false" outlineLevel="0" collapsed="false">
      <c r="A1823" s="19"/>
      <c r="B1823" s="19"/>
      <c r="C1823" s="19"/>
      <c r="D1823" s="24"/>
      <c r="E1823" s="24"/>
      <c r="F1823" s="24"/>
    </row>
    <row r="1824" customFormat="false" ht="13.8" hidden="false" customHeight="false" outlineLevel="0" collapsed="false">
      <c r="A1824" s="19"/>
      <c r="B1824" s="19"/>
      <c r="C1824" s="19"/>
      <c r="D1824" s="24"/>
      <c r="E1824" s="24"/>
      <c r="F1824" s="24"/>
    </row>
    <row r="1825" customFormat="false" ht="13.8" hidden="false" customHeight="false" outlineLevel="0" collapsed="false">
      <c r="A1825" s="19"/>
      <c r="B1825" s="19"/>
      <c r="C1825" s="19"/>
      <c r="D1825" s="24"/>
      <c r="E1825" s="24"/>
      <c r="F1825" s="24"/>
    </row>
    <row r="1826" customFormat="false" ht="13.8" hidden="false" customHeight="false" outlineLevel="0" collapsed="false">
      <c r="A1826" s="19"/>
      <c r="B1826" s="19"/>
      <c r="C1826" s="19"/>
      <c r="D1826" s="24"/>
      <c r="E1826" s="24"/>
      <c r="F1826" s="24"/>
    </row>
    <row r="1827" customFormat="false" ht="13.8" hidden="false" customHeight="false" outlineLevel="0" collapsed="false">
      <c r="A1827" s="19"/>
      <c r="B1827" s="19"/>
      <c r="C1827" s="19"/>
      <c r="D1827" s="24"/>
      <c r="E1827" s="24"/>
      <c r="F1827" s="24"/>
    </row>
    <row r="1828" customFormat="false" ht="13.8" hidden="false" customHeight="false" outlineLevel="0" collapsed="false">
      <c r="A1828" s="19"/>
      <c r="B1828" s="19"/>
      <c r="C1828" s="19"/>
      <c r="D1828" s="24"/>
      <c r="E1828" s="24"/>
      <c r="F1828" s="24"/>
    </row>
    <row r="1829" customFormat="false" ht="13.8" hidden="false" customHeight="false" outlineLevel="0" collapsed="false">
      <c r="A1829" s="19"/>
      <c r="B1829" s="19"/>
      <c r="C1829" s="19"/>
      <c r="D1829" s="24"/>
      <c r="E1829" s="24"/>
      <c r="F1829" s="24"/>
    </row>
    <row r="1830" customFormat="false" ht="13.8" hidden="false" customHeight="false" outlineLevel="0" collapsed="false">
      <c r="A1830" s="19"/>
      <c r="B1830" s="19"/>
      <c r="C1830" s="19"/>
      <c r="D1830" s="24"/>
      <c r="E1830" s="24"/>
      <c r="F1830" s="24"/>
    </row>
    <row r="1831" customFormat="false" ht="13.8" hidden="false" customHeight="false" outlineLevel="0" collapsed="false">
      <c r="A1831" s="19"/>
      <c r="B1831" s="19"/>
      <c r="C1831" s="19"/>
      <c r="D1831" s="24"/>
      <c r="E1831" s="24"/>
      <c r="F1831" s="24"/>
    </row>
    <row r="1832" customFormat="false" ht="13.8" hidden="false" customHeight="false" outlineLevel="0" collapsed="false">
      <c r="A1832" s="19"/>
      <c r="B1832" s="19"/>
      <c r="C1832" s="19"/>
      <c r="D1832" s="24"/>
      <c r="E1832" s="24"/>
      <c r="F1832" s="24"/>
    </row>
    <row r="1833" customFormat="false" ht="13.8" hidden="false" customHeight="false" outlineLevel="0" collapsed="false">
      <c r="A1833" s="19"/>
      <c r="B1833" s="19"/>
      <c r="C1833" s="19"/>
      <c r="D1833" s="24"/>
      <c r="E1833" s="24"/>
      <c r="F1833" s="24"/>
    </row>
    <row r="1834" customFormat="false" ht="13.8" hidden="false" customHeight="false" outlineLevel="0" collapsed="false">
      <c r="A1834" s="19"/>
      <c r="B1834" s="19"/>
      <c r="C1834" s="19"/>
      <c r="D1834" s="24"/>
      <c r="E1834" s="24"/>
      <c r="F1834" s="24"/>
    </row>
    <row r="1835" customFormat="false" ht="13.8" hidden="false" customHeight="false" outlineLevel="0" collapsed="false">
      <c r="A1835" s="19"/>
      <c r="B1835" s="19"/>
      <c r="C1835" s="19"/>
      <c r="D1835" s="24"/>
      <c r="E1835" s="24"/>
      <c r="F1835" s="24"/>
    </row>
    <row r="1836" customFormat="false" ht="13.8" hidden="false" customHeight="false" outlineLevel="0" collapsed="false">
      <c r="A1836" s="19"/>
      <c r="B1836" s="19"/>
      <c r="C1836" s="19"/>
      <c r="D1836" s="24"/>
      <c r="E1836" s="24"/>
      <c r="F1836" s="24"/>
    </row>
    <row r="1837" customFormat="false" ht="13.8" hidden="false" customHeight="false" outlineLevel="0" collapsed="false">
      <c r="A1837" s="19"/>
      <c r="B1837" s="19"/>
      <c r="C1837" s="19"/>
      <c r="D1837" s="24"/>
      <c r="E1837" s="24"/>
      <c r="F1837" s="24"/>
    </row>
    <row r="1838" customFormat="false" ht="13.8" hidden="false" customHeight="false" outlineLevel="0" collapsed="false">
      <c r="A1838" s="19"/>
      <c r="B1838" s="19"/>
      <c r="C1838" s="19"/>
      <c r="D1838" s="24"/>
      <c r="E1838" s="24"/>
      <c r="F1838" s="24"/>
    </row>
    <row r="1839" customFormat="false" ht="13.8" hidden="false" customHeight="false" outlineLevel="0" collapsed="false">
      <c r="A1839" s="19"/>
      <c r="B1839" s="19"/>
      <c r="C1839" s="19"/>
      <c r="D1839" s="24"/>
      <c r="E1839" s="24"/>
      <c r="F1839" s="24"/>
    </row>
    <row r="1840" customFormat="false" ht="13.8" hidden="false" customHeight="false" outlineLevel="0" collapsed="false">
      <c r="A1840" s="19"/>
      <c r="B1840" s="19"/>
      <c r="C1840" s="19"/>
      <c r="D1840" s="24"/>
      <c r="E1840" s="24"/>
      <c r="F1840" s="24"/>
    </row>
    <row r="1841" customFormat="false" ht="13.8" hidden="false" customHeight="false" outlineLevel="0" collapsed="false">
      <c r="A1841" s="19"/>
      <c r="B1841" s="19"/>
      <c r="C1841" s="19"/>
      <c r="D1841" s="24"/>
      <c r="E1841" s="24"/>
      <c r="F1841" s="24"/>
    </row>
    <row r="1842" customFormat="false" ht="13.8" hidden="false" customHeight="false" outlineLevel="0" collapsed="false">
      <c r="A1842" s="19"/>
      <c r="B1842" s="19"/>
      <c r="C1842" s="19"/>
      <c r="D1842" s="24"/>
      <c r="E1842" s="24"/>
      <c r="F1842" s="24"/>
    </row>
    <row r="1843" customFormat="false" ht="13.8" hidden="false" customHeight="false" outlineLevel="0" collapsed="false">
      <c r="A1843" s="19"/>
      <c r="B1843" s="19"/>
      <c r="C1843" s="19"/>
      <c r="D1843" s="24"/>
      <c r="E1843" s="24"/>
      <c r="F1843" s="24"/>
    </row>
    <row r="1844" customFormat="false" ht="13.8" hidden="false" customHeight="false" outlineLevel="0" collapsed="false">
      <c r="A1844" s="19"/>
      <c r="B1844" s="19"/>
      <c r="C1844" s="19"/>
      <c r="D1844" s="24"/>
      <c r="E1844" s="24"/>
      <c r="F1844" s="24"/>
    </row>
    <row r="1845" customFormat="false" ht="13.8" hidden="false" customHeight="false" outlineLevel="0" collapsed="false">
      <c r="A1845" s="19"/>
      <c r="B1845" s="19"/>
      <c r="C1845" s="19"/>
      <c r="D1845" s="24"/>
      <c r="E1845" s="24"/>
      <c r="F1845" s="24"/>
    </row>
    <row r="1846" customFormat="false" ht="13.8" hidden="false" customHeight="false" outlineLevel="0" collapsed="false">
      <c r="A1846" s="19"/>
      <c r="B1846" s="19"/>
      <c r="C1846" s="19"/>
      <c r="D1846" s="24"/>
      <c r="E1846" s="24"/>
      <c r="F1846" s="24"/>
    </row>
    <row r="1847" customFormat="false" ht="13.8" hidden="false" customHeight="false" outlineLevel="0" collapsed="false">
      <c r="A1847" s="19"/>
      <c r="B1847" s="19"/>
      <c r="C1847" s="19"/>
      <c r="D1847" s="24"/>
      <c r="E1847" s="24"/>
      <c r="F1847" s="24"/>
    </row>
    <row r="1848" customFormat="false" ht="13.8" hidden="false" customHeight="false" outlineLevel="0" collapsed="false">
      <c r="A1848" s="19"/>
      <c r="B1848" s="19"/>
      <c r="C1848" s="19"/>
      <c r="D1848" s="24"/>
      <c r="E1848" s="24"/>
      <c r="F1848" s="24"/>
    </row>
    <row r="1849" customFormat="false" ht="13.8" hidden="false" customHeight="false" outlineLevel="0" collapsed="false">
      <c r="A1849" s="19"/>
      <c r="B1849" s="19"/>
      <c r="C1849" s="19"/>
      <c r="D1849" s="24"/>
      <c r="E1849" s="24"/>
      <c r="F1849" s="24"/>
    </row>
    <row r="1850" customFormat="false" ht="13.8" hidden="false" customHeight="false" outlineLevel="0" collapsed="false">
      <c r="A1850" s="19"/>
      <c r="B1850" s="19"/>
      <c r="C1850" s="19"/>
      <c r="D1850" s="24"/>
      <c r="E1850" s="24"/>
      <c r="F1850" s="24"/>
    </row>
    <row r="1851" customFormat="false" ht="13.8" hidden="false" customHeight="false" outlineLevel="0" collapsed="false">
      <c r="A1851" s="19"/>
      <c r="B1851" s="19"/>
      <c r="C1851" s="19"/>
      <c r="D1851" s="24"/>
      <c r="E1851" s="24"/>
      <c r="F1851" s="24"/>
    </row>
    <row r="1852" customFormat="false" ht="13.8" hidden="false" customHeight="false" outlineLevel="0" collapsed="false">
      <c r="A1852" s="19"/>
      <c r="B1852" s="19"/>
      <c r="C1852" s="19"/>
      <c r="D1852" s="24"/>
      <c r="E1852" s="24"/>
      <c r="F1852" s="24"/>
    </row>
    <row r="1853" customFormat="false" ht="13.8" hidden="false" customHeight="false" outlineLevel="0" collapsed="false">
      <c r="A1853" s="19"/>
      <c r="B1853" s="19"/>
      <c r="C1853" s="19"/>
      <c r="D1853" s="24"/>
      <c r="E1853" s="24"/>
      <c r="F1853" s="24"/>
    </row>
    <row r="1854" customFormat="false" ht="13.8" hidden="false" customHeight="false" outlineLevel="0" collapsed="false">
      <c r="A1854" s="19"/>
      <c r="B1854" s="19"/>
      <c r="C1854" s="19"/>
      <c r="D1854" s="24"/>
      <c r="E1854" s="24"/>
      <c r="F1854" s="24"/>
    </row>
    <row r="1855" customFormat="false" ht="13.8" hidden="false" customHeight="false" outlineLevel="0" collapsed="false">
      <c r="A1855" s="19"/>
      <c r="B1855" s="19"/>
      <c r="C1855" s="19"/>
      <c r="D1855" s="24"/>
      <c r="E1855" s="24"/>
      <c r="F1855" s="24"/>
    </row>
    <row r="1856" customFormat="false" ht="13.8" hidden="false" customHeight="false" outlineLevel="0" collapsed="false">
      <c r="A1856" s="19"/>
      <c r="B1856" s="19"/>
      <c r="C1856" s="19"/>
      <c r="D1856" s="24"/>
      <c r="E1856" s="24"/>
      <c r="F1856" s="24"/>
    </row>
    <row r="1857" customFormat="false" ht="13.8" hidden="false" customHeight="false" outlineLevel="0" collapsed="false">
      <c r="A1857" s="19"/>
      <c r="B1857" s="19"/>
      <c r="C1857" s="19"/>
      <c r="D1857" s="24"/>
      <c r="E1857" s="24"/>
      <c r="F1857" s="24"/>
    </row>
    <row r="1858" customFormat="false" ht="13.8" hidden="false" customHeight="false" outlineLevel="0" collapsed="false">
      <c r="A1858" s="19"/>
      <c r="B1858" s="19"/>
      <c r="C1858" s="19"/>
      <c r="D1858" s="24"/>
      <c r="E1858" s="24"/>
      <c r="F1858" s="24"/>
    </row>
    <row r="1859" customFormat="false" ht="13.8" hidden="false" customHeight="false" outlineLevel="0" collapsed="false">
      <c r="A1859" s="19"/>
      <c r="B1859" s="19"/>
      <c r="C1859" s="19"/>
      <c r="D1859" s="24"/>
      <c r="E1859" s="24"/>
      <c r="F1859" s="24"/>
    </row>
    <row r="1860" customFormat="false" ht="13.8" hidden="false" customHeight="false" outlineLevel="0" collapsed="false">
      <c r="A1860" s="19"/>
      <c r="B1860" s="19"/>
      <c r="C1860" s="19"/>
      <c r="D1860" s="24"/>
      <c r="E1860" s="24"/>
      <c r="F1860" s="24"/>
    </row>
    <row r="1861" customFormat="false" ht="13.8" hidden="false" customHeight="false" outlineLevel="0" collapsed="false">
      <c r="A1861" s="19"/>
      <c r="B1861" s="19"/>
      <c r="C1861" s="19"/>
      <c r="D1861" s="24"/>
      <c r="E1861" s="24"/>
      <c r="F1861" s="24"/>
    </row>
    <row r="1862" customFormat="false" ht="13.8" hidden="false" customHeight="false" outlineLevel="0" collapsed="false">
      <c r="A1862" s="19"/>
      <c r="B1862" s="19"/>
      <c r="C1862" s="19"/>
      <c r="D1862" s="24"/>
      <c r="E1862" s="24"/>
      <c r="F1862" s="24"/>
    </row>
    <row r="1863" customFormat="false" ht="13.8" hidden="false" customHeight="false" outlineLevel="0" collapsed="false">
      <c r="A1863" s="19"/>
      <c r="B1863" s="19"/>
      <c r="C1863" s="19"/>
      <c r="D1863" s="24"/>
      <c r="E1863" s="24"/>
      <c r="F1863" s="24"/>
    </row>
    <row r="1864" customFormat="false" ht="13.8" hidden="false" customHeight="false" outlineLevel="0" collapsed="false">
      <c r="A1864" s="19"/>
      <c r="B1864" s="19"/>
      <c r="C1864" s="19"/>
      <c r="D1864" s="24"/>
      <c r="E1864" s="24"/>
      <c r="F1864" s="24"/>
    </row>
    <row r="1865" customFormat="false" ht="13.8" hidden="false" customHeight="false" outlineLevel="0" collapsed="false">
      <c r="A1865" s="19"/>
      <c r="B1865" s="19"/>
      <c r="C1865" s="19"/>
      <c r="D1865" s="24"/>
      <c r="E1865" s="24"/>
      <c r="F1865" s="24"/>
    </row>
    <row r="1866" customFormat="false" ht="13.8" hidden="false" customHeight="false" outlineLevel="0" collapsed="false">
      <c r="A1866" s="19"/>
      <c r="B1866" s="19"/>
      <c r="C1866" s="19"/>
      <c r="D1866" s="24"/>
      <c r="E1866" s="24"/>
      <c r="F1866" s="24"/>
    </row>
    <row r="1867" customFormat="false" ht="13.8" hidden="false" customHeight="false" outlineLevel="0" collapsed="false">
      <c r="A1867" s="19"/>
      <c r="B1867" s="19"/>
      <c r="C1867" s="19"/>
      <c r="D1867" s="24"/>
      <c r="E1867" s="24"/>
      <c r="F1867" s="24"/>
    </row>
    <row r="1868" customFormat="false" ht="13.8" hidden="false" customHeight="false" outlineLevel="0" collapsed="false">
      <c r="A1868" s="19"/>
      <c r="B1868" s="19"/>
      <c r="C1868" s="19"/>
      <c r="D1868" s="24"/>
      <c r="E1868" s="24"/>
      <c r="F1868" s="24"/>
    </row>
    <row r="1869" customFormat="false" ht="13.8" hidden="false" customHeight="false" outlineLevel="0" collapsed="false">
      <c r="A1869" s="19"/>
      <c r="B1869" s="19"/>
      <c r="C1869" s="19"/>
      <c r="D1869" s="24"/>
      <c r="E1869" s="24"/>
      <c r="F1869" s="24"/>
    </row>
    <row r="1870" customFormat="false" ht="13.8" hidden="false" customHeight="false" outlineLevel="0" collapsed="false">
      <c r="A1870" s="19"/>
      <c r="B1870" s="19"/>
      <c r="C1870" s="19"/>
      <c r="D1870" s="24"/>
      <c r="E1870" s="24"/>
      <c r="F1870" s="24"/>
    </row>
    <row r="1871" customFormat="false" ht="13.8" hidden="false" customHeight="false" outlineLevel="0" collapsed="false">
      <c r="A1871" s="19"/>
      <c r="B1871" s="19"/>
      <c r="C1871" s="19"/>
      <c r="D1871" s="24"/>
      <c r="E1871" s="24"/>
      <c r="F1871" s="24"/>
    </row>
    <row r="1872" customFormat="false" ht="13.8" hidden="false" customHeight="false" outlineLevel="0" collapsed="false">
      <c r="A1872" s="19"/>
      <c r="B1872" s="19"/>
      <c r="C1872" s="19"/>
      <c r="D1872" s="24"/>
      <c r="E1872" s="24"/>
      <c r="F1872" s="24"/>
    </row>
    <row r="1873" customFormat="false" ht="13.8" hidden="false" customHeight="false" outlineLevel="0" collapsed="false">
      <c r="A1873" s="19"/>
      <c r="B1873" s="19"/>
      <c r="C1873" s="19"/>
      <c r="D1873" s="24"/>
      <c r="E1873" s="24"/>
      <c r="F1873" s="24"/>
    </row>
    <row r="1874" customFormat="false" ht="13.8" hidden="false" customHeight="false" outlineLevel="0" collapsed="false">
      <c r="A1874" s="19"/>
      <c r="B1874" s="19"/>
      <c r="C1874" s="19"/>
      <c r="D1874" s="24"/>
      <c r="E1874" s="24"/>
      <c r="F1874" s="24"/>
    </row>
    <row r="1875" customFormat="false" ht="13.8" hidden="false" customHeight="false" outlineLevel="0" collapsed="false">
      <c r="A1875" s="19"/>
      <c r="B1875" s="19"/>
      <c r="C1875" s="19"/>
      <c r="D1875" s="24"/>
      <c r="E1875" s="24"/>
      <c r="F1875" s="24"/>
    </row>
    <row r="1876" customFormat="false" ht="13.8" hidden="false" customHeight="false" outlineLevel="0" collapsed="false">
      <c r="A1876" s="19"/>
      <c r="B1876" s="19"/>
      <c r="C1876" s="19"/>
      <c r="D1876" s="24"/>
      <c r="E1876" s="24"/>
      <c r="F1876" s="24"/>
    </row>
    <row r="1877" customFormat="false" ht="13.8" hidden="false" customHeight="false" outlineLevel="0" collapsed="false">
      <c r="A1877" s="19"/>
      <c r="B1877" s="19"/>
      <c r="C1877" s="19"/>
      <c r="D1877" s="24"/>
      <c r="E1877" s="24"/>
      <c r="F1877" s="24"/>
    </row>
    <row r="1878" customFormat="false" ht="13.8" hidden="false" customHeight="false" outlineLevel="0" collapsed="false">
      <c r="A1878" s="19"/>
      <c r="B1878" s="19"/>
      <c r="C1878" s="19"/>
      <c r="D1878" s="24"/>
      <c r="E1878" s="24"/>
      <c r="F1878" s="24"/>
    </row>
    <row r="1879" customFormat="false" ht="13.8" hidden="false" customHeight="false" outlineLevel="0" collapsed="false">
      <c r="A1879" s="19"/>
      <c r="B1879" s="19"/>
      <c r="C1879" s="19"/>
      <c r="D1879" s="24"/>
      <c r="E1879" s="24"/>
      <c r="F1879" s="24"/>
    </row>
    <row r="1880" customFormat="false" ht="13.8" hidden="false" customHeight="false" outlineLevel="0" collapsed="false">
      <c r="A1880" s="19"/>
      <c r="B1880" s="19"/>
      <c r="C1880" s="19"/>
      <c r="D1880" s="24"/>
      <c r="E1880" s="24"/>
      <c r="F1880" s="24"/>
    </row>
    <row r="1881" customFormat="false" ht="13.8" hidden="false" customHeight="false" outlineLevel="0" collapsed="false">
      <c r="A1881" s="19"/>
      <c r="B1881" s="19"/>
      <c r="C1881" s="19"/>
      <c r="D1881" s="24"/>
      <c r="E1881" s="24"/>
      <c r="F1881" s="24"/>
    </row>
    <row r="1882" customFormat="false" ht="13.8" hidden="false" customHeight="false" outlineLevel="0" collapsed="false">
      <c r="A1882" s="19"/>
      <c r="B1882" s="19"/>
      <c r="C1882" s="19"/>
      <c r="D1882" s="24"/>
      <c r="E1882" s="24"/>
      <c r="F1882" s="24"/>
    </row>
    <row r="1883" customFormat="false" ht="13.8" hidden="false" customHeight="false" outlineLevel="0" collapsed="false">
      <c r="A1883" s="19"/>
      <c r="B1883" s="19"/>
      <c r="C1883" s="19"/>
      <c r="D1883" s="24"/>
      <c r="E1883" s="24"/>
      <c r="F1883" s="24"/>
    </row>
    <row r="1884" customFormat="false" ht="13.8" hidden="false" customHeight="false" outlineLevel="0" collapsed="false">
      <c r="A1884" s="19"/>
      <c r="B1884" s="19"/>
      <c r="C1884" s="19"/>
      <c r="D1884" s="24"/>
      <c r="E1884" s="24"/>
      <c r="F1884" s="24"/>
    </row>
    <row r="1885" customFormat="false" ht="13.8" hidden="false" customHeight="false" outlineLevel="0" collapsed="false">
      <c r="A1885" s="19"/>
      <c r="B1885" s="19"/>
      <c r="C1885" s="19"/>
      <c r="D1885" s="24"/>
      <c r="E1885" s="24"/>
      <c r="F1885" s="24"/>
    </row>
    <row r="1886" customFormat="false" ht="13.8" hidden="false" customHeight="false" outlineLevel="0" collapsed="false">
      <c r="A1886" s="19"/>
      <c r="B1886" s="19"/>
      <c r="C1886" s="19"/>
      <c r="D1886" s="24"/>
      <c r="E1886" s="24"/>
      <c r="F1886" s="24"/>
    </row>
    <row r="1887" customFormat="false" ht="13.8" hidden="false" customHeight="false" outlineLevel="0" collapsed="false">
      <c r="A1887" s="19"/>
      <c r="B1887" s="19"/>
      <c r="C1887" s="19"/>
      <c r="D1887" s="24"/>
      <c r="E1887" s="24"/>
      <c r="F1887" s="24"/>
    </row>
    <row r="1888" customFormat="false" ht="13.8" hidden="false" customHeight="false" outlineLevel="0" collapsed="false">
      <c r="A1888" s="19"/>
      <c r="B1888" s="19"/>
      <c r="C1888" s="19"/>
      <c r="D1888" s="24"/>
      <c r="E1888" s="24"/>
      <c r="F1888" s="24"/>
    </row>
    <row r="1889" customFormat="false" ht="13.8" hidden="false" customHeight="false" outlineLevel="0" collapsed="false">
      <c r="A1889" s="19"/>
      <c r="B1889" s="19"/>
      <c r="C1889" s="19"/>
      <c r="D1889" s="24"/>
      <c r="E1889" s="24"/>
      <c r="F1889" s="24"/>
    </row>
    <row r="1890" customFormat="false" ht="13.8" hidden="false" customHeight="false" outlineLevel="0" collapsed="false">
      <c r="A1890" s="19"/>
      <c r="B1890" s="19"/>
      <c r="C1890" s="19"/>
      <c r="D1890" s="24"/>
      <c r="E1890" s="24"/>
      <c r="F1890" s="24"/>
    </row>
    <row r="1891" customFormat="false" ht="13.8" hidden="false" customHeight="false" outlineLevel="0" collapsed="false">
      <c r="A1891" s="19"/>
      <c r="B1891" s="19"/>
      <c r="C1891" s="19"/>
      <c r="D1891" s="24"/>
      <c r="E1891" s="24"/>
      <c r="F1891" s="24"/>
    </row>
    <row r="1892" customFormat="false" ht="13.8" hidden="false" customHeight="false" outlineLevel="0" collapsed="false">
      <c r="A1892" s="19"/>
      <c r="B1892" s="19"/>
      <c r="C1892" s="19"/>
      <c r="D1892" s="24"/>
      <c r="E1892" s="24"/>
      <c r="F1892" s="24"/>
    </row>
    <row r="1893" customFormat="false" ht="13.8" hidden="false" customHeight="false" outlineLevel="0" collapsed="false">
      <c r="A1893" s="19"/>
      <c r="B1893" s="19"/>
      <c r="C1893" s="19"/>
      <c r="D1893" s="24"/>
      <c r="E1893" s="24"/>
      <c r="F1893" s="24"/>
    </row>
    <row r="1894" customFormat="false" ht="13.8" hidden="false" customHeight="false" outlineLevel="0" collapsed="false">
      <c r="A1894" s="19"/>
      <c r="B1894" s="19"/>
      <c r="C1894" s="19"/>
      <c r="D1894" s="24"/>
      <c r="E1894" s="24"/>
      <c r="F1894" s="24"/>
    </row>
    <row r="1895" customFormat="false" ht="13.8" hidden="false" customHeight="false" outlineLevel="0" collapsed="false">
      <c r="A1895" s="19"/>
      <c r="B1895" s="19"/>
      <c r="C1895" s="19"/>
      <c r="D1895" s="24"/>
      <c r="E1895" s="24"/>
      <c r="F1895" s="24"/>
    </row>
    <row r="1896" customFormat="false" ht="13.8" hidden="false" customHeight="false" outlineLevel="0" collapsed="false">
      <c r="A1896" s="19"/>
      <c r="B1896" s="19"/>
      <c r="C1896" s="19"/>
      <c r="D1896" s="24"/>
      <c r="E1896" s="24"/>
      <c r="F1896" s="24"/>
    </row>
    <row r="1897" customFormat="false" ht="13.8" hidden="false" customHeight="false" outlineLevel="0" collapsed="false">
      <c r="A1897" s="19"/>
      <c r="B1897" s="19"/>
      <c r="C1897" s="19"/>
      <c r="D1897" s="24"/>
      <c r="E1897" s="24"/>
      <c r="F1897" s="24"/>
    </row>
    <row r="1898" customFormat="false" ht="13.8" hidden="false" customHeight="false" outlineLevel="0" collapsed="false">
      <c r="A1898" s="19"/>
      <c r="B1898" s="19"/>
      <c r="C1898" s="19"/>
      <c r="D1898" s="24"/>
      <c r="E1898" s="24"/>
      <c r="F1898" s="24"/>
    </row>
    <row r="1899" customFormat="false" ht="13.8" hidden="false" customHeight="false" outlineLevel="0" collapsed="false">
      <c r="A1899" s="19"/>
      <c r="B1899" s="19"/>
      <c r="C1899" s="19"/>
      <c r="D1899" s="24"/>
      <c r="E1899" s="24"/>
      <c r="F1899" s="24"/>
    </row>
    <row r="1900" customFormat="false" ht="13.8" hidden="false" customHeight="false" outlineLevel="0" collapsed="false">
      <c r="A1900" s="19"/>
      <c r="B1900" s="19"/>
      <c r="C1900" s="19"/>
      <c r="D1900" s="24"/>
      <c r="E1900" s="24"/>
      <c r="F1900" s="24"/>
    </row>
    <row r="1901" customFormat="false" ht="13.8" hidden="false" customHeight="false" outlineLevel="0" collapsed="false">
      <c r="A1901" s="19"/>
      <c r="B1901" s="19"/>
      <c r="C1901" s="19"/>
      <c r="D1901" s="24"/>
      <c r="E1901" s="24"/>
      <c r="F1901" s="24"/>
    </row>
    <row r="1902" customFormat="false" ht="13.8" hidden="false" customHeight="false" outlineLevel="0" collapsed="false">
      <c r="A1902" s="19"/>
      <c r="B1902" s="19"/>
      <c r="C1902" s="19"/>
      <c r="D1902" s="24"/>
      <c r="E1902" s="24"/>
      <c r="F1902" s="24"/>
    </row>
    <row r="1903" customFormat="false" ht="13.8" hidden="false" customHeight="false" outlineLevel="0" collapsed="false">
      <c r="A1903" s="19"/>
      <c r="B1903" s="19"/>
      <c r="C1903" s="19"/>
      <c r="D1903" s="24"/>
      <c r="E1903" s="24"/>
      <c r="F1903" s="24"/>
    </row>
    <row r="1904" customFormat="false" ht="13.8" hidden="false" customHeight="false" outlineLevel="0" collapsed="false">
      <c r="A1904" s="19"/>
      <c r="B1904" s="19"/>
      <c r="C1904" s="19"/>
      <c r="D1904" s="24"/>
      <c r="E1904" s="24"/>
      <c r="F1904" s="24"/>
    </row>
    <row r="1905" customFormat="false" ht="13.8" hidden="false" customHeight="false" outlineLevel="0" collapsed="false">
      <c r="A1905" s="19"/>
      <c r="B1905" s="19"/>
      <c r="C1905" s="19"/>
      <c r="D1905" s="24"/>
      <c r="E1905" s="24"/>
      <c r="F1905" s="24"/>
    </row>
    <row r="1906" customFormat="false" ht="13.8" hidden="false" customHeight="false" outlineLevel="0" collapsed="false">
      <c r="A1906" s="19"/>
      <c r="B1906" s="19"/>
      <c r="C1906" s="19"/>
      <c r="D1906" s="24"/>
      <c r="E1906" s="24"/>
      <c r="F1906" s="24"/>
    </row>
    <row r="1907" customFormat="false" ht="13.8" hidden="false" customHeight="false" outlineLevel="0" collapsed="false">
      <c r="A1907" s="19"/>
      <c r="B1907" s="19"/>
      <c r="C1907" s="19"/>
      <c r="D1907" s="24"/>
      <c r="E1907" s="24"/>
      <c r="F1907" s="24"/>
    </row>
    <row r="1908" customFormat="false" ht="13.8" hidden="false" customHeight="false" outlineLevel="0" collapsed="false">
      <c r="A1908" s="19"/>
      <c r="B1908" s="19"/>
      <c r="C1908" s="19"/>
      <c r="D1908" s="24"/>
      <c r="E1908" s="24"/>
      <c r="F1908" s="24"/>
    </row>
    <row r="1909" customFormat="false" ht="13.8" hidden="false" customHeight="false" outlineLevel="0" collapsed="false">
      <c r="A1909" s="19"/>
      <c r="B1909" s="19"/>
      <c r="C1909" s="19"/>
      <c r="D1909" s="24"/>
      <c r="E1909" s="24"/>
      <c r="F1909" s="24"/>
    </row>
    <row r="1910" customFormat="false" ht="13.8" hidden="false" customHeight="false" outlineLevel="0" collapsed="false">
      <c r="A1910" s="19"/>
      <c r="B1910" s="19"/>
      <c r="C1910" s="19"/>
      <c r="D1910" s="24"/>
      <c r="E1910" s="24"/>
      <c r="F1910" s="24"/>
    </row>
    <row r="1911" customFormat="false" ht="13.8" hidden="false" customHeight="false" outlineLevel="0" collapsed="false">
      <c r="A1911" s="19"/>
      <c r="B1911" s="19"/>
      <c r="C1911" s="19"/>
      <c r="D1911" s="24"/>
      <c r="E1911" s="24"/>
      <c r="F1911" s="24"/>
    </row>
    <row r="1912" customFormat="false" ht="13.8" hidden="false" customHeight="false" outlineLevel="0" collapsed="false">
      <c r="A1912" s="19"/>
      <c r="B1912" s="19"/>
      <c r="C1912" s="19"/>
      <c r="D1912" s="24"/>
      <c r="E1912" s="24"/>
      <c r="F1912" s="24"/>
    </row>
    <row r="1913" customFormat="false" ht="13.8" hidden="false" customHeight="false" outlineLevel="0" collapsed="false">
      <c r="A1913" s="19"/>
      <c r="B1913" s="19"/>
      <c r="C1913" s="19"/>
      <c r="D1913" s="24"/>
      <c r="E1913" s="24"/>
      <c r="F1913" s="24"/>
    </row>
    <row r="1914" customFormat="false" ht="13.8" hidden="false" customHeight="false" outlineLevel="0" collapsed="false">
      <c r="A1914" s="19"/>
      <c r="B1914" s="19"/>
      <c r="C1914" s="19"/>
      <c r="D1914" s="24"/>
      <c r="E1914" s="24"/>
      <c r="F1914" s="24"/>
    </row>
    <row r="1915" customFormat="false" ht="13.8" hidden="false" customHeight="false" outlineLevel="0" collapsed="false">
      <c r="A1915" s="19"/>
      <c r="B1915" s="19"/>
      <c r="C1915" s="19"/>
      <c r="D1915" s="24"/>
      <c r="E1915" s="24"/>
      <c r="F1915" s="24"/>
    </row>
    <row r="1916" customFormat="false" ht="13.8" hidden="false" customHeight="false" outlineLevel="0" collapsed="false">
      <c r="A1916" s="19"/>
      <c r="B1916" s="19"/>
      <c r="C1916" s="19"/>
      <c r="D1916" s="24"/>
      <c r="E1916" s="24"/>
      <c r="F1916" s="24"/>
    </row>
    <row r="1917" customFormat="false" ht="13.8" hidden="false" customHeight="false" outlineLevel="0" collapsed="false">
      <c r="A1917" s="19"/>
      <c r="B1917" s="19"/>
      <c r="C1917" s="19"/>
      <c r="D1917" s="24"/>
      <c r="E1917" s="24"/>
      <c r="F1917" s="24"/>
    </row>
    <row r="1918" customFormat="false" ht="13.8" hidden="false" customHeight="false" outlineLevel="0" collapsed="false">
      <c r="A1918" s="19"/>
      <c r="B1918" s="19"/>
      <c r="C1918" s="19"/>
      <c r="D1918" s="24"/>
      <c r="E1918" s="24"/>
      <c r="F1918" s="24"/>
    </row>
    <row r="1919" customFormat="false" ht="13.8" hidden="false" customHeight="false" outlineLevel="0" collapsed="false">
      <c r="A1919" s="19"/>
      <c r="B1919" s="19"/>
      <c r="C1919" s="19"/>
      <c r="D1919" s="24"/>
      <c r="E1919" s="24"/>
      <c r="F1919" s="24"/>
    </row>
    <row r="1920" customFormat="false" ht="13.8" hidden="false" customHeight="false" outlineLevel="0" collapsed="false">
      <c r="A1920" s="19"/>
      <c r="B1920" s="19"/>
      <c r="C1920" s="19"/>
      <c r="D1920" s="24"/>
      <c r="E1920" s="24"/>
      <c r="F1920" s="24"/>
    </row>
    <row r="1921" customFormat="false" ht="13.8" hidden="false" customHeight="false" outlineLevel="0" collapsed="false">
      <c r="A1921" s="19"/>
      <c r="B1921" s="19"/>
      <c r="C1921" s="19"/>
      <c r="D1921" s="24"/>
      <c r="E1921" s="24"/>
      <c r="F1921" s="24"/>
    </row>
    <row r="1922" customFormat="false" ht="13.8" hidden="false" customHeight="false" outlineLevel="0" collapsed="false">
      <c r="A1922" s="19"/>
      <c r="B1922" s="19"/>
      <c r="C1922" s="19"/>
      <c r="D1922" s="24"/>
      <c r="E1922" s="24"/>
      <c r="F1922" s="24"/>
    </row>
    <row r="1923" customFormat="false" ht="13.8" hidden="false" customHeight="false" outlineLevel="0" collapsed="false">
      <c r="A1923" s="19"/>
      <c r="B1923" s="19"/>
      <c r="C1923" s="19"/>
      <c r="D1923" s="24"/>
      <c r="E1923" s="24"/>
      <c r="F1923" s="24"/>
    </row>
    <row r="1924" customFormat="false" ht="13.8" hidden="false" customHeight="false" outlineLevel="0" collapsed="false">
      <c r="A1924" s="19"/>
      <c r="B1924" s="19"/>
      <c r="C1924" s="19"/>
      <c r="D1924" s="24"/>
      <c r="E1924" s="24"/>
      <c r="F1924" s="24"/>
    </row>
    <row r="1925" customFormat="false" ht="13.8" hidden="false" customHeight="false" outlineLevel="0" collapsed="false">
      <c r="A1925" s="19"/>
      <c r="B1925" s="19"/>
      <c r="C1925" s="19"/>
      <c r="D1925" s="24"/>
      <c r="E1925" s="24"/>
      <c r="F1925" s="24"/>
    </row>
    <row r="1926" customFormat="false" ht="13.8" hidden="false" customHeight="false" outlineLevel="0" collapsed="false">
      <c r="A1926" s="19"/>
      <c r="B1926" s="19"/>
      <c r="C1926" s="19"/>
      <c r="D1926" s="24"/>
      <c r="E1926" s="24"/>
      <c r="F1926" s="24"/>
    </row>
    <row r="1927" customFormat="false" ht="13.8" hidden="false" customHeight="false" outlineLevel="0" collapsed="false">
      <c r="A1927" s="19"/>
      <c r="B1927" s="19"/>
      <c r="C1927" s="19"/>
      <c r="D1927" s="24"/>
      <c r="E1927" s="24"/>
      <c r="F1927" s="24"/>
    </row>
    <row r="1928" customFormat="false" ht="13.8" hidden="false" customHeight="false" outlineLevel="0" collapsed="false">
      <c r="A1928" s="19"/>
      <c r="B1928" s="19"/>
      <c r="C1928" s="19"/>
      <c r="D1928" s="24"/>
      <c r="E1928" s="24"/>
      <c r="F1928" s="24"/>
    </row>
    <row r="1929" customFormat="false" ht="13.8" hidden="false" customHeight="false" outlineLevel="0" collapsed="false">
      <c r="A1929" s="19"/>
      <c r="B1929" s="19"/>
      <c r="C1929" s="19"/>
      <c r="D1929" s="24"/>
      <c r="E1929" s="24"/>
      <c r="F1929" s="24"/>
    </row>
    <row r="1930" customFormat="false" ht="13.8" hidden="false" customHeight="false" outlineLevel="0" collapsed="false">
      <c r="A1930" s="19"/>
      <c r="B1930" s="19"/>
      <c r="C1930" s="19"/>
      <c r="D1930" s="24"/>
      <c r="E1930" s="24"/>
      <c r="F1930" s="24"/>
    </row>
    <row r="1931" customFormat="false" ht="13.8" hidden="false" customHeight="false" outlineLevel="0" collapsed="false">
      <c r="A1931" s="19"/>
      <c r="B1931" s="19"/>
      <c r="C1931" s="19"/>
      <c r="D1931" s="24"/>
      <c r="E1931" s="24"/>
      <c r="F1931" s="24"/>
    </row>
    <row r="1932" customFormat="false" ht="13.8" hidden="false" customHeight="false" outlineLevel="0" collapsed="false">
      <c r="A1932" s="19"/>
      <c r="B1932" s="19"/>
      <c r="C1932" s="19"/>
      <c r="D1932" s="24"/>
      <c r="E1932" s="24"/>
      <c r="F1932" s="24"/>
    </row>
    <row r="1933" customFormat="false" ht="13.8" hidden="false" customHeight="false" outlineLevel="0" collapsed="false">
      <c r="A1933" s="19"/>
      <c r="B1933" s="19"/>
      <c r="C1933" s="19"/>
      <c r="D1933" s="24"/>
      <c r="E1933" s="24"/>
      <c r="F1933" s="24"/>
    </row>
    <row r="1934" customFormat="false" ht="13.8" hidden="false" customHeight="false" outlineLevel="0" collapsed="false">
      <c r="A1934" s="19"/>
      <c r="B1934" s="19"/>
      <c r="C1934" s="19"/>
      <c r="D1934" s="24"/>
      <c r="E1934" s="24"/>
      <c r="F1934" s="24"/>
    </row>
    <row r="1935" customFormat="false" ht="13.8" hidden="false" customHeight="false" outlineLevel="0" collapsed="false">
      <c r="A1935" s="19"/>
      <c r="B1935" s="19"/>
      <c r="C1935" s="19"/>
      <c r="D1935" s="24"/>
      <c r="E1935" s="24"/>
      <c r="F1935" s="24"/>
    </row>
    <row r="1936" customFormat="false" ht="13.8" hidden="false" customHeight="false" outlineLevel="0" collapsed="false">
      <c r="A1936" s="19"/>
      <c r="B1936" s="19"/>
      <c r="C1936" s="19"/>
      <c r="D1936" s="24"/>
      <c r="E1936" s="24"/>
      <c r="F1936" s="24"/>
    </row>
    <row r="1937" customFormat="false" ht="13.8" hidden="false" customHeight="false" outlineLevel="0" collapsed="false">
      <c r="A1937" s="19"/>
      <c r="B1937" s="19"/>
      <c r="C1937" s="19"/>
      <c r="D1937" s="24"/>
      <c r="E1937" s="24"/>
      <c r="F1937" s="24"/>
    </row>
    <row r="1938" customFormat="false" ht="13.8" hidden="false" customHeight="false" outlineLevel="0" collapsed="false">
      <c r="A1938" s="19"/>
      <c r="B1938" s="19"/>
      <c r="C1938" s="19"/>
      <c r="D1938" s="24"/>
      <c r="E1938" s="24"/>
      <c r="F1938" s="24"/>
    </row>
    <row r="1939" customFormat="false" ht="13.8" hidden="false" customHeight="false" outlineLevel="0" collapsed="false">
      <c r="A1939" s="19"/>
      <c r="B1939" s="19"/>
      <c r="C1939" s="19"/>
      <c r="D1939" s="24"/>
      <c r="E1939" s="24"/>
      <c r="F1939" s="24"/>
    </row>
    <row r="1940" customFormat="false" ht="13.8" hidden="false" customHeight="false" outlineLevel="0" collapsed="false">
      <c r="A1940" s="19"/>
      <c r="B1940" s="19"/>
      <c r="C1940" s="19"/>
      <c r="D1940" s="24"/>
      <c r="E1940" s="24"/>
      <c r="F1940" s="24"/>
    </row>
    <row r="1941" customFormat="false" ht="13.8" hidden="false" customHeight="false" outlineLevel="0" collapsed="false">
      <c r="A1941" s="19"/>
      <c r="B1941" s="19"/>
      <c r="C1941" s="19"/>
      <c r="D1941" s="24"/>
      <c r="E1941" s="24"/>
      <c r="F1941" s="24"/>
    </row>
    <row r="1942" customFormat="false" ht="13.8" hidden="false" customHeight="false" outlineLevel="0" collapsed="false">
      <c r="A1942" s="19"/>
      <c r="B1942" s="19"/>
      <c r="C1942" s="19"/>
      <c r="D1942" s="24"/>
      <c r="E1942" s="24"/>
      <c r="F1942" s="24"/>
    </row>
    <row r="1943" customFormat="false" ht="13.8" hidden="false" customHeight="false" outlineLevel="0" collapsed="false">
      <c r="A1943" s="19"/>
      <c r="B1943" s="19"/>
      <c r="C1943" s="19"/>
      <c r="D1943" s="24"/>
      <c r="E1943" s="24"/>
      <c r="F1943" s="24"/>
    </row>
    <row r="1944" customFormat="false" ht="13.8" hidden="false" customHeight="false" outlineLevel="0" collapsed="false">
      <c r="A1944" s="19"/>
      <c r="B1944" s="19"/>
      <c r="C1944" s="19"/>
      <c r="D1944" s="24"/>
      <c r="E1944" s="24"/>
      <c r="F1944" s="24"/>
    </row>
    <row r="1945" customFormat="false" ht="13.8" hidden="false" customHeight="false" outlineLevel="0" collapsed="false">
      <c r="A1945" s="19"/>
      <c r="B1945" s="19"/>
      <c r="C1945" s="19"/>
      <c r="D1945" s="24"/>
      <c r="E1945" s="24"/>
      <c r="F1945" s="24"/>
    </row>
    <row r="1946" customFormat="false" ht="13.8" hidden="false" customHeight="false" outlineLevel="0" collapsed="false">
      <c r="A1946" s="19"/>
      <c r="B1946" s="19"/>
      <c r="C1946" s="19"/>
      <c r="D1946" s="24"/>
      <c r="E1946" s="24"/>
      <c r="F1946" s="24"/>
    </row>
    <row r="1947" customFormat="false" ht="13.8" hidden="false" customHeight="false" outlineLevel="0" collapsed="false">
      <c r="A1947" s="19"/>
      <c r="B1947" s="19"/>
      <c r="C1947" s="19"/>
      <c r="D1947" s="24"/>
      <c r="E1947" s="24"/>
      <c r="F1947" s="24"/>
    </row>
    <row r="1948" customFormat="false" ht="13.8" hidden="false" customHeight="false" outlineLevel="0" collapsed="false">
      <c r="A1948" s="19"/>
      <c r="B1948" s="19"/>
      <c r="C1948" s="19"/>
      <c r="D1948" s="24"/>
      <c r="E1948" s="24"/>
      <c r="F1948" s="24"/>
    </row>
    <row r="1949" customFormat="false" ht="13.8" hidden="false" customHeight="false" outlineLevel="0" collapsed="false">
      <c r="A1949" s="19"/>
      <c r="B1949" s="19"/>
      <c r="C1949" s="19"/>
      <c r="D1949" s="24"/>
      <c r="E1949" s="24"/>
      <c r="F1949" s="24"/>
    </row>
    <row r="1950" customFormat="false" ht="13.8" hidden="false" customHeight="false" outlineLevel="0" collapsed="false">
      <c r="A1950" s="19"/>
      <c r="B1950" s="19"/>
      <c r="C1950" s="19"/>
      <c r="D1950" s="24"/>
      <c r="E1950" s="24"/>
      <c r="F1950" s="24"/>
    </row>
    <row r="1951" customFormat="false" ht="13.8" hidden="false" customHeight="false" outlineLevel="0" collapsed="false">
      <c r="A1951" s="19"/>
      <c r="B1951" s="19"/>
      <c r="C1951" s="19"/>
      <c r="D1951" s="24"/>
      <c r="E1951" s="24"/>
      <c r="F1951" s="24"/>
    </row>
    <row r="1952" customFormat="false" ht="13.8" hidden="false" customHeight="false" outlineLevel="0" collapsed="false">
      <c r="A1952" s="19"/>
      <c r="B1952" s="19"/>
      <c r="C1952" s="19"/>
      <c r="D1952" s="24"/>
      <c r="E1952" s="24"/>
      <c r="F1952" s="24"/>
    </row>
    <row r="1953" customFormat="false" ht="13.8" hidden="false" customHeight="false" outlineLevel="0" collapsed="false">
      <c r="A1953" s="19"/>
      <c r="B1953" s="19"/>
      <c r="C1953" s="19"/>
      <c r="D1953" s="24"/>
      <c r="E1953" s="24"/>
      <c r="F1953" s="24"/>
    </row>
    <row r="1954" customFormat="false" ht="13.8" hidden="false" customHeight="false" outlineLevel="0" collapsed="false">
      <c r="A1954" s="19"/>
      <c r="B1954" s="19"/>
      <c r="C1954" s="19"/>
      <c r="D1954" s="24"/>
      <c r="E1954" s="24"/>
      <c r="F1954" s="24"/>
    </row>
    <row r="1955" customFormat="false" ht="13.8" hidden="false" customHeight="false" outlineLevel="0" collapsed="false">
      <c r="A1955" s="19"/>
      <c r="B1955" s="19"/>
      <c r="C1955" s="19"/>
      <c r="D1955" s="24"/>
      <c r="E1955" s="24"/>
      <c r="F1955" s="24"/>
    </row>
    <row r="1956" customFormat="false" ht="13.8" hidden="false" customHeight="false" outlineLevel="0" collapsed="false">
      <c r="A1956" s="19"/>
      <c r="B1956" s="19"/>
      <c r="C1956" s="19"/>
      <c r="D1956" s="24"/>
      <c r="E1956" s="24"/>
      <c r="F1956" s="24"/>
    </row>
    <row r="1957" customFormat="false" ht="13.8" hidden="false" customHeight="false" outlineLevel="0" collapsed="false">
      <c r="A1957" s="19"/>
      <c r="B1957" s="19"/>
      <c r="C1957" s="19"/>
      <c r="D1957" s="24"/>
      <c r="E1957" s="24"/>
      <c r="F1957" s="24"/>
    </row>
    <row r="1958" customFormat="false" ht="13.8" hidden="false" customHeight="false" outlineLevel="0" collapsed="false">
      <c r="A1958" s="19"/>
      <c r="B1958" s="19"/>
      <c r="C1958" s="19"/>
      <c r="D1958" s="24"/>
      <c r="E1958" s="24"/>
      <c r="F1958" s="24"/>
    </row>
    <row r="1959" customFormat="false" ht="13.8" hidden="false" customHeight="false" outlineLevel="0" collapsed="false">
      <c r="A1959" s="19"/>
      <c r="B1959" s="19"/>
      <c r="C1959" s="19"/>
      <c r="D1959" s="24"/>
      <c r="E1959" s="24"/>
      <c r="F1959" s="24"/>
    </row>
    <row r="1960" customFormat="false" ht="13.8" hidden="false" customHeight="false" outlineLevel="0" collapsed="false">
      <c r="A1960" s="19"/>
      <c r="B1960" s="19"/>
      <c r="C1960" s="19"/>
      <c r="D1960" s="24"/>
      <c r="E1960" s="24"/>
      <c r="F1960" s="24"/>
    </row>
    <row r="1961" customFormat="false" ht="13.8" hidden="false" customHeight="false" outlineLevel="0" collapsed="false">
      <c r="A1961" s="19"/>
      <c r="B1961" s="19"/>
      <c r="C1961" s="19"/>
      <c r="D1961" s="24"/>
      <c r="E1961" s="24"/>
      <c r="F1961" s="24"/>
    </row>
    <row r="1962" customFormat="false" ht="13.8" hidden="false" customHeight="false" outlineLevel="0" collapsed="false">
      <c r="A1962" s="19"/>
      <c r="B1962" s="19"/>
      <c r="C1962" s="19"/>
      <c r="D1962" s="24"/>
      <c r="E1962" s="24"/>
      <c r="F1962" s="24"/>
    </row>
    <row r="1963" customFormat="false" ht="13.8" hidden="false" customHeight="false" outlineLevel="0" collapsed="false">
      <c r="A1963" s="19"/>
      <c r="B1963" s="19"/>
      <c r="C1963" s="19"/>
      <c r="D1963" s="24"/>
      <c r="E1963" s="24"/>
      <c r="F1963" s="24"/>
    </row>
    <row r="1964" customFormat="false" ht="13.8" hidden="false" customHeight="false" outlineLevel="0" collapsed="false">
      <c r="A1964" s="19"/>
      <c r="B1964" s="19"/>
      <c r="C1964" s="19"/>
      <c r="D1964" s="24"/>
      <c r="E1964" s="24"/>
      <c r="F1964" s="24"/>
    </row>
    <row r="1965" customFormat="false" ht="13.8" hidden="false" customHeight="false" outlineLevel="0" collapsed="false">
      <c r="A1965" s="19"/>
      <c r="B1965" s="19"/>
      <c r="C1965" s="19"/>
      <c r="D1965" s="24"/>
      <c r="E1965" s="24"/>
      <c r="F1965" s="24"/>
    </row>
    <row r="1966" customFormat="false" ht="13.8" hidden="false" customHeight="false" outlineLevel="0" collapsed="false">
      <c r="A1966" s="19"/>
      <c r="B1966" s="19"/>
      <c r="C1966" s="19"/>
      <c r="D1966" s="24"/>
      <c r="E1966" s="24"/>
      <c r="F1966" s="24"/>
    </row>
    <row r="1967" customFormat="false" ht="13.8" hidden="false" customHeight="false" outlineLevel="0" collapsed="false">
      <c r="A1967" s="19"/>
      <c r="B1967" s="19"/>
      <c r="C1967" s="19"/>
      <c r="D1967" s="24"/>
      <c r="E1967" s="24"/>
      <c r="F1967" s="24"/>
    </row>
    <row r="1968" customFormat="false" ht="13.8" hidden="false" customHeight="false" outlineLevel="0" collapsed="false">
      <c r="A1968" s="19"/>
      <c r="B1968" s="19"/>
      <c r="C1968" s="19"/>
      <c r="D1968" s="24"/>
      <c r="E1968" s="24"/>
      <c r="F1968" s="24"/>
    </row>
    <row r="1969" customFormat="false" ht="13.8" hidden="false" customHeight="false" outlineLevel="0" collapsed="false">
      <c r="A1969" s="19"/>
      <c r="B1969" s="19"/>
      <c r="C1969" s="19"/>
      <c r="D1969" s="24"/>
      <c r="E1969" s="24"/>
      <c r="F1969" s="24"/>
    </row>
    <row r="1970" customFormat="false" ht="13.8" hidden="false" customHeight="false" outlineLevel="0" collapsed="false">
      <c r="A1970" s="19"/>
      <c r="B1970" s="19"/>
      <c r="C1970" s="19"/>
      <c r="D1970" s="24"/>
      <c r="E1970" s="24"/>
      <c r="F1970" s="24"/>
    </row>
    <row r="1971" customFormat="false" ht="13.8" hidden="false" customHeight="false" outlineLevel="0" collapsed="false">
      <c r="A1971" s="19"/>
      <c r="B1971" s="19"/>
      <c r="C1971" s="19"/>
      <c r="D1971" s="24"/>
      <c r="E1971" s="24"/>
      <c r="F1971" s="24"/>
    </row>
    <row r="1972" customFormat="false" ht="13.8" hidden="false" customHeight="false" outlineLevel="0" collapsed="false">
      <c r="A1972" s="19"/>
      <c r="B1972" s="19"/>
      <c r="C1972" s="19"/>
      <c r="D1972" s="24"/>
      <c r="E1972" s="24"/>
      <c r="F1972" s="24"/>
    </row>
    <row r="1973" customFormat="false" ht="13.8" hidden="false" customHeight="false" outlineLevel="0" collapsed="false">
      <c r="A1973" s="19"/>
      <c r="B1973" s="19"/>
      <c r="C1973" s="19"/>
      <c r="D1973" s="24"/>
      <c r="E1973" s="24"/>
      <c r="F1973" s="24"/>
    </row>
    <row r="1974" customFormat="false" ht="13.8" hidden="false" customHeight="false" outlineLevel="0" collapsed="false">
      <c r="A1974" s="19"/>
      <c r="B1974" s="19"/>
      <c r="C1974" s="19"/>
      <c r="D1974" s="24"/>
      <c r="E1974" s="24"/>
      <c r="F1974" s="24"/>
    </row>
    <row r="1975" customFormat="false" ht="13.8" hidden="false" customHeight="false" outlineLevel="0" collapsed="false">
      <c r="A1975" s="19"/>
      <c r="B1975" s="19"/>
      <c r="C1975" s="19"/>
      <c r="D1975" s="24"/>
      <c r="E1975" s="24"/>
      <c r="F1975" s="24"/>
    </row>
    <row r="1976" customFormat="false" ht="13.8" hidden="false" customHeight="false" outlineLevel="0" collapsed="false">
      <c r="A1976" s="19"/>
      <c r="B1976" s="19"/>
      <c r="C1976" s="19"/>
      <c r="D1976" s="24"/>
      <c r="E1976" s="24"/>
      <c r="F1976" s="24"/>
    </row>
    <row r="1977" customFormat="false" ht="13.8" hidden="false" customHeight="false" outlineLevel="0" collapsed="false">
      <c r="A1977" s="19"/>
      <c r="B1977" s="19"/>
      <c r="C1977" s="19"/>
      <c r="D1977" s="24"/>
      <c r="E1977" s="24"/>
      <c r="F1977" s="24"/>
    </row>
    <row r="1978" customFormat="false" ht="13.8" hidden="false" customHeight="false" outlineLevel="0" collapsed="false">
      <c r="A1978" s="19"/>
      <c r="B1978" s="19"/>
      <c r="C1978" s="19"/>
      <c r="D1978" s="24"/>
      <c r="E1978" s="24"/>
      <c r="F1978" s="24"/>
    </row>
    <row r="1979" customFormat="false" ht="13.8" hidden="false" customHeight="false" outlineLevel="0" collapsed="false">
      <c r="A1979" s="19"/>
      <c r="B1979" s="19"/>
      <c r="C1979" s="19"/>
      <c r="D1979" s="24"/>
      <c r="E1979" s="24"/>
      <c r="F1979" s="24"/>
    </row>
    <row r="1980" customFormat="false" ht="13.8" hidden="false" customHeight="false" outlineLevel="0" collapsed="false">
      <c r="A1980" s="19"/>
      <c r="B1980" s="19"/>
      <c r="C1980" s="19"/>
      <c r="D1980" s="24"/>
      <c r="E1980" s="24"/>
      <c r="F1980" s="24"/>
    </row>
    <row r="1981" customFormat="false" ht="13.8" hidden="false" customHeight="false" outlineLevel="0" collapsed="false">
      <c r="A1981" s="19"/>
      <c r="B1981" s="19"/>
      <c r="C1981" s="19"/>
      <c r="D1981" s="24"/>
      <c r="E1981" s="24"/>
      <c r="F1981" s="24"/>
    </row>
    <row r="1982" customFormat="false" ht="13.8" hidden="false" customHeight="false" outlineLevel="0" collapsed="false">
      <c r="A1982" s="19"/>
      <c r="B1982" s="19"/>
      <c r="C1982" s="19"/>
      <c r="D1982" s="24"/>
      <c r="E1982" s="24"/>
      <c r="F1982" s="24"/>
    </row>
    <row r="1983" customFormat="false" ht="13.8" hidden="false" customHeight="false" outlineLevel="0" collapsed="false">
      <c r="A1983" s="19"/>
      <c r="B1983" s="19"/>
      <c r="C1983" s="19"/>
      <c r="D1983" s="24"/>
      <c r="E1983" s="24"/>
      <c r="F1983" s="24"/>
    </row>
    <row r="1984" customFormat="false" ht="13.8" hidden="false" customHeight="false" outlineLevel="0" collapsed="false">
      <c r="A1984" s="19"/>
      <c r="B1984" s="19"/>
      <c r="C1984" s="19"/>
      <c r="D1984" s="24"/>
      <c r="E1984" s="24"/>
      <c r="F1984" s="24"/>
    </row>
    <row r="1985" customFormat="false" ht="13.8" hidden="false" customHeight="false" outlineLevel="0" collapsed="false">
      <c r="A1985" s="19"/>
      <c r="B1985" s="19"/>
      <c r="C1985" s="19"/>
      <c r="D1985" s="24"/>
      <c r="E1985" s="24"/>
      <c r="F1985" s="24"/>
    </row>
    <row r="1986" customFormat="false" ht="13.8" hidden="false" customHeight="false" outlineLevel="0" collapsed="false">
      <c r="A1986" s="19"/>
      <c r="B1986" s="19"/>
      <c r="C1986" s="19"/>
      <c r="D1986" s="24"/>
      <c r="E1986" s="24"/>
      <c r="F1986" s="24"/>
    </row>
    <row r="1987" customFormat="false" ht="13.8" hidden="false" customHeight="false" outlineLevel="0" collapsed="false">
      <c r="A1987" s="19"/>
      <c r="B1987" s="19"/>
      <c r="C1987" s="19"/>
      <c r="D1987" s="24"/>
      <c r="E1987" s="24"/>
      <c r="F1987" s="24"/>
    </row>
    <row r="1988" customFormat="false" ht="13.8" hidden="false" customHeight="false" outlineLevel="0" collapsed="false">
      <c r="A1988" s="19"/>
      <c r="B1988" s="19"/>
      <c r="C1988" s="19"/>
      <c r="D1988" s="24"/>
      <c r="E1988" s="24"/>
      <c r="F1988" s="24"/>
    </row>
    <row r="1989" customFormat="false" ht="13.8" hidden="false" customHeight="false" outlineLevel="0" collapsed="false">
      <c r="A1989" s="19"/>
      <c r="B1989" s="19"/>
      <c r="C1989" s="19"/>
      <c r="D1989" s="24"/>
      <c r="E1989" s="24"/>
      <c r="F1989" s="24"/>
    </row>
    <row r="1990" customFormat="false" ht="13.8" hidden="false" customHeight="false" outlineLevel="0" collapsed="false">
      <c r="A1990" s="19"/>
      <c r="B1990" s="19"/>
      <c r="C1990" s="19"/>
      <c r="D1990" s="24"/>
      <c r="E1990" s="24"/>
      <c r="F1990" s="24"/>
    </row>
    <row r="1991" customFormat="false" ht="13.8" hidden="false" customHeight="false" outlineLevel="0" collapsed="false">
      <c r="A1991" s="19"/>
      <c r="B1991" s="19"/>
      <c r="C1991" s="19"/>
      <c r="D1991" s="24"/>
      <c r="E1991" s="24"/>
      <c r="F1991" s="24"/>
    </row>
    <row r="1992" customFormat="false" ht="13.8" hidden="false" customHeight="false" outlineLevel="0" collapsed="false">
      <c r="A1992" s="19"/>
      <c r="B1992" s="19"/>
      <c r="C1992" s="19"/>
      <c r="D1992" s="24"/>
      <c r="E1992" s="24"/>
      <c r="F1992" s="24"/>
    </row>
    <row r="1993" customFormat="false" ht="13.8" hidden="false" customHeight="false" outlineLevel="0" collapsed="false">
      <c r="A1993" s="19"/>
      <c r="B1993" s="19"/>
      <c r="C1993" s="19"/>
      <c r="D1993" s="24"/>
      <c r="E1993" s="24"/>
      <c r="F1993" s="24"/>
    </row>
    <row r="1994" customFormat="false" ht="13.8" hidden="false" customHeight="false" outlineLevel="0" collapsed="false">
      <c r="A1994" s="19"/>
      <c r="B1994" s="19"/>
      <c r="C1994" s="19"/>
      <c r="D1994" s="24"/>
      <c r="E1994" s="24"/>
      <c r="F1994" s="24"/>
    </row>
    <row r="1995" customFormat="false" ht="13.8" hidden="false" customHeight="false" outlineLevel="0" collapsed="false">
      <c r="A1995" s="19"/>
      <c r="B1995" s="19"/>
      <c r="C1995" s="19"/>
      <c r="D1995" s="24"/>
      <c r="E1995" s="24"/>
      <c r="F1995" s="24"/>
    </row>
    <row r="1996" customFormat="false" ht="13.8" hidden="false" customHeight="false" outlineLevel="0" collapsed="false">
      <c r="A1996" s="19"/>
      <c r="B1996" s="19"/>
      <c r="C1996" s="19"/>
      <c r="D1996" s="24"/>
      <c r="E1996" s="24"/>
      <c r="F1996" s="24"/>
    </row>
    <row r="1997" customFormat="false" ht="13.8" hidden="false" customHeight="false" outlineLevel="0" collapsed="false">
      <c r="A1997" s="19"/>
      <c r="B1997" s="19"/>
      <c r="C1997" s="19"/>
      <c r="D1997" s="24"/>
      <c r="E1997" s="24"/>
      <c r="F1997" s="24"/>
    </row>
    <row r="1998" customFormat="false" ht="13.8" hidden="false" customHeight="false" outlineLevel="0" collapsed="false">
      <c r="A1998" s="19"/>
      <c r="B1998" s="19"/>
      <c r="C1998" s="19"/>
      <c r="D1998" s="24"/>
      <c r="E1998" s="24"/>
      <c r="F1998" s="24"/>
    </row>
    <row r="1999" customFormat="false" ht="13.8" hidden="false" customHeight="false" outlineLevel="0" collapsed="false">
      <c r="A1999" s="19"/>
      <c r="B1999" s="19"/>
      <c r="C1999" s="19"/>
      <c r="D1999" s="24"/>
      <c r="E1999" s="24"/>
      <c r="F1999" s="24"/>
    </row>
    <row r="2000" customFormat="false" ht="13.8" hidden="false" customHeight="false" outlineLevel="0" collapsed="false"/>
  </sheetData>
  <conditionalFormatting sqref="A2:F1999">
    <cfRule type="expression" priority="2" aboveAverage="0" equalAverage="0" bottom="0" percent="0" rank="0" text="" dxfId="0">
      <formula>$F2&gt;0</formula>
    </cfRule>
  </conditionalFormatting>
  <conditionalFormatting sqref="A2:F1999">
    <cfRule type="expression" priority="3" aboveAverage="0" equalAverage="0" bottom="0" percent="0" rank="0" text="" dxfId="1">
      <formula>$F2&lt;0</formula>
    </cfRule>
  </conditionalFormatting>
  <dataValidations count="1">
    <dataValidation allowBlank="true" errorStyle="stop" operator="between" showDropDown="false" showErrorMessage="true" showInputMessage="false" sqref="B2:C1999" type="list">
      <formula1>Список!$B$2:$B$997</formula1>
      <formula2>0</formula2>
    </dataValidation>
  </dataValidations>
  <hyperlinks>
    <hyperlink ref="D791" r:id="rId1" display="ссылка"/>
    <hyperlink ref="D792" r:id="rId2" display="ссылка"/>
    <hyperlink ref="D793" r:id="rId3" display="ссылка"/>
    <hyperlink ref="D794" r:id="rId4" display="ссылка"/>
    <hyperlink ref="D795" r:id="rId5" display="ссылка"/>
    <hyperlink ref="D796" r:id="rId6" display="ссылка"/>
    <hyperlink ref="D797" r:id="rId7" display="ссылка"/>
    <hyperlink ref="D798" r:id="rId8" display="ссылка"/>
    <hyperlink ref="D799" r:id="rId9" display="ссылка"/>
    <hyperlink ref="D800" r:id="rId10" display="ссылка"/>
    <hyperlink ref="D806" r:id="rId11" display="ссылка"/>
    <hyperlink ref="D813" r:id="rId12" display="ссылка"/>
    <hyperlink ref="D814" r:id="rId13" display="ссылка"/>
    <hyperlink ref="D820" r:id="rId14" display="ссылка"/>
    <hyperlink ref="D833" r:id="rId15" display="ссылка"/>
    <hyperlink ref="D834" r:id="rId16" display="ссылка"/>
    <hyperlink ref="D835" r:id="rId17" display="ссылка"/>
    <hyperlink ref="D836" r:id="rId18" display="ссылка"/>
    <hyperlink ref="D841" r:id="rId19" display="ссылка"/>
    <hyperlink ref="D842" r:id="rId20" display="ссылка"/>
    <hyperlink ref="D843" r:id="rId21" display="ссылка"/>
    <hyperlink ref="D848" r:id="rId22" display="ссылка"/>
    <hyperlink ref="D849" r:id="rId23" display="ссылка"/>
    <hyperlink ref="D850" r:id="rId24" display="ссылка"/>
    <hyperlink ref="D851" r:id="rId25" display="ссылка"/>
    <hyperlink ref="D854" r:id="rId26" display="ссылка"/>
    <hyperlink ref="D860" r:id="rId27" display="ссылка"/>
    <hyperlink ref="D861" r:id="rId28" display="ссылка"/>
    <hyperlink ref="D868" r:id="rId29" display="ссылка"/>
    <hyperlink ref="D869" r:id="rId30" display="ссылка"/>
    <hyperlink ref="D875" r:id="rId31" display="ссылка"/>
    <hyperlink ref="D876" r:id="rId32" display="ссылка"/>
    <hyperlink ref="D877" r:id="rId33" display="ссылка"/>
    <hyperlink ref="D882" r:id="rId34" display="ссылка"/>
    <hyperlink ref="D883" r:id="rId35" display="ссылка"/>
    <hyperlink ref="D884" r:id="rId36" display="ссылка"/>
    <hyperlink ref="D885" r:id="rId37" display="ссылка"/>
    <hyperlink ref="D886" r:id="rId38" display="ссылка"/>
    <hyperlink ref="D887" r:id="rId39" display="ссылка"/>
    <hyperlink ref="D889" r:id="rId40" display="ссылка"/>
    <hyperlink ref="D890" r:id="rId41" display="ссылка"/>
    <hyperlink ref="D894" r:id="rId42" display="ссылка"/>
    <hyperlink ref="D895" r:id="rId43" display="ссылка"/>
    <hyperlink ref="D896" r:id="rId44" display="ссылка"/>
    <hyperlink ref="D897" r:id="rId45" display="ссылка"/>
    <hyperlink ref="D899" r:id="rId46" display="ссылка"/>
    <hyperlink ref="D900" r:id="rId47" display="ссылка"/>
    <hyperlink ref="D901" r:id="rId48" display="ссылка"/>
    <hyperlink ref="D902" r:id="rId49" display="ссылка"/>
    <hyperlink ref="D904" r:id="rId50" display="ссылка"/>
    <hyperlink ref="D905" r:id="rId51" display="ссылка"/>
    <hyperlink ref="D909" r:id="rId52" display="ссылка"/>
    <hyperlink ref="D910" r:id="rId53" display="ссылка"/>
    <hyperlink ref="D911" r:id="rId54" display="ссылка"/>
    <hyperlink ref="D912" r:id="rId55" display="ссылка"/>
    <hyperlink ref="D913" r:id="rId56" display="ссылка"/>
    <hyperlink ref="D914" r:id="rId57" display="ссылка"/>
    <hyperlink ref="D915" r:id="rId58" display="ссылка"/>
    <hyperlink ref="D916" r:id="rId59" display="ссылка"/>
    <hyperlink ref="D918" r:id="rId60" display="ссылка"/>
    <hyperlink ref="D919" r:id="rId61" display="ссылка"/>
    <hyperlink ref="D920" r:id="rId62" display="ссылка"/>
    <hyperlink ref="D921" r:id="rId63" display="ссылка"/>
    <hyperlink ref="D922" r:id="rId64" display="ссылка"/>
    <hyperlink ref="D923" r:id="rId65" display="ссылка"/>
    <hyperlink ref="D924" r:id="rId66" display="ссылка"/>
    <hyperlink ref="D925" r:id="rId67" display="ссылка"/>
    <hyperlink ref="D928" r:id="rId68" display="ссылка"/>
    <hyperlink ref="D929" r:id="rId69" display="ссылка"/>
    <hyperlink ref="D930" r:id="rId70" display="ссылка"/>
    <hyperlink ref="D934" r:id="rId71" display="ссылка"/>
    <hyperlink ref="D935" r:id="rId72" display="ссылка"/>
    <hyperlink ref="D936" r:id="rId73" display="ссылка"/>
    <hyperlink ref="D937" r:id="rId74" display="ссылка"/>
    <hyperlink ref="D938" r:id="rId75" display="ссылка"/>
    <hyperlink ref="D940" r:id="rId76" display="ссылка"/>
    <hyperlink ref="D941" r:id="rId77" display="ссылка"/>
    <hyperlink ref="D942" r:id="rId78" display="ссылка"/>
    <hyperlink ref="D945" r:id="rId79" display="ссылка"/>
    <hyperlink ref="D946" r:id="rId80" display="ссылка"/>
    <hyperlink ref="D947" r:id="rId81" display="ссылка"/>
    <hyperlink ref="D948" r:id="rId82" display="ссылка"/>
    <hyperlink ref="D949" r:id="rId83" display="ссылка"/>
    <hyperlink ref="D951" r:id="rId84" display="ссылка"/>
    <hyperlink ref="D952" r:id="rId85" display="ссылка"/>
    <hyperlink ref="D953" r:id="rId86" display="ссылка"/>
    <hyperlink ref="D954" r:id="rId87" display="ссылка"/>
    <hyperlink ref="D955" r:id="rId88" display="ссылка"/>
    <hyperlink ref="D956" r:id="rId89" display="ссылка"/>
    <hyperlink ref="D957" r:id="rId90" display="ссылка"/>
    <hyperlink ref="D958" r:id="rId91" display="ссылка"/>
    <hyperlink ref="D959" r:id="rId92" display="ссылка"/>
    <hyperlink ref="D960" r:id="rId93" display="ссылка"/>
    <hyperlink ref="D961" r:id="rId94" display="ссылка"/>
    <hyperlink ref="D962" r:id="rId95" display="ссылка"/>
    <hyperlink ref="D963" r:id="rId96" display="ссылка"/>
    <hyperlink ref="D964" r:id="rId97" display="ссылка"/>
    <hyperlink ref="D965" r:id="rId98" display="ссылка"/>
    <hyperlink ref="D966" r:id="rId99" display="ссылка"/>
    <hyperlink ref="D967" r:id="rId100" display="ссылка"/>
    <hyperlink ref="D968" r:id="rId101" display="ссылка"/>
    <hyperlink ref="D969" r:id="rId102" display="ссылка"/>
    <hyperlink ref="D970" r:id="rId103" display="ссылка"/>
    <hyperlink ref="D971" r:id="rId104" display="ссылка"/>
    <hyperlink ref="D973" r:id="rId105" display="ссылка"/>
    <hyperlink ref="D975" r:id="rId106" display="ссылка"/>
    <hyperlink ref="D976" r:id="rId107" display="ссылка"/>
    <hyperlink ref="D977" r:id="rId108" display="ссылка"/>
    <hyperlink ref="D978" r:id="rId109" display="ссылка"/>
    <hyperlink ref="D979" r:id="rId110" display="ссылка"/>
    <hyperlink ref="D980" r:id="rId111" display="ссылка"/>
    <hyperlink ref="D981" r:id="rId112" display="ссылка"/>
    <hyperlink ref="D982" r:id="rId113" display="ссылка"/>
    <hyperlink ref="D983" r:id="rId114" display="ссылка"/>
    <hyperlink ref="D984" r:id="rId115" display="ссылка"/>
    <hyperlink ref="D985" r:id="rId116" display="ссылка"/>
    <hyperlink ref="D986" r:id="rId117" display="ссылка"/>
    <hyperlink ref="D987" r:id="rId118" display="ссылка"/>
    <hyperlink ref="D988" r:id="rId119" display="ссылка"/>
    <hyperlink ref="D989" r:id="rId120" display="ссылка"/>
    <hyperlink ref="D990" r:id="rId121" display="ссылка"/>
    <hyperlink ref="D991" r:id="rId122" display="ссылка"/>
    <hyperlink ref="D992" r:id="rId123" display="ссылка"/>
    <hyperlink ref="D993" r:id="rId124" display="ссылка"/>
    <hyperlink ref="D994" r:id="rId125" display="ссылка"/>
    <hyperlink ref="D995" r:id="rId126" display="ссылка"/>
    <hyperlink ref="D996" r:id="rId127" display="ссылка"/>
    <hyperlink ref="D997" r:id="rId128" display="ссылка"/>
    <hyperlink ref="D998" r:id="rId129" display="ссылка"/>
    <hyperlink ref="D1000" r:id="rId130" display="ссылка"/>
    <hyperlink ref="D1001" r:id="rId131" display="ссылка"/>
    <hyperlink ref="D1002" r:id="rId132" display="ссылка"/>
    <hyperlink ref="D1003" r:id="rId133" display="ссылка"/>
    <hyperlink ref="D1006" r:id="rId134" display="ссылка"/>
    <hyperlink ref="D1007" r:id="rId135" display="ссылка"/>
    <hyperlink ref="D1008" r:id="rId136" display="ссылка"/>
    <hyperlink ref="D1010" r:id="rId137" display="ссылка"/>
    <hyperlink ref="D1011" r:id="rId138" display="ссылка"/>
    <hyperlink ref="D1013" r:id="rId139" display="ссылка"/>
    <hyperlink ref="D1014" r:id="rId140" display="ссылка"/>
    <hyperlink ref="D1015" r:id="rId141" display="ссылка"/>
    <hyperlink ref="D1016" r:id="rId142" display="ссылка"/>
    <hyperlink ref="D1017" r:id="rId143" display="ссылка"/>
    <hyperlink ref="D1018" r:id="rId144" display="ссылка"/>
    <hyperlink ref="D1019" r:id="rId145" display="ссылка"/>
    <hyperlink ref="D1020" r:id="rId146" display="ссылка"/>
    <hyperlink ref="D1022" r:id="rId147" display="ссылка"/>
    <hyperlink ref="D1023" r:id="rId148" display="ссылка"/>
    <hyperlink ref="D1024" r:id="rId149" display="ссылка"/>
    <hyperlink ref="D1025" r:id="rId150" display="ссылка"/>
    <hyperlink ref="D1026" r:id="rId151" display="ссылка"/>
    <hyperlink ref="D1027" r:id="rId152" display="ссылка"/>
    <hyperlink ref="D1028" r:id="rId153" display="ссылка"/>
    <hyperlink ref="D1029" r:id="rId154" display="ссылка"/>
    <hyperlink ref="D1030" r:id="rId155" display="ссылка"/>
    <hyperlink ref="D1031" r:id="rId156" display="ссылка"/>
    <hyperlink ref="D1032" r:id="rId157" display="ссылка"/>
    <hyperlink ref="D1036" r:id="rId158" display="ссылка"/>
    <hyperlink ref="D1037" r:id="rId159" display="ссылка"/>
    <hyperlink ref="D1038" r:id="rId160" display="ссылка"/>
    <hyperlink ref="D1040" r:id="rId161" display="ссылка"/>
    <hyperlink ref="D1041" r:id="rId162" display="ссылка"/>
    <hyperlink ref="D1042" r:id="rId163" display="ссылка"/>
    <hyperlink ref="D1043" r:id="rId164" display="ссылка"/>
    <hyperlink ref="D1044" r:id="rId165" display="ссылка"/>
    <hyperlink ref="D1045" r:id="rId166" display="ссылка"/>
    <hyperlink ref="D1046" r:id="rId167" display="ссылка"/>
    <hyperlink ref="D1047" r:id="rId168" display="ссылка"/>
    <hyperlink ref="D1048" r:id="rId169" display="ссылка"/>
    <hyperlink ref="D1049" r:id="rId170" display="ссылка"/>
    <hyperlink ref="D1050" r:id="rId171" display="ссылка"/>
    <hyperlink ref="D1051" r:id="rId172" display="ссылка"/>
    <hyperlink ref="D1052" r:id="rId173" display="ссылка"/>
    <hyperlink ref="D1053" r:id="rId174" display="ссылка"/>
    <hyperlink ref="D1054" r:id="rId175" display="ссылка"/>
    <hyperlink ref="D1058" r:id="rId176" display="ссылка"/>
    <hyperlink ref="D1059" r:id="rId177" display="ссылка"/>
    <hyperlink ref="D1060" r:id="rId178" display="ссылка"/>
    <hyperlink ref="D1061" r:id="rId179" display="ссылка"/>
    <hyperlink ref="D1062" r:id="rId180" display="ссылка"/>
    <hyperlink ref="D1063" r:id="rId181" display="ссылка"/>
    <hyperlink ref="D1064" r:id="rId182" display="ссылка"/>
    <hyperlink ref="D1066" r:id="rId183" display="ссылка"/>
    <hyperlink ref="D1067" r:id="rId184" display="ссылка"/>
    <hyperlink ref="D1068" r:id="rId185" display="ссылка"/>
    <hyperlink ref="D1069" r:id="rId186" display="ссылка"/>
    <hyperlink ref="D1071" r:id="rId187" display="ссылка"/>
    <hyperlink ref="D1072" r:id="rId188" display="ссылка"/>
    <hyperlink ref="D1073" r:id="rId189" display="ссылка"/>
    <hyperlink ref="D1074" r:id="rId190" display="ссылка"/>
    <hyperlink ref="D1075" r:id="rId191" display="ссылка"/>
    <hyperlink ref="D1076" r:id="rId192" display="ссылка"/>
    <hyperlink ref="D1077" r:id="rId193" display="ссылка"/>
    <hyperlink ref="D1078" r:id="rId194" display="ссылка"/>
    <hyperlink ref="D1079" r:id="rId195" display="ссылка"/>
    <hyperlink ref="D1080" r:id="rId196" display="ссылка"/>
    <hyperlink ref="D1081" r:id="rId197" display="ссылка"/>
    <hyperlink ref="D1082" r:id="rId198" display="ссылка"/>
    <hyperlink ref="D1083" r:id="rId199" display="ссылка"/>
    <hyperlink ref="D1084" r:id="rId200" display="ссылка"/>
    <hyperlink ref="D1085" r:id="rId201" display="ссылка"/>
    <hyperlink ref="D1086" r:id="rId202" display="ссылка"/>
    <hyperlink ref="D1088" r:id="rId203" display="ссылка"/>
    <hyperlink ref="D1089" r:id="rId204" display="ссылка"/>
    <hyperlink ref="D1090" r:id="rId205" display="ссылка"/>
    <hyperlink ref="D1091" r:id="rId206" display="ссылка"/>
    <hyperlink ref="D1092" r:id="rId207" display="ссылка"/>
    <hyperlink ref="D1093" r:id="rId208" display="ссылка"/>
    <hyperlink ref="D1094" r:id="rId209" display="ссылка"/>
    <hyperlink ref="D1095" r:id="rId210" display="ссылка"/>
    <hyperlink ref="D1096" r:id="rId211" display="ссылка"/>
    <hyperlink ref="D1097" r:id="rId212" display="ссылка"/>
    <hyperlink ref="D1098" r:id="rId213" display="ссылка"/>
    <hyperlink ref="D1099" r:id="rId214" display="ссылка"/>
    <hyperlink ref="D1100" r:id="rId215" display="ссылка"/>
    <hyperlink ref="D1101" r:id="rId216" display="ссылка"/>
    <hyperlink ref="D1102" r:id="rId217" display="ссылка"/>
    <hyperlink ref="D1103" r:id="rId218" display="ссылка"/>
    <hyperlink ref="D1104" r:id="rId219" display="ссылка"/>
    <hyperlink ref="D1105" r:id="rId220" display="ссылка"/>
    <hyperlink ref="D1106" r:id="rId221" display="ссылка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31.88"/>
    <col collapsed="false" customWidth="true" hidden="false" outlineLevel="0" max="3" min="3" style="0" width="32.88"/>
    <col collapsed="false" customWidth="true" hidden="false" outlineLevel="0" max="4" min="4" style="0" width="19"/>
  </cols>
  <sheetData>
    <row r="1" customFormat="false" ht="15.75" hidden="false" customHeight="false" outlineLevel="0" collapsed="false">
      <c r="A1" s="19" t="n">
        <v>1</v>
      </c>
      <c r="B1" s="76" t="s">
        <v>1059</v>
      </c>
      <c r="C1" s="19" t="n">
        <v>50</v>
      </c>
      <c r="D1" s="24" t="n">
        <v>5</v>
      </c>
      <c r="E1" s="19" t="n">
        <f aca="false">IF(D1&lt;0,ROUNDDOWN(D1/2,0),ROUNDUP(D1/2,0))</f>
        <v>3</v>
      </c>
    </row>
    <row r="2" customFormat="false" ht="15.75" hidden="false" customHeight="false" outlineLevel="0" collapsed="false">
      <c r="A2" s="19" t="n">
        <v>2</v>
      </c>
      <c r="D2" s="24" t="n">
        <v>5</v>
      </c>
      <c r="E2" s="19" t="n">
        <f aca="false">IF(D2&lt;0,ROUNDDOWN(D2/2,0),ROUNDUP(D2/2,0))</f>
        <v>3</v>
      </c>
    </row>
    <row r="3" customFormat="false" ht="15.75" hidden="false" customHeight="false" outlineLevel="0" collapsed="false">
      <c r="A3" s="19" t="n">
        <v>3</v>
      </c>
      <c r="D3" s="24" t="n">
        <v>5</v>
      </c>
      <c r="E3" s="19" t="n">
        <f aca="false">IF(D3&lt;0,ROUNDDOWN(D3/2,0),ROUNDUP(D3/2,0))</f>
        <v>3</v>
      </c>
    </row>
    <row r="4" customFormat="false" ht="15.75" hidden="false" customHeight="false" outlineLevel="0" collapsed="false">
      <c r="A4" s="19" t="n">
        <v>4</v>
      </c>
      <c r="D4" s="24" t="n">
        <v>3</v>
      </c>
      <c r="E4" s="19" t="n">
        <f aca="false">IF(D4&lt;0,ROUNDDOWN(D4/2,0),ROUNDUP(D4/2,0))</f>
        <v>2</v>
      </c>
    </row>
    <row r="5" customFormat="false" ht="15.75" hidden="false" customHeight="false" outlineLevel="0" collapsed="false">
      <c r="A5" s="19" t="n">
        <v>5</v>
      </c>
      <c r="D5" s="24" t="n">
        <v>-4</v>
      </c>
      <c r="E5" s="19" t="n">
        <f aca="false">IF(D5&lt;0,ROUNDDOWN(D5/2,0),ROUNDUP(D5/2,0))</f>
        <v>-2</v>
      </c>
    </row>
    <row r="6" customFormat="false" ht="15.75" hidden="false" customHeight="false" outlineLevel="0" collapsed="false">
      <c r="A6" s="19" t="n">
        <v>6</v>
      </c>
      <c r="D6" s="24" t="n">
        <v>3</v>
      </c>
      <c r="E6" s="19" t="n">
        <f aca="false">IF(D6&lt;0,ROUNDDOWN(D6/2,0),ROUNDUP(D6/2,0))</f>
        <v>2</v>
      </c>
    </row>
    <row r="7" customFormat="false" ht="15.75" hidden="false" customHeight="false" outlineLevel="0" collapsed="false">
      <c r="A7" s="19" t="n">
        <v>7</v>
      </c>
      <c r="D7" s="24" t="n">
        <v>5</v>
      </c>
      <c r="E7" s="19" t="n">
        <f aca="false">IF(D7&lt;0,ROUNDDOWN(D7/2,0),ROUNDUP(D7/2,0))</f>
        <v>3</v>
      </c>
    </row>
    <row r="8" customFormat="false" ht="15.75" hidden="false" customHeight="false" outlineLevel="0" collapsed="false">
      <c r="A8" s="19" t="n">
        <v>8</v>
      </c>
      <c r="D8" s="24" t="n">
        <v>5</v>
      </c>
      <c r="E8" s="19" t="n">
        <f aca="false">IF(D8&lt;0,ROUNDDOWN(D8/2,0),ROUNDUP(D8/2,0))</f>
        <v>3</v>
      </c>
    </row>
    <row r="9" customFormat="false" ht="15.75" hidden="false" customHeight="false" outlineLevel="0" collapsed="false">
      <c r="A9" s="19" t="n">
        <v>9</v>
      </c>
      <c r="D9" s="24" t="n">
        <v>3</v>
      </c>
      <c r="E9" s="19" t="n">
        <f aca="false">IF(D9&lt;0,ROUNDDOWN(D9/2,0),ROUNDUP(D9/2,0))</f>
        <v>2</v>
      </c>
    </row>
    <row r="10" customFormat="false" ht="15.75" hidden="false" customHeight="false" outlineLevel="0" collapsed="false">
      <c r="A10" s="19" t="n">
        <v>10</v>
      </c>
      <c r="D10" s="24" t="n">
        <v>5</v>
      </c>
      <c r="E10" s="19" t="n">
        <f aca="false">IF(D10&lt;0,ROUNDDOWN(D10/2,0),ROUNDUP(D10/2,0))</f>
        <v>3</v>
      </c>
    </row>
    <row r="11" customFormat="false" ht="15.75" hidden="false" customHeight="false" outlineLevel="0" collapsed="false">
      <c r="A11" s="19" t="n">
        <v>11</v>
      </c>
      <c r="D11" s="24" t="n">
        <v>5</v>
      </c>
      <c r="E11" s="19" t="n">
        <f aca="false">IF(D11&lt;0,ROUNDDOWN(D11/2,0),ROUNDUP(D11/2,0))</f>
        <v>3</v>
      </c>
    </row>
    <row r="12" customFormat="false" ht="15.75" hidden="false" customHeight="false" outlineLevel="0" collapsed="false">
      <c r="A12" s="19" t="n">
        <v>12</v>
      </c>
      <c r="D12" s="24" t="n">
        <v>3</v>
      </c>
      <c r="E12" s="19" t="n">
        <f aca="false">IF(D12&lt;0,ROUNDDOWN(D12/2,0),ROUNDUP(D12/2,0))</f>
        <v>2</v>
      </c>
    </row>
    <row r="13" customFormat="false" ht="15.75" hidden="false" customHeight="false" outlineLevel="0" collapsed="false">
      <c r="A13" s="19" t="n">
        <v>13</v>
      </c>
      <c r="D13" s="24" t="n">
        <v>4</v>
      </c>
      <c r="E13" s="19" t="n">
        <f aca="false">IF(D13&lt;0,ROUNDDOWN(D13/2,0),ROUNDUP(D13/2,0))</f>
        <v>2</v>
      </c>
    </row>
    <row r="14" customFormat="false" ht="15.75" hidden="false" customHeight="false" outlineLevel="0" collapsed="false">
      <c r="A14" s="19" t="n">
        <v>14</v>
      </c>
      <c r="D14" s="24" t="n">
        <v>3</v>
      </c>
      <c r="E14" s="19" t="n">
        <f aca="false">IF(D14&lt;0,ROUNDDOWN(D14/2,0),ROUNDUP(D14/2,0))</f>
        <v>2</v>
      </c>
    </row>
    <row r="15" customFormat="false" ht="15.75" hidden="false" customHeight="false" outlineLevel="0" collapsed="false">
      <c r="A15" s="19" t="n">
        <v>15</v>
      </c>
      <c r="D15" s="24" t="n">
        <v>-10</v>
      </c>
      <c r="E15" s="19" t="n">
        <f aca="false">IF(D15&lt;0,ROUNDDOWN(D15/2,0),ROUNDUP(D15/2,0))</f>
        <v>-5</v>
      </c>
    </row>
    <row r="16" customFormat="false" ht="15.75" hidden="false" customHeight="false" outlineLevel="0" collapsed="false">
      <c r="A16" s="19" t="n">
        <v>16</v>
      </c>
      <c r="D16" s="31" t="n">
        <v>5</v>
      </c>
      <c r="E16" s="19" t="n">
        <f aca="false">IF(D16&lt;0,ROUNDDOWN(D16/2,0),ROUNDUP(D16/2,0))</f>
        <v>3</v>
      </c>
    </row>
    <row r="17" customFormat="false" ht="15.75" hidden="false" customHeight="false" outlineLevel="0" collapsed="false">
      <c r="A17" s="19" t="n">
        <v>17</v>
      </c>
      <c r="D17" s="31" t="n">
        <v>-20</v>
      </c>
      <c r="E17" s="19" t="n">
        <f aca="false">IF(D17&lt;0,ROUNDDOWN(D17/2,0),ROUNDUP(D17/2,0))</f>
        <v>-10</v>
      </c>
    </row>
    <row r="18" customFormat="false" ht="15.75" hidden="false" customHeight="false" outlineLevel="0" collapsed="false">
      <c r="A18" s="19" t="n">
        <v>18</v>
      </c>
      <c r="D18" s="31" t="n">
        <v>-12</v>
      </c>
      <c r="E18" s="19" t="n">
        <f aca="false">IF(D18&lt;0,ROUNDDOWN(D18/2,0),ROUNDUP(D18/2,0))</f>
        <v>-6</v>
      </c>
    </row>
    <row r="19" customFormat="false" ht="15.75" hidden="false" customHeight="false" outlineLevel="0" collapsed="false">
      <c r="A19" s="19" t="n">
        <v>19</v>
      </c>
      <c r="D19" s="31" t="n">
        <v>-3</v>
      </c>
      <c r="E19" s="19" t="n">
        <f aca="false">IF(D19&lt;0,ROUNDDOWN(D19/2,0),ROUNDUP(D19/2,0))</f>
        <v>-1</v>
      </c>
    </row>
    <row r="20" customFormat="false" ht="15.75" hidden="false" customHeight="false" outlineLevel="0" collapsed="false">
      <c r="A20" s="19" t="n">
        <v>20</v>
      </c>
      <c r="D20" s="31" t="n">
        <v>-7</v>
      </c>
      <c r="E20" s="19" t="n">
        <f aca="false">IF(D20&lt;0,ROUNDDOWN(D20/2,0),ROUNDUP(D20/2,0))</f>
        <v>-3</v>
      </c>
    </row>
    <row r="21" customFormat="false" ht="15.75" hidden="false" customHeight="false" outlineLevel="0" collapsed="false">
      <c r="A21" s="19" t="n">
        <v>21</v>
      </c>
      <c r="D21" s="36" t="n">
        <v>3</v>
      </c>
      <c r="E21" s="19" t="n">
        <f aca="false">IF(D21&lt;0,ROUNDDOWN(D21/2,0),ROUNDUP(D21/2,0))</f>
        <v>2</v>
      </c>
    </row>
    <row r="22" customFormat="false" ht="15.75" hidden="false" customHeight="false" outlineLevel="0" collapsed="false">
      <c r="A22" s="19" t="n">
        <v>22</v>
      </c>
      <c r="D22" s="36" t="n">
        <v>2</v>
      </c>
      <c r="E22" s="19" t="n">
        <f aca="false">IF(D22&lt;0,ROUNDDOWN(D22/2,0),ROUNDUP(D22/2,0))</f>
        <v>1</v>
      </c>
    </row>
    <row r="23" customFormat="false" ht="15.75" hidden="false" customHeight="false" outlineLevel="0" collapsed="false">
      <c r="A23" s="19" t="n">
        <v>23</v>
      </c>
      <c r="D23" s="24" t="n">
        <v>3</v>
      </c>
      <c r="E23" s="19" t="n">
        <f aca="false">IF(D23&lt;0,ROUNDDOWN(D23/2,0),ROUNDUP(D23/2,0))</f>
        <v>2</v>
      </c>
    </row>
    <row r="24" customFormat="false" ht="15.75" hidden="false" customHeight="false" outlineLevel="0" collapsed="false">
      <c r="A24" s="19" t="n">
        <v>24</v>
      </c>
      <c r="D24" s="24" t="n">
        <v>5</v>
      </c>
      <c r="E24" s="19" t="n">
        <f aca="false">IF(D24&lt;0,ROUNDDOWN(D24/2,0),ROUNDUP(D24/2,0))</f>
        <v>3</v>
      </c>
    </row>
    <row r="25" customFormat="false" ht="15.75" hidden="false" customHeight="false" outlineLevel="0" collapsed="false">
      <c r="A25" s="19" t="n">
        <v>25</v>
      </c>
      <c r="D25" s="39" t="n">
        <v>3</v>
      </c>
      <c r="E25" s="19" t="n">
        <f aca="false">IF(D25&lt;0,ROUNDDOWN(D25/2,0),ROUNDUP(D25/2,0))</f>
        <v>2</v>
      </c>
    </row>
    <row r="26" customFormat="false" ht="15.75" hidden="false" customHeight="false" outlineLevel="0" collapsed="false">
      <c r="A26" s="19" t="n">
        <v>26</v>
      </c>
      <c r="D26" s="24" t="n">
        <v>4</v>
      </c>
      <c r="E26" s="19" t="n">
        <f aca="false">IF(D26&lt;0,ROUNDDOWN(D26/2,0),ROUNDUP(D26/2,0))</f>
        <v>2</v>
      </c>
    </row>
    <row r="27" customFormat="false" ht="15.75" hidden="false" customHeight="false" outlineLevel="0" collapsed="false">
      <c r="A27" s="19" t="n">
        <v>27</v>
      </c>
      <c r="D27" s="24" t="n">
        <v>5</v>
      </c>
      <c r="E27" s="19" t="n">
        <f aca="false">IF(D27&lt;0,ROUNDDOWN(D27/2,0),ROUNDUP(D27/2,0))</f>
        <v>3</v>
      </c>
    </row>
    <row r="28" customFormat="false" ht="15.75" hidden="false" customHeight="false" outlineLevel="0" collapsed="false">
      <c r="A28" s="19" t="n">
        <v>28</v>
      </c>
      <c r="D28" s="24" t="n">
        <v>5</v>
      </c>
      <c r="E28" s="19" t="n">
        <f aca="false">IF(D28&lt;0,ROUNDDOWN(D28/2,0),ROUNDUP(D28/2,0))</f>
        <v>3</v>
      </c>
    </row>
    <row r="29" customFormat="false" ht="15.75" hidden="false" customHeight="false" outlineLevel="0" collapsed="false">
      <c r="A29" s="19" t="n">
        <v>29</v>
      </c>
      <c r="D29" s="24" t="n">
        <v>4</v>
      </c>
      <c r="E29" s="19" t="n">
        <f aca="false">IF(D29&lt;0,ROUNDDOWN(D29/2,0),ROUNDUP(D29/2,0))</f>
        <v>2</v>
      </c>
    </row>
    <row r="30" customFormat="false" ht="15.75" hidden="false" customHeight="false" outlineLevel="0" collapsed="false">
      <c r="A30" s="19" t="n">
        <v>30</v>
      </c>
      <c r="D30" s="24" t="n">
        <v>4</v>
      </c>
      <c r="E30" s="19" t="n">
        <f aca="false">IF(D30&lt;0,ROUNDDOWN(D30/2,0),ROUNDUP(D30/2,0))</f>
        <v>2</v>
      </c>
    </row>
    <row r="31" customFormat="false" ht="15.75" hidden="false" customHeight="false" outlineLevel="0" collapsed="false">
      <c r="A31" s="19" t="n">
        <v>31</v>
      </c>
      <c r="D31" s="24" t="n">
        <v>-30</v>
      </c>
      <c r="E31" s="19" t="n">
        <f aca="false">IF(D31&lt;0,ROUNDDOWN(D31/2,0),ROUNDUP(D31/2,0))</f>
        <v>-15</v>
      </c>
    </row>
    <row r="32" customFormat="false" ht="15.75" hidden="false" customHeight="false" outlineLevel="0" collapsed="false">
      <c r="A32" s="19" t="n">
        <v>32</v>
      </c>
      <c r="D32" s="24" t="n">
        <v>3</v>
      </c>
      <c r="E32" s="19" t="n">
        <f aca="false">IF(D32&lt;0,ROUNDDOWN(D32/2,0),ROUNDUP(D32/2,0))</f>
        <v>2</v>
      </c>
    </row>
    <row r="33" customFormat="false" ht="15.75" hidden="false" customHeight="false" outlineLevel="0" collapsed="false">
      <c r="A33" s="19" t="n">
        <v>33</v>
      </c>
      <c r="D33" s="24" t="n">
        <v>3</v>
      </c>
      <c r="E33" s="19" t="n">
        <f aca="false">IF(D33&lt;0,ROUNDDOWN(D33/2,0),ROUNDUP(D33/2,0))</f>
        <v>2</v>
      </c>
    </row>
    <row r="34" customFormat="false" ht="15.75" hidden="false" customHeight="false" outlineLevel="0" collapsed="false">
      <c r="A34" s="19" t="n">
        <v>34</v>
      </c>
      <c r="D34" s="24" t="n">
        <v>2</v>
      </c>
      <c r="E34" s="19" t="n">
        <f aca="false">IF(D34&lt;0,ROUNDDOWN(D34/2,0),ROUNDUP(D34/2,0))</f>
        <v>1</v>
      </c>
    </row>
    <row r="35" customFormat="false" ht="15.75" hidden="false" customHeight="false" outlineLevel="0" collapsed="false">
      <c r="A35" s="19" t="n">
        <v>35</v>
      </c>
      <c r="D35" s="24" t="n">
        <v>3</v>
      </c>
      <c r="E35" s="19" t="n">
        <f aca="false">IF(D35&lt;0,ROUNDDOWN(D35/2,0),ROUNDUP(D35/2,0))</f>
        <v>2</v>
      </c>
    </row>
    <row r="36" customFormat="false" ht="15.75" hidden="false" customHeight="false" outlineLevel="0" collapsed="false">
      <c r="A36" s="19" t="n">
        <v>36</v>
      </c>
      <c r="D36" s="24" t="n">
        <v>5</v>
      </c>
      <c r="E36" s="19" t="n">
        <f aca="false">IF(D36&lt;0,ROUNDDOWN(D36/2,0),ROUNDUP(D36/2,0))</f>
        <v>3</v>
      </c>
    </row>
    <row r="37" customFormat="false" ht="15.75" hidden="false" customHeight="false" outlineLevel="0" collapsed="false">
      <c r="A37" s="19" t="n">
        <v>37</v>
      </c>
      <c r="D37" s="24" t="n">
        <v>5</v>
      </c>
      <c r="E37" s="19" t="n">
        <f aca="false">IF(D37&lt;0,ROUNDDOWN(D37/2,0),ROUNDUP(D37/2,0))</f>
        <v>3</v>
      </c>
    </row>
    <row r="38" customFormat="false" ht="15.75" hidden="false" customHeight="false" outlineLevel="0" collapsed="false">
      <c r="A38" s="19" t="n">
        <v>38</v>
      </c>
      <c r="D38" s="24"/>
      <c r="E38" s="19" t="n">
        <f aca="false">IF(D38&lt;0,ROUNDDOWN(D38/2,0),ROUNDUP(D38/2,0))</f>
        <v>0</v>
      </c>
    </row>
    <row r="39" customFormat="false" ht="15.75" hidden="false" customHeight="false" outlineLevel="0" collapsed="false">
      <c r="A39" s="19" t="n">
        <v>39</v>
      </c>
      <c r="D39" s="24"/>
      <c r="E39" s="19" t="n">
        <f aca="false">IF(D39&lt;0,ROUNDDOWN(D39/2,0),ROUNDUP(D39/2,0))</f>
        <v>0</v>
      </c>
    </row>
    <row r="40" customFormat="false" ht="15.75" hidden="false" customHeight="false" outlineLevel="0" collapsed="false">
      <c r="A40" s="19" t="n">
        <v>40</v>
      </c>
      <c r="D40" s="24" t="n">
        <v>-20</v>
      </c>
      <c r="E40" s="19" t="n">
        <f aca="false">IF(D40&lt;0,ROUNDDOWN(D40/2,0),ROUNDUP(D40/2,0))</f>
        <v>-10</v>
      </c>
    </row>
    <row r="41" customFormat="false" ht="15.75" hidden="false" customHeight="false" outlineLevel="0" collapsed="false">
      <c r="A41" s="19" t="n">
        <v>41</v>
      </c>
      <c r="D41" s="24" t="n">
        <v>4</v>
      </c>
      <c r="E41" s="19" t="n">
        <f aca="false">IF(D41&lt;0,ROUNDDOWN(D41/2,0),ROUNDUP(D41/2,0))</f>
        <v>2</v>
      </c>
    </row>
    <row r="42" customFormat="false" ht="15.75" hidden="false" customHeight="false" outlineLevel="0" collapsed="false">
      <c r="A42" s="19" t="n">
        <v>42</v>
      </c>
      <c r="D42" s="24" t="n">
        <v>5</v>
      </c>
      <c r="E42" s="19" t="n">
        <f aca="false">IF(D42&lt;0,ROUNDDOWN(D42/2,0),ROUNDUP(D42/2,0))</f>
        <v>3</v>
      </c>
    </row>
    <row r="43" customFormat="false" ht="15.75" hidden="false" customHeight="false" outlineLevel="0" collapsed="false">
      <c r="A43" s="19" t="n">
        <v>43</v>
      </c>
      <c r="D43" s="24" t="n">
        <v>-10</v>
      </c>
      <c r="E43" s="19" t="n">
        <f aca="false">IF(D43&lt;0,ROUNDDOWN(D43/2,0),ROUNDUP(D43/2,0))</f>
        <v>-5</v>
      </c>
    </row>
    <row r="44" customFormat="false" ht="15.75" hidden="false" customHeight="false" outlineLevel="0" collapsed="false">
      <c r="A44" s="19" t="n">
        <v>44</v>
      </c>
      <c r="D44" s="24" t="n">
        <v>5</v>
      </c>
      <c r="E44" s="19" t="n">
        <f aca="false">IF(D44&lt;0,ROUNDDOWN(D44/2,0),ROUNDUP(D44/2,0))</f>
        <v>3</v>
      </c>
    </row>
    <row r="45" customFormat="false" ht="15.75" hidden="false" customHeight="false" outlineLevel="0" collapsed="false">
      <c r="A45" s="19" t="n">
        <v>45</v>
      </c>
      <c r="D45" s="24" t="n">
        <v>5</v>
      </c>
      <c r="E45" s="19" t="n">
        <f aca="false">IF(D45&lt;0,ROUNDDOWN(D45/2,0),ROUNDUP(D45/2,0))</f>
        <v>3</v>
      </c>
    </row>
    <row r="46" customFormat="false" ht="15.75" hidden="false" customHeight="false" outlineLevel="0" collapsed="false">
      <c r="A46" s="19" t="n">
        <v>46</v>
      </c>
      <c r="D46" s="24" t="n">
        <v>3</v>
      </c>
      <c r="E46" s="19" t="n">
        <f aca="false">IF(D46&lt;0,ROUNDDOWN(D46/2,0),ROUNDUP(D46/2,0))</f>
        <v>2</v>
      </c>
    </row>
    <row r="47" customFormat="false" ht="15.75" hidden="false" customHeight="false" outlineLevel="0" collapsed="false">
      <c r="A47" s="19" t="n">
        <v>47</v>
      </c>
      <c r="D47" s="24" t="n">
        <v>4</v>
      </c>
      <c r="E47" s="19" t="n">
        <f aca="false">IF(D47&lt;0,ROUNDDOWN(D47/2,0),ROUNDUP(D47/2,0))</f>
        <v>2</v>
      </c>
    </row>
    <row r="48" customFormat="false" ht="15.75" hidden="false" customHeight="false" outlineLevel="0" collapsed="false">
      <c r="A48" s="19" t="n">
        <v>48</v>
      </c>
      <c r="D48" s="24" t="n">
        <v>-30</v>
      </c>
      <c r="E48" s="19" t="n">
        <f aca="false">IF(D48&lt;0,ROUNDDOWN(D48/2,0),ROUNDUP(D48/2,0))</f>
        <v>-15</v>
      </c>
    </row>
    <row r="49" customFormat="false" ht="15.75" hidden="false" customHeight="false" outlineLevel="0" collapsed="false">
      <c r="A49" s="19" t="n">
        <v>49</v>
      </c>
      <c r="D49" s="24" t="n">
        <v>5</v>
      </c>
      <c r="E49" s="19" t="n">
        <f aca="false">IF(D49&lt;0,ROUNDDOWN(D49/2,0),ROUNDUP(D49/2,0))</f>
        <v>3</v>
      </c>
    </row>
    <row r="50" customFormat="false" ht="15.75" hidden="false" customHeight="false" outlineLevel="0" collapsed="false">
      <c r="A50" s="19" t="n">
        <v>50</v>
      </c>
      <c r="D50" s="24" t="n">
        <v>5</v>
      </c>
      <c r="E50" s="19" t="n">
        <f aca="false">IF(D50&lt;0,ROUNDDOWN(D50/2,0),ROUNDUP(D50/2,0))</f>
        <v>3</v>
      </c>
    </row>
    <row r="51" customFormat="false" ht="15.75" hidden="false" customHeight="false" outlineLevel="0" collapsed="false">
      <c r="A51" s="19" t="n">
        <v>51</v>
      </c>
      <c r="D51" s="24" t="n">
        <v>5</v>
      </c>
      <c r="E51" s="19" t="n">
        <f aca="false">IF(D51&lt;0,ROUNDDOWN(D51/2,0),ROUNDUP(D51/2,0))</f>
        <v>3</v>
      </c>
    </row>
    <row r="52" customFormat="false" ht="15.75" hidden="false" customHeight="false" outlineLevel="0" collapsed="false">
      <c r="A52" s="19" t="n">
        <v>52</v>
      </c>
      <c r="D52" s="24" t="n">
        <v>5</v>
      </c>
      <c r="E52" s="19" t="n">
        <f aca="false">IF(D52&lt;0,ROUNDDOWN(D52/2,0),ROUNDUP(D52/2,0))</f>
        <v>3</v>
      </c>
    </row>
    <row r="53" customFormat="false" ht="15.75" hidden="false" customHeight="false" outlineLevel="0" collapsed="false">
      <c r="A53" s="19" t="n">
        <v>53</v>
      </c>
      <c r="D53" s="24" t="n">
        <v>3</v>
      </c>
      <c r="E53" s="19" t="n">
        <f aca="false">IF(D53&lt;0,ROUNDDOWN(D53/2,0),ROUNDUP(D53/2,0))</f>
        <v>2</v>
      </c>
    </row>
    <row r="54" customFormat="false" ht="15.75" hidden="false" customHeight="false" outlineLevel="0" collapsed="false">
      <c r="A54" s="19" t="n">
        <v>54</v>
      </c>
      <c r="D54" s="24" t="n">
        <v>5</v>
      </c>
      <c r="E54" s="19" t="n">
        <f aca="false">IF(D54&lt;0,ROUNDDOWN(D54/2,0),ROUNDUP(D54/2,0))</f>
        <v>3</v>
      </c>
    </row>
    <row r="55" customFormat="false" ht="15.75" hidden="false" customHeight="false" outlineLevel="0" collapsed="false">
      <c r="A55" s="19" t="n">
        <v>55</v>
      </c>
      <c r="D55" s="24" t="n">
        <v>-30</v>
      </c>
      <c r="E55" s="19" t="n">
        <f aca="false">IF(D55&lt;0,ROUNDDOWN(D55/2,0),ROUNDUP(D55/2,0))</f>
        <v>-15</v>
      </c>
    </row>
    <row r="56" customFormat="false" ht="15.75" hidden="false" customHeight="false" outlineLevel="0" collapsed="false">
      <c r="A56" s="19" t="n">
        <v>56</v>
      </c>
      <c r="D56" s="24" t="n">
        <v>-30</v>
      </c>
      <c r="E56" s="19" t="n">
        <f aca="false">IF(D56&lt;0,ROUNDDOWN(D56/2,0),ROUNDUP(D56/2,0))</f>
        <v>-15</v>
      </c>
    </row>
    <row r="57" customFormat="false" ht="15.75" hidden="false" customHeight="false" outlineLevel="0" collapsed="false">
      <c r="A57" s="19" t="n">
        <v>57</v>
      </c>
      <c r="D57" s="24" t="n">
        <v>5</v>
      </c>
      <c r="E57" s="19" t="n">
        <f aca="false">IF(D57&lt;0,ROUNDDOWN(D57/2,0),ROUNDUP(D57/2,0))</f>
        <v>3</v>
      </c>
    </row>
    <row r="58" customFormat="false" ht="15.75" hidden="false" customHeight="false" outlineLevel="0" collapsed="false">
      <c r="A58" s="19" t="n">
        <v>58</v>
      </c>
      <c r="D58" s="24" t="n">
        <v>5</v>
      </c>
      <c r="E58" s="19" t="n">
        <f aca="false">IF(D58&lt;0,ROUNDDOWN(D58/2,0),ROUNDUP(D58/2,0))</f>
        <v>3</v>
      </c>
    </row>
    <row r="59" customFormat="false" ht="15.75" hidden="false" customHeight="false" outlineLevel="0" collapsed="false">
      <c r="A59" s="19" t="n">
        <v>59</v>
      </c>
      <c r="D59" s="24" t="n">
        <v>5</v>
      </c>
      <c r="E59" s="19" t="n">
        <f aca="false">IF(D59&lt;0,ROUNDDOWN(D59/2,0),ROUNDUP(D59/2,0))</f>
        <v>3</v>
      </c>
    </row>
    <row r="60" customFormat="false" ht="15.75" hidden="false" customHeight="false" outlineLevel="0" collapsed="false">
      <c r="A60" s="19" t="n">
        <v>60</v>
      </c>
      <c r="D60" s="24" t="n">
        <v>5</v>
      </c>
      <c r="E60" s="19" t="n">
        <f aca="false">IF(D60&lt;0,ROUNDDOWN(D60/2,0),ROUNDUP(D60/2,0))</f>
        <v>3</v>
      </c>
    </row>
    <row r="61" customFormat="false" ht="15.75" hidden="false" customHeight="false" outlineLevel="0" collapsed="false">
      <c r="A61" s="19" t="n">
        <v>61</v>
      </c>
      <c r="D61" s="24" t="n">
        <v>4</v>
      </c>
      <c r="E61" s="19" t="n">
        <f aca="false">IF(D61&lt;0,ROUNDDOWN(D61/2,0),ROUNDUP(D61/2,0))</f>
        <v>2</v>
      </c>
    </row>
    <row r="62" customFormat="false" ht="15.75" hidden="false" customHeight="false" outlineLevel="0" collapsed="false">
      <c r="A62" s="19" t="n">
        <v>62</v>
      </c>
      <c r="D62" s="24" t="n">
        <v>4</v>
      </c>
      <c r="E62" s="19" t="n">
        <f aca="false">IF(D62&lt;0,ROUNDDOWN(D62/2,0),ROUNDUP(D62/2,0))</f>
        <v>2</v>
      </c>
    </row>
    <row r="63" customFormat="false" ht="15.75" hidden="false" customHeight="false" outlineLevel="0" collapsed="false">
      <c r="A63" s="19" t="n">
        <v>63</v>
      </c>
      <c r="D63" s="24" t="n">
        <v>4</v>
      </c>
      <c r="E63" s="19" t="n">
        <f aca="false">IF(D63&lt;0,ROUNDDOWN(D63/2,0),ROUNDUP(D63/2,0))</f>
        <v>2</v>
      </c>
    </row>
    <row r="64" customFormat="false" ht="15.75" hidden="false" customHeight="false" outlineLevel="0" collapsed="false">
      <c r="A64" s="19" t="n">
        <v>64</v>
      </c>
      <c r="D64" s="24" t="n">
        <v>3</v>
      </c>
      <c r="E64" s="19" t="n">
        <f aca="false">IF(D64&lt;0,ROUNDDOWN(D64/2,0),ROUNDUP(D64/2,0))</f>
        <v>2</v>
      </c>
    </row>
    <row r="65" customFormat="false" ht="15.75" hidden="false" customHeight="false" outlineLevel="0" collapsed="false">
      <c r="A65" s="19" t="n">
        <v>65</v>
      </c>
      <c r="D65" s="24" t="n">
        <v>3</v>
      </c>
      <c r="E65" s="19" t="n">
        <f aca="false">IF(D65&lt;0,ROUNDDOWN(D65/2,0),ROUNDUP(D65/2,0))</f>
        <v>2</v>
      </c>
    </row>
    <row r="66" customFormat="false" ht="15.75" hidden="false" customHeight="false" outlineLevel="0" collapsed="false">
      <c r="A66" s="19" t="n">
        <v>66</v>
      </c>
      <c r="D66" s="24" t="n">
        <v>-80</v>
      </c>
      <c r="E66" s="19" t="n">
        <f aca="false">IF(D66&lt;0,ROUNDDOWN(D66/2,0),ROUNDUP(D66/2,0))</f>
        <v>-40</v>
      </c>
    </row>
    <row r="67" customFormat="false" ht="15.75" hidden="false" customHeight="false" outlineLevel="0" collapsed="false">
      <c r="A67" s="19" t="n">
        <v>67</v>
      </c>
      <c r="D67" s="24" t="n">
        <v>-10</v>
      </c>
      <c r="E67" s="19" t="n">
        <f aca="false">IF(D67&lt;0,ROUNDDOWN(D67/2,0),ROUNDUP(D67/2,0))</f>
        <v>-5</v>
      </c>
    </row>
    <row r="68" customFormat="false" ht="15.75" hidden="false" customHeight="false" outlineLevel="0" collapsed="false">
      <c r="A68" s="19" t="n">
        <v>68</v>
      </c>
      <c r="D68" s="24" t="n">
        <v>-10</v>
      </c>
      <c r="E68" s="19" t="n">
        <f aca="false">IF(D68&lt;0,ROUNDDOWN(D68/2,0),ROUNDUP(D68/2,0))</f>
        <v>-5</v>
      </c>
    </row>
    <row r="69" customFormat="false" ht="15.75" hidden="false" customHeight="false" outlineLevel="0" collapsed="false">
      <c r="A69" s="19" t="n">
        <v>69</v>
      </c>
      <c r="D69" s="24" t="n">
        <v>-10</v>
      </c>
      <c r="E69" s="19" t="n">
        <f aca="false">IF(D69&lt;0,ROUNDDOWN(D69/2,0),ROUNDUP(D69/2,0))</f>
        <v>-5</v>
      </c>
    </row>
    <row r="70" customFormat="false" ht="15.75" hidden="false" customHeight="false" outlineLevel="0" collapsed="false">
      <c r="A70" s="19" t="n">
        <v>70</v>
      </c>
      <c r="D70" s="24" t="n">
        <v>-5</v>
      </c>
      <c r="E70" s="19" t="n">
        <f aca="false">IF(D70&lt;0,ROUNDDOWN(D70/2,0),ROUNDUP(D70/2,0))</f>
        <v>-2</v>
      </c>
    </row>
    <row r="71" customFormat="false" ht="15.75" hidden="false" customHeight="false" outlineLevel="0" collapsed="false">
      <c r="A71" s="19" t="n">
        <v>71</v>
      </c>
      <c r="D71" s="24" t="n">
        <v>-80</v>
      </c>
      <c r="E71" s="19" t="n">
        <f aca="false">IF(D71&lt;0,ROUNDDOWN(D71/2,0),ROUNDUP(D71/2,0))</f>
        <v>-40</v>
      </c>
    </row>
    <row r="72" customFormat="false" ht="15.75" hidden="false" customHeight="false" outlineLevel="0" collapsed="false">
      <c r="A72" s="19" t="n">
        <v>72</v>
      </c>
      <c r="D72" s="24" t="n">
        <v>-10</v>
      </c>
      <c r="E72" s="19" t="n">
        <f aca="false">IF(D72&lt;0,ROUNDDOWN(D72/2,0),ROUNDUP(D72/2,0))</f>
        <v>-5</v>
      </c>
    </row>
    <row r="73" customFormat="false" ht="15.75" hidden="false" customHeight="false" outlineLevel="0" collapsed="false">
      <c r="A73" s="19" t="n">
        <v>73</v>
      </c>
      <c r="D73" s="24"/>
      <c r="E73" s="19" t="n">
        <f aca="false">IF(D73&lt;0,ROUNDDOWN(D73/2,0),ROUNDUP(D73/2,0))</f>
        <v>0</v>
      </c>
    </row>
    <row r="74" customFormat="false" ht="15.75" hidden="false" customHeight="false" outlineLevel="0" collapsed="false">
      <c r="A74" s="19" t="n">
        <v>74</v>
      </c>
      <c r="D74" s="24" t="n">
        <v>4</v>
      </c>
      <c r="E74" s="19" t="n">
        <f aca="false">IF(D74&lt;0,ROUNDDOWN(D74/2,0),ROUNDUP(D74/2,0))</f>
        <v>2</v>
      </c>
    </row>
    <row r="75" customFormat="false" ht="15.75" hidden="false" customHeight="false" outlineLevel="0" collapsed="false">
      <c r="A75" s="19" t="n">
        <v>75</v>
      </c>
      <c r="D75" s="24" t="n">
        <v>3</v>
      </c>
      <c r="E75" s="19" t="n">
        <f aca="false">IF(D75&lt;0,ROUNDDOWN(D75/2,0),ROUNDUP(D75/2,0))</f>
        <v>2</v>
      </c>
    </row>
    <row r="76" customFormat="false" ht="15.75" hidden="false" customHeight="false" outlineLevel="0" collapsed="false">
      <c r="A76" s="19" t="n">
        <v>76</v>
      </c>
      <c r="D76" s="24" t="n">
        <v>5</v>
      </c>
      <c r="E76" s="19" t="n">
        <f aca="false">IF(D76&lt;0,ROUNDDOWN(D76/2,0),ROUNDUP(D76/2,0))</f>
        <v>3</v>
      </c>
    </row>
    <row r="77" customFormat="false" ht="15.75" hidden="false" customHeight="false" outlineLevel="0" collapsed="false">
      <c r="A77" s="19" t="n">
        <v>77</v>
      </c>
      <c r="D77" s="24" t="n">
        <v>-10</v>
      </c>
      <c r="E77" s="19" t="n">
        <f aca="false">IF(D77&lt;0,ROUNDDOWN(D77/2,0),ROUNDUP(D77/2,0))</f>
        <v>-5</v>
      </c>
    </row>
    <row r="78" customFormat="false" ht="15.75" hidden="false" customHeight="false" outlineLevel="0" collapsed="false">
      <c r="A78" s="19" t="n">
        <v>78</v>
      </c>
      <c r="D78" s="24" t="n">
        <v>-10</v>
      </c>
      <c r="E78" s="19" t="n">
        <f aca="false">IF(D78&lt;0,ROUNDDOWN(D78/2,0),ROUNDUP(D78/2,0))</f>
        <v>-5</v>
      </c>
    </row>
    <row r="79" customFormat="false" ht="15.75" hidden="false" customHeight="false" outlineLevel="0" collapsed="false">
      <c r="A79" s="19" t="n">
        <v>79</v>
      </c>
      <c r="D79" s="24" t="n">
        <v>4</v>
      </c>
      <c r="E79" s="19" t="n">
        <f aca="false">IF(D79&lt;0,ROUNDDOWN(D79/2,0),ROUNDUP(D79/2,0))</f>
        <v>2</v>
      </c>
    </row>
    <row r="80" customFormat="false" ht="15.75" hidden="false" customHeight="false" outlineLevel="0" collapsed="false">
      <c r="A80" s="19" t="n">
        <v>80</v>
      </c>
      <c r="D80" s="24" t="n">
        <v>-5</v>
      </c>
      <c r="E80" s="19" t="n">
        <f aca="false">IF(D80&lt;0,ROUNDDOWN(D80/2,0),ROUNDUP(D80/2,0))</f>
        <v>-2</v>
      </c>
    </row>
    <row r="81" customFormat="false" ht="15.75" hidden="false" customHeight="false" outlineLevel="0" collapsed="false">
      <c r="A81" s="19" t="n">
        <v>81</v>
      </c>
      <c r="D81" s="24" t="n">
        <v>-80</v>
      </c>
      <c r="E81" s="19" t="n">
        <f aca="false">IF(D81&lt;0,ROUNDDOWN(D81/2,0),ROUNDUP(D81/2,0))</f>
        <v>-40</v>
      </c>
    </row>
    <row r="82" customFormat="false" ht="15.75" hidden="false" customHeight="false" outlineLevel="0" collapsed="false">
      <c r="A82" s="19" t="n">
        <v>82</v>
      </c>
      <c r="D82" s="24" t="n">
        <v>-80</v>
      </c>
      <c r="E82" s="19" t="n">
        <f aca="false">IF(D82&lt;0,ROUNDDOWN(D82/2,0),ROUNDUP(D82/2,0))</f>
        <v>-40</v>
      </c>
    </row>
    <row r="83" customFormat="false" ht="15.75" hidden="false" customHeight="false" outlineLevel="0" collapsed="false">
      <c r="A83" s="19" t="n">
        <v>83</v>
      </c>
      <c r="D83" s="24" t="n">
        <v>2</v>
      </c>
      <c r="E83" s="19" t="n">
        <f aca="false">IF(D83&lt;0,ROUNDDOWN(D83/2,0),ROUNDUP(D83/2,0))</f>
        <v>1</v>
      </c>
    </row>
    <row r="84" customFormat="false" ht="15.75" hidden="false" customHeight="false" outlineLevel="0" collapsed="false">
      <c r="A84" s="19" t="n">
        <v>84</v>
      </c>
      <c r="D84" s="24" t="n">
        <v>-100</v>
      </c>
      <c r="E84" s="19" t="n">
        <f aca="false">IF(D84&lt;0,ROUNDDOWN(D84/2,0),ROUNDUP(D84/2,0))</f>
        <v>-50</v>
      </c>
    </row>
    <row r="85" customFormat="false" ht="15.75" hidden="false" customHeight="false" outlineLevel="0" collapsed="false">
      <c r="A85" s="19" t="n">
        <v>85</v>
      </c>
      <c r="D85" s="24" t="n">
        <v>-10</v>
      </c>
      <c r="E85" s="19" t="n">
        <f aca="false">IF(D85&lt;0,ROUNDDOWN(D85/2,0),ROUNDUP(D85/2,0))</f>
        <v>-5</v>
      </c>
    </row>
    <row r="86" customFormat="false" ht="15.75" hidden="false" customHeight="false" outlineLevel="0" collapsed="false">
      <c r="A86" s="19" t="n">
        <v>86</v>
      </c>
      <c r="D86" s="24" t="n">
        <f aca="false">4</f>
        <v>4</v>
      </c>
      <c r="E86" s="19" t="n">
        <f aca="false">IF(D86&lt;0,ROUNDDOWN(D86/2,0),ROUNDUP(D86/2,0))</f>
        <v>2</v>
      </c>
    </row>
    <row r="87" customFormat="false" ht="15.75" hidden="false" customHeight="false" outlineLevel="0" collapsed="false">
      <c r="A87" s="19" t="n">
        <v>87</v>
      </c>
      <c r="D87" s="24" t="n">
        <v>3</v>
      </c>
      <c r="E87" s="19" t="n">
        <f aca="false">IF(D87&lt;0,ROUNDDOWN(D87/2,0),ROUNDUP(D87/2,0))</f>
        <v>2</v>
      </c>
    </row>
    <row r="88" customFormat="false" ht="15.75" hidden="false" customHeight="false" outlineLevel="0" collapsed="false">
      <c r="A88" s="19" t="n">
        <v>88</v>
      </c>
      <c r="D88" s="24" t="n">
        <v>4</v>
      </c>
      <c r="E88" s="19" t="n">
        <f aca="false">IF(D88&lt;0,ROUNDDOWN(D88/2,0),ROUNDUP(D88/2,0))</f>
        <v>2</v>
      </c>
    </row>
    <row r="89" customFormat="false" ht="15.75" hidden="false" customHeight="false" outlineLevel="0" collapsed="false">
      <c r="A89" s="19" t="n">
        <v>89</v>
      </c>
      <c r="D89" s="24" t="n">
        <v>-15</v>
      </c>
      <c r="E89" s="19" t="n">
        <f aca="false">IF(D89&lt;0,ROUNDDOWN(D89/2,0),ROUNDUP(D89/2,0))</f>
        <v>-7</v>
      </c>
    </row>
    <row r="90" customFormat="false" ht="15.75" hidden="false" customHeight="false" outlineLevel="0" collapsed="false">
      <c r="A90" s="19" t="n">
        <v>90</v>
      </c>
      <c r="D90" s="24" t="n">
        <v>-5</v>
      </c>
      <c r="E90" s="19" t="n">
        <f aca="false">IF(D90&lt;0,ROUNDDOWN(D90/2,0),ROUNDUP(D90/2,0))</f>
        <v>-2</v>
      </c>
    </row>
    <row r="91" customFormat="false" ht="15.75" hidden="false" customHeight="false" outlineLevel="0" collapsed="false">
      <c r="A91" s="19" t="n">
        <v>91</v>
      </c>
      <c r="D91" s="24" t="n">
        <v>4</v>
      </c>
      <c r="E91" s="19" t="n">
        <f aca="false">IF(D91&lt;0,ROUNDDOWN(D91/2,0),ROUNDUP(D91/2,0))</f>
        <v>2</v>
      </c>
    </row>
    <row r="92" customFormat="false" ht="15.75" hidden="false" customHeight="false" outlineLevel="0" collapsed="false">
      <c r="A92" s="19" t="n">
        <v>92</v>
      </c>
      <c r="D92" s="24" t="n">
        <v>4</v>
      </c>
      <c r="E92" s="19" t="n">
        <f aca="false">IF(D92&lt;0,ROUNDDOWN(D92/2,0),ROUNDUP(D92/2,0))</f>
        <v>2</v>
      </c>
    </row>
    <row r="93" customFormat="false" ht="15.75" hidden="false" customHeight="false" outlineLevel="0" collapsed="false">
      <c r="A93" s="19" t="n">
        <v>93</v>
      </c>
      <c r="D93" s="24" t="n">
        <v>7</v>
      </c>
      <c r="E93" s="19" t="n">
        <f aca="false">IF(D93&lt;0,ROUNDDOWN(D93/2,0),ROUNDUP(D93/2,0))</f>
        <v>4</v>
      </c>
    </row>
    <row r="94" customFormat="false" ht="15.75" hidden="false" customHeight="false" outlineLevel="0" collapsed="false">
      <c r="A94" s="19" t="n">
        <v>94</v>
      </c>
      <c r="D94" s="24" t="n">
        <v>4</v>
      </c>
      <c r="E94" s="19" t="n">
        <f aca="false">IF(D94&lt;0,ROUNDDOWN(D94/2,0),ROUNDUP(D94/2,0))</f>
        <v>2</v>
      </c>
    </row>
    <row r="95" customFormat="false" ht="15.75" hidden="false" customHeight="false" outlineLevel="0" collapsed="false">
      <c r="A95" s="19" t="n">
        <v>95</v>
      </c>
      <c r="D95" s="24" t="n">
        <v>-10</v>
      </c>
      <c r="E95" s="19" t="n">
        <f aca="false">IF(D95&lt;0,ROUNDDOWN(D95/2,0),ROUNDUP(D95/2,0))</f>
        <v>-5</v>
      </c>
    </row>
    <row r="96" customFormat="false" ht="15.75" hidden="false" customHeight="false" outlineLevel="0" collapsed="false">
      <c r="A96" s="19" t="n">
        <v>96</v>
      </c>
      <c r="D96" s="24" t="n">
        <v>2</v>
      </c>
      <c r="E96" s="19" t="n">
        <f aca="false">IF(D96&lt;0,ROUNDDOWN(D96/2,0),ROUNDUP(D96/2,0))</f>
        <v>1</v>
      </c>
    </row>
    <row r="97" customFormat="false" ht="15.75" hidden="false" customHeight="false" outlineLevel="0" collapsed="false">
      <c r="A97" s="19" t="n">
        <v>97</v>
      </c>
      <c r="D97" s="24" t="n">
        <v>4</v>
      </c>
      <c r="E97" s="19" t="n">
        <f aca="false">IF(D97&lt;0,ROUNDDOWN(D97/2,0),ROUNDUP(D97/2,0))</f>
        <v>2</v>
      </c>
    </row>
    <row r="98" customFormat="false" ht="15.75" hidden="false" customHeight="false" outlineLevel="0" collapsed="false">
      <c r="A98" s="19" t="n">
        <v>98</v>
      </c>
      <c r="D98" s="24" t="n">
        <v>4</v>
      </c>
      <c r="E98" s="19" t="n">
        <f aca="false">IF(D98&lt;0,ROUNDDOWN(D98/2,0),ROUNDUP(D98/2,0))</f>
        <v>2</v>
      </c>
    </row>
    <row r="99" customFormat="false" ht="15.75" hidden="false" customHeight="false" outlineLevel="0" collapsed="false">
      <c r="A99" s="19" t="n">
        <v>99</v>
      </c>
      <c r="D99" s="24" t="n">
        <v>3</v>
      </c>
      <c r="E99" s="19" t="n">
        <f aca="false">IF(D99&lt;0,ROUNDDOWN(D99/2,0),ROUNDUP(D99/2,0))</f>
        <v>2</v>
      </c>
    </row>
    <row r="100" customFormat="false" ht="15.75" hidden="false" customHeight="false" outlineLevel="0" collapsed="false">
      <c r="A100" s="19" t="n">
        <v>100</v>
      </c>
      <c r="D100" s="24" t="n">
        <v>4</v>
      </c>
      <c r="E100" s="19" t="n">
        <f aca="false">IF(D100&lt;0,ROUNDDOWN(D100/2,0),ROUNDUP(D100/2,0))</f>
        <v>2</v>
      </c>
    </row>
    <row r="101" customFormat="false" ht="15.75" hidden="false" customHeight="false" outlineLevel="0" collapsed="false">
      <c r="A101" s="19" t="n">
        <v>101</v>
      </c>
      <c r="D101" s="24" t="n">
        <v>2</v>
      </c>
      <c r="E101" s="19" t="n">
        <f aca="false">IF(D101&lt;0,ROUNDDOWN(D101/2,0),ROUNDUP(D101/2,0))</f>
        <v>1</v>
      </c>
    </row>
    <row r="102" customFormat="false" ht="15.75" hidden="false" customHeight="false" outlineLevel="0" collapsed="false">
      <c r="A102" s="19" t="n">
        <v>102</v>
      </c>
      <c r="D102" s="24" t="n">
        <v>-10</v>
      </c>
      <c r="E102" s="19" t="n">
        <f aca="false">IF(D102&lt;0,ROUNDDOWN(D102/2,0),ROUNDUP(D102/2,0))</f>
        <v>-5</v>
      </c>
    </row>
    <row r="103" customFormat="false" ht="15.75" hidden="false" customHeight="false" outlineLevel="0" collapsed="false">
      <c r="A103" s="19" t="n">
        <v>103</v>
      </c>
      <c r="D103" s="24" t="n">
        <v>-2</v>
      </c>
      <c r="E103" s="19" t="n">
        <f aca="false">IF(D103&lt;0,ROUNDDOWN(D103/2,0),ROUNDUP(D103/2,0))</f>
        <v>-1</v>
      </c>
    </row>
    <row r="104" customFormat="false" ht="15.75" hidden="false" customHeight="false" outlineLevel="0" collapsed="false">
      <c r="A104" s="19" t="n">
        <v>104</v>
      </c>
      <c r="D104" s="24" t="n">
        <v>-5</v>
      </c>
      <c r="E104" s="19" t="n">
        <f aca="false">IF(D104&lt;0,ROUNDDOWN(D104/2,0),ROUNDUP(D104/2,0))</f>
        <v>-2</v>
      </c>
    </row>
    <row r="105" customFormat="false" ht="15.75" hidden="false" customHeight="false" outlineLevel="0" collapsed="false">
      <c r="A105" s="19" t="n">
        <v>105</v>
      </c>
      <c r="D105" s="24" t="n">
        <f aca="false">2</f>
        <v>2</v>
      </c>
      <c r="E105" s="19" t="n">
        <f aca="false">IF(D105&lt;0,ROUNDDOWN(D105/2,0),ROUNDUP(D105/2,0))</f>
        <v>1</v>
      </c>
    </row>
    <row r="106" customFormat="false" ht="15.75" hidden="false" customHeight="false" outlineLevel="0" collapsed="false">
      <c r="A106" s="19" t="n">
        <v>106</v>
      </c>
      <c r="D106" s="24" t="n">
        <v>2</v>
      </c>
      <c r="E106" s="19" t="n">
        <f aca="false">IF(D106&lt;0,ROUNDDOWN(D106/2,0),ROUNDUP(D106/2,0))</f>
        <v>1</v>
      </c>
    </row>
    <row r="107" customFormat="false" ht="15.75" hidden="false" customHeight="false" outlineLevel="0" collapsed="false">
      <c r="A107" s="19" t="n">
        <v>107</v>
      </c>
      <c r="D107" s="24" t="n">
        <v>-10</v>
      </c>
      <c r="E107" s="19" t="n">
        <f aca="false">IF(D107&lt;0,ROUNDDOWN(D107/2,0),ROUNDUP(D107/2,0))</f>
        <v>-5</v>
      </c>
    </row>
    <row r="108" customFormat="false" ht="15.75" hidden="false" customHeight="false" outlineLevel="0" collapsed="false">
      <c r="A108" s="19" t="n">
        <v>108</v>
      </c>
      <c r="D108" s="24" t="n">
        <v>-10</v>
      </c>
      <c r="E108" s="19" t="n">
        <f aca="false">IF(D108&lt;0,ROUNDDOWN(D108/2,0),ROUNDUP(D108/2,0))</f>
        <v>-5</v>
      </c>
    </row>
    <row r="109" customFormat="false" ht="15.75" hidden="false" customHeight="false" outlineLevel="0" collapsed="false">
      <c r="A109" s="19" t="n">
        <v>109</v>
      </c>
      <c r="D109" s="24" t="n">
        <v>-7</v>
      </c>
      <c r="E109" s="19" t="n">
        <f aca="false">IF(D109&lt;0,ROUNDDOWN(D109/2,0),ROUNDUP(D109/2,0))</f>
        <v>-3</v>
      </c>
    </row>
    <row r="110" customFormat="false" ht="15.75" hidden="false" customHeight="false" outlineLevel="0" collapsed="false">
      <c r="A110" s="19" t="n">
        <v>110</v>
      </c>
      <c r="D110" s="24" t="n">
        <v>-6</v>
      </c>
      <c r="E110" s="19" t="n">
        <f aca="false">IF(D110&lt;0,ROUNDDOWN(D110/2,0),ROUNDUP(D110/2,0))</f>
        <v>-3</v>
      </c>
    </row>
    <row r="111" customFormat="false" ht="15.75" hidden="false" customHeight="false" outlineLevel="0" collapsed="false">
      <c r="A111" s="19" t="n">
        <v>111</v>
      </c>
      <c r="D111" s="24" t="n">
        <v>-30</v>
      </c>
      <c r="E111" s="19" t="n">
        <f aca="false">IF(D111&lt;0,ROUNDDOWN(D111/2,0),ROUNDUP(D111/2,0))</f>
        <v>-15</v>
      </c>
    </row>
    <row r="112" customFormat="false" ht="15.75" hidden="false" customHeight="false" outlineLevel="0" collapsed="false">
      <c r="A112" s="19" t="n">
        <v>112</v>
      </c>
      <c r="D112" s="24" t="n">
        <f aca="false">5</f>
        <v>5</v>
      </c>
      <c r="E112" s="19" t="n">
        <f aca="false">IF(D112&lt;0,ROUNDDOWN(D112/2,0),ROUNDUP(D112/2,0))</f>
        <v>3</v>
      </c>
    </row>
    <row r="113" customFormat="false" ht="15.75" hidden="false" customHeight="false" outlineLevel="0" collapsed="false">
      <c r="A113" s="19" t="n">
        <v>113</v>
      </c>
      <c r="D113" s="24" t="n">
        <v>3</v>
      </c>
      <c r="E113" s="19" t="n">
        <f aca="false">IF(D113&lt;0,ROUNDDOWN(D113/2,0),ROUNDUP(D113/2,0))</f>
        <v>2</v>
      </c>
    </row>
    <row r="114" customFormat="false" ht="15.75" hidden="false" customHeight="false" outlineLevel="0" collapsed="false">
      <c r="A114" s="19" t="n">
        <v>114</v>
      </c>
      <c r="D114" s="24" t="n">
        <f aca="false">10</f>
        <v>10</v>
      </c>
      <c r="E114" s="19" t="n">
        <f aca="false">IF(D114&lt;0,ROUNDDOWN(D114/2,0),ROUNDUP(D114/2,0))</f>
        <v>5</v>
      </c>
    </row>
    <row r="115" customFormat="false" ht="15.75" hidden="false" customHeight="false" outlineLevel="0" collapsed="false">
      <c r="A115" s="19" t="n">
        <v>115</v>
      </c>
      <c r="D115" s="24" t="n">
        <f aca="false">7</f>
        <v>7</v>
      </c>
      <c r="E115" s="19" t="n">
        <f aca="false">IF(D115&lt;0,ROUNDDOWN(D115/2,0),ROUNDUP(D115/2,0))</f>
        <v>4</v>
      </c>
    </row>
    <row r="116" customFormat="false" ht="15.75" hidden="false" customHeight="false" outlineLevel="0" collapsed="false">
      <c r="A116" s="19" t="n">
        <v>116</v>
      </c>
      <c r="D116" s="24" t="n">
        <v>2</v>
      </c>
      <c r="E116" s="19" t="n">
        <f aca="false">IF(D116&lt;0,ROUNDDOWN(D116/2,0),ROUNDUP(D116/2,0))</f>
        <v>1</v>
      </c>
    </row>
    <row r="117" customFormat="false" ht="15.75" hidden="false" customHeight="false" outlineLevel="0" collapsed="false">
      <c r="A117" s="19" t="n">
        <v>117</v>
      </c>
      <c r="D117" s="24" t="n">
        <v>2</v>
      </c>
      <c r="E117" s="19" t="n">
        <f aca="false">IF(D117&lt;0,ROUNDDOWN(D117/2,0),ROUNDUP(D117/2,0))</f>
        <v>1</v>
      </c>
    </row>
    <row r="118" customFormat="false" ht="15.75" hidden="false" customHeight="false" outlineLevel="0" collapsed="false">
      <c r="A118" s="19" t="n">
        <v>118</v>
      </c>
      <c r="D118" s="24" t="n">
        <v>4</v>
      </c>
      <c r="E118" s="19" t="n">
        <f aca="false">IF(D118&lt;0,ROUNDDOWN(D118/2,0),ROUNDUP(D118/2,0))</f>
        <v>2</v>
      </c>
    </row>
    <row r="119" customFormat="false" ht="15.75" hidden="false" customHeight="false" outlineLevel="0" collapsed="false">
      <c r="A119" s="19" t="n">
        <v>119</v>
      </c>
      <c r="D119" s="24" t="n">
        <v>3</v>
      </c>
      <c r="E119" s="19" t="n">
        <f aca="false">IF(D119&lt;0,ROUNDDOWN(D119/2,0),ROUNDUP(D119/2,0))</f>
        <v>2</v>
      </c>
    </row>
    <row r="120" customFormat="false" ht="15.75" hidden="false" customHeight="false" outlineLevel="0" collapsed="false">
      <c r="A120" s="19" t="n">
        <v>120</v>
      </c>
      <c r="D120" s="24" t="n">
        <v>2</v>
      </c>
      <c r="E120" s="19" t="n">
        <f aca="false">IF(D120&lt;0,ROUNDDOWN(D120/2,0),ROUNDUP(D120/2,0))</f>
        <v>1</v>
      </c>
    </row>
    <row r="121" customFormat="false" ht="15.75" hidden="false" customHeight="false" outlineLevel="0" collapsed="false">
      <c r="A121" s="19" t="n">
        <v>121</v>
      </c>
      <c r="D121" s="24" t="n">
        <v>-20</v>
      </c>
      <c r="E121" s="19" t="n">
        <f aca="false">IF(D121&lt;0,ROUNDDOWN(D121/2,0),ROUNDUP(D121/2,0))</f>
        <v>-10</v>
      </c>
    </row>
    <row r="122" customFormat="false" ht="15.75" hidden="false" customHeight="false" outlineLevel="0" collapsed="false">
      <c r="A122" s="19" t="n">
        <v>122</v>
      </c>
      <c r="D122" s="24" t="n">
        <v>-10</v>
      </c>
      <c r="E122" s="19" t="n">
        <f aca="false">IF(D122&lt;0,ROUNDDOWN(D122/2,0),ROUNDUP(D122/2,0))</f>
        <v>-5</v>
      </c>
    </row>
    <row r="123" customFormat="false" ht="15.75" hidden="false" customHeight="false" outlineLevel="0" collapsed="false">
      <c r="A123" s="19" t="n">
        <v>123</v>
      </c>
      <c r="D123" s="24" t="n">
        <v>2</v>
      </c>
      <c r="E123" s="19" t="n">
        <f aca="false">IF(D123&lt;0,ROUNDDOWN(D123/2,0),ROUNDUP(D123/2,0))</f>
        <v>1</v>
      </c>
    </row>
    <row r="124" customFormat="false" ht="15.75" hidden="false" customHeight="false" outlineLevel="0" collapsed="false">
      <c r="A124" s="19" t="n">
        <v>124</v>
      </c>
      <c r="D124" s="24" t="n">
        <v>-80</v>
      </c>
      <c r="E124" s="19" t="n">
        <f aca="false">IF(D124&lt;0,ROUNDDOWN(D124/2,0),ROUNDUP(D124/2,0))</f>
        <v>-40</v>
      </c>
    </row>
    <row r="125" customFormat="false" ht="15.75" hidden="false" customHeight="false" outlineLevel="0" collapsed="false">
      <c r="A125" s="19" t="n">
        <v>125</v>
      </c>
      <c r="D125" s="24" t="n">
        <v>-10</v>
      </c>
      <c r="E125" s="19" t="n">
        <f aca="false">IF(D125&lt;0,ROUNDDOWN(D125/2,0),ROUNDUP(D125/2,0))</f>
        <v>-5</v>
      </c>
    </row>
    <row r="126" customFormat="false" ht="15.75" hidden="false" customHeight="false" outlineLevel="0" collapsed="false">
      <c r="A126" s="19" t="n">
        <v>126</v>
      </c>
      <c r="D126" s="24" t="n">
        <v>-10</v>
      </c>
      <c r="E126" s="19" t="n">
        <f aca="false">IF(D126&lt;0,ROUNDDOWN(D126/2,0),ROUNDUP(D126/2,0))</f>
        <v>-5</v>
      </c>
    </row>
    <row r="127" customFormat="false" ht="15.75" hidden="false" customHeight="false" outlineLevel="0" collapsed="false">
      <c r="A127" s="19" t="n">
        <v>127</v>
      </c>
      <c r="D127" s="24" t="n">
        <v>5</v>
      </c>
      <c r="E127" s="19" t="n">
        <f aca="false">IF(D127&lt;0,ROUNDDOWN(D127/2,0),ROUNDUP(D127/2,0))</f>
        <v>3</v>
      </c>
    </row>
    <row r="128" customFormat="false" ht="15.75" hidden="false" customHeight="false" outlineLevel="0" collapsed="false">
      <c r="A128" s="19" t="n">
        <v>128</v>
      </c>
      <c r="D128" s="24"/>
      <c r="E128" s="19" t="n">
        <f aca="false">IF(D128&lt;0,ROUNDDOWN(D128/2,0),ROUNDUP(D128/2,0))</f>
        <v>0</v>
      </c>
    </row>
    <row r="129" customFormat="false" ht="15.75" hidden="false" customHeight="false" outlineLevel="0" collapsed="false">
      <c r="A129" s="19" t="n">
        <v>129</v>
      </c>
      <c r="D129" s="24" t="n">
        <v>-30</v>
      </c>
      <c r="E129" s="19" t="n">
        <f aca="false">IF(D129&lt;0,ROUNDDOWN(D129/2,0),ROUNDUP(D129/2,0))</f>
        <v>-15</v>
      </c>
    </row>
    <row r="130" customFormat="false" ht="15.75" hidden="false" customHeight="false" outlineLevel="0" collapsed="false">
      <c r="A130" s="19" t="n">
        <v>130</v>
      </c>
      <c r="D130" s="24" t="n">
        <v>-10</v>
      </c>
      <c r="E130" s="19" t="n">
        <f aca="false">IF(D130&lt;0,ROUNDDOWN(D130/2,0),ROUNDUP(D130/2,0))</f>
        <v>-5</v>
      </c>
    </row>
    <row r="131" customFormat="false" ht="15.75" hidden="false" customHeight="false" outlineLevel="0" collapsed="false">
      <c r="A131" s="19" t="n">
        <v>131</v>
      </c>
      <c r="D131" s="24"/>
      <c r="E131" s="19" t="n">
        <f aca="false">IF(D131&lt;0,ROUNDDOWN(D131/2,0),ROUNDUP(D131/2,0))</f>
        <v>0</v>
      </c>
    </row>
    <row r="132" customFormat="false" ht="15.75" hidden="false" customHeight="false" outlineLevel="0" collapsed="false">
      <c r="A132" s="19" t="n">
        <v>132</v>
      </c>
      <c r="D132" s="24" t="n">
        <v>3</v>
      </c>
      <c r="E132" s="19" t="n">
        <f aca="false">IF(D132&lt;0,ROUNDDOWN(D132/2,0),ROUNDUP(D132/2,0))</f>
        <v>2</v>
      </c>
    </row>
    <row r="133" customFormat="false" ht="15.75" hidden="false" customHeight="false" outlineLevel="0" collapsed="false">
      <c r="A133" s="19" t="n">
        <v>133</v>
      </c>
      <c r="D133" s="24" t="n">
        <v>4</v>
      </c>
      <c r="E133" s="19" t="n">
        <f aca="false">IF(D133&lt;0,ROUNDDOWN(D133/2,0),ROUNDUP(D133/2,0))</f>
        <v>2</v>
      </c>
    </row>
    <row r="134" customFormat="false" ht="15.75" hidden="false" customHeight="false" outlineLevel="0" collapsed="false">
      <c r="A134" s="19" t="n">
        <v>134</v>
      </c>
      <c r="D134" s="24" t="n">
        <v>4</v>
      </c>
      <c r="E134" s="19" t="n">
        <f aca="false">IF(D134&lt;0,ROUNDDOWN(D134/2,0),ROUNDUP(D134/2,0))</f>
        <v>2</v>
      </c>
    </row>
    <row r="135" customFormat="false" ht="15.75" hidden="false" customHeight="false" outlineLevel="0" collapsed="false">
      <c r="A135" s="19" t="n">
        <v>135</v>
      </c>
      <c r="D135" s="24" t="n">
        <v>4</v>
      </c>
      <c r="E135" s="19" t="n">
        <f aca="false">IF(D135&lt;0,ROUNDDOWN(D135/2,0),ROUNDUP(D135/2,0))</f>
        <v>2</v>
      </c>
    </row>
    <row r="136" customFormat="false" ht="15.75" hidden="false" customHeight="false" outlineLevel="0" collapsed="false">
      <c r="A136" s="19" t="n">
        <v>136</v>
      </c>
      <c r="D136" s="24" t="n">
        <v>-10</v>
      </c>
      <c r="E136" s="19" t="n">
        <f aca="false">IF(D136&lt;0,ROUNDDOWN(D136/2,0),ROUNDUP(D136/2,0))</f>
        <v>-5</v>
      </c>
    </row>
    <row r="137" customFormat="false" ht="15.75" hidden="false" customHeight="false" outlineLevel="0" collapsed="false">
      <c r="A137" s="19" t="n">
        <v>137</v>
      </c>
      <c r="D137" s="24" t="n">
        <v>-30</v>
      </c>
      <c r="E137" s="19" t="n">
        <f aca="false">IF(D137&lt;0,ROUNDDOWN(D137/2,0),ROUNDUP(D137/2,0))</f>
        <v>-15</v>
      </c>
    </row>
    <row r="138" customFormat="false" ht="15.75" hidden="false" customHeight="false" outlineLevel="0" collapsed="false">
      <c r="A138" s="19" t="n">
        <v>138</v>
      </c>
      <c r="D138" s="24" t="n">
        <v>-10</v>
      </c>
      <c r="E138" s="19" t="n">
        <f aca="false">IF(D138&lt;0,ROUNDDOWN(D138/2,0),ROUNDUP(D138/2,0))</f>
        <v>-5</v>
      </c>
    </row>
    <row r="139" customFormat="false" ht="15.75" hidden="false" customHeight="false" outlineLevel="0" collapsed="false">
      <c r="A139" s="19" t="n">
        <v>139</v>
      </c>
      <c r="D139" s="24" t="n">
        <f aca="false">4</f>
        <v>4</v>
      </c>
      <c r="E139" s="19" t="n">
        <f aca="false">IF(D139&lt;0,ROUNDDOWN(D139/2,0),ROUNDUP(D139/2,0))</f>
        <v>2</v>
      </c>
    </row>
    <row r="140" customFormat="false" ht="15.75" hidden="false" customHeight="false" outlineLevel="0" collapsed="false">
      <c r="A140" s="19" t="n">
        <v>140</v>
      </c>
      <c r="D140" s="24" t="n">
        <f aca="false">4</f>
        <v>4</v>
      </c>
      <c r="E140" s="19" t="n">
        <f aca="false">IF(D140&lt;0,ROUNDDOWN(D140/2,0),ROUNDUP(D140/2,0))</f>
        <v>2</v>
      </c>
    </row>
    <row r="141" customFormat="false" ht="15.75" hidden="false" customHeight="false" outlineLevel="0" collapsed="false">
      <c r="A141" s="19" t="n">
        <v>141</v>
      </c>
      <c r="D141" s="24" t="n">
        <f aca="false">4</f>
        <v>4</v>
      </c>
      <c r="E141" s="19" t="n">
        <f aca="false">IF(D141&lt;0,ROUNDDOWN(D141/2,0),ROUNDUP(D141/2,0))</f>
        <v>2</v>
      </c>
    </row>
    <row r="142" customFormat="false" ht="15.75" hidden="false" customHeight="false" outlineLevel="0" collapsed="false">
      <c r="A142" s="19" t="n">
        <v>142</v>
      </c>
      <c r="D142" s="24" t="n">
        <f aca="false">5</f>
        <v>5</v>
      </c>
      <c r="E142" s="19" t="n">
        <f aca="false">IF(D142&lt;0,ROUNDDOWN(D142/2,0),ROUNDUP(D142/2,0))</f>
        <v>3</v>
      </c>
    </row>
    <row r="143" customFormat="false" ht="15.75" hidden="false" customHeight="false" outlineLevel="0" collapsed="false">
      <c r="A143" s="19" t="n">
        <v>143</v>
      </c>
      <c r="D143" s="24" t="n">
        <f aca="false">4</f>
        <v>4</v>
      </c>
      <c r="E143" s="19" t="n">
        <f aca="false">IF(D143&lt;0,ROUNDDOWN(D143/2,0),ROUNDUP(D143/2,0))</f>
        <v>2</v>
      </c>
    </row>
    <row r="144" customFormat="false" ht="15.75" hidden="false" customHeight="false" outlineLevel="0" collapsed="false">
      <c r="A144" s="19" t="n">
        <v>144</v>
      </c>
      <c r="D144" s="24" t="n">
        <f aca="false">5</f>
        <v>5</v>
      </c>
      <c r="E144" s="19" t="n">
        <f aca="false">IF(D144&lt;0,ROUNDDOWN(D144/2,0),ROUNDUP(D144/2,0))</f>
        <v>3</v>
      </c>
    </row>
    <row r="145" customFormat="false" ht="15.75" hidden="false" customHeight="false" outlineLevel="0" collapsed="false">
      <c r="A145" s="19" t="n">
        <v>145</v>
      </c>
      <c r="D145" s="24"/>
      <c r="E145" s="19" t="n">
        <f aca="false">IF(D145&lt;0,ROUNDDOWN(D145/2,0),ROUNDUP(D145/2,0))</f>
        <v>0</v>
      </c>
    </row>
    <row r="146" customFormat="false" ht="15.75" hidden="false" customHeight="false" outlineLevel="0" collapsed="false">
      <c r="A146" s="19" t="n">
        <v>146</v>
      </c>
      <c r="D146" s="24" t="n">
        <v>-30</v>
      </c>
      <c r="E146" s="19" t="n">
        <f aca="false">IF(D146&lt;0,ROUNDDOWN(D146/2,0),ROUNDUP(D146/2,0))</f>
        <v>-15</v>
      </c>
    </row>
    <row r="147" customFormat="false" ht="15.75" hidden="false" customHeight="false" outlineLevel="0" collapsed="false">
      <c r="A147" s="19" t="n">
        <v>147</v>
      </c>
      <c r="D147" s="24" t="n">
        <v>2</v>
      </c>
      <c r="E147" s="19" t="n">
        <f aca="false">IF(D147&lt;0,ROUNDDOWN(D147/2,0),ROUNDUP(D147/2,0))</f>
        <v>1</v>
      </c>
    </row>
    <row r="148" customFormat="false" ht="15.75" hidden="false" customHeight="false" outlineLevel="0" collapsed="false">
      <c r="A148" s="19" t="n">
        <v>148</v>
      </c>
      <c r="D148" s="24" t="n">
        <v>2</v>
      </c>
      <c r="E148" s="19" t="n">
        <f aca="false">IF(D148&lt;0,ROUNDDOWN(D148/2,0),ROUNDUP(D148/2,0))</f>
        <v>1</v>
      </c>
    </row>
    <row r="149" customFormat="false" ht="15.75" hidden="false" customHeight="false" outlineLevel="0" collapsed="false">
      <c r="A149" s="19" t="n">
        <v>149</v>
      </c>
      <c r="D149" s="24" t="n">
        <f aca="false">4</f>
        <v>4</v>
      </c>
      <c r="E149" s="19" t="n">
        <f aca="false">IF(D149&lt;0,ROUNDDOWN(D149/2,0),ROUNDUP(D149/2,0))</f>
        <v>2</v>
      </c>
    </row>
    <row r="150" customFormat="false" ht="15.75" hidden="false" customHeight="false" outlineLevel="0" collapsed="false">
      <c r="A150" s="19" t="n">
        <v>150</v>
      </c>
      <c r="D150" s="24" t="n">
        <v>5</v>
      </c>
      <c r="E150" s="19" t="n">
        <f aca="false">IF(D150&lt;0,ROUNDDOWN(D150/2,0),ROUNDUP(D150/2,0))</f>
        <v>3</v>
      </c>
    </row>
    <row r="151" customFormat="false" ht="15.75" hidden="false" customHeight="false" outlineLevel="0" collapsed="false">
      <c r="A151" s="19" t="n">
        <v>151</v>
      </c>
      <c r="D151" s="24" t="n">
        <v>-10</v>
      </c>
      <c r="E151" s="19" t="n">
        <f aca="false">IF(D151&lt;0,ROUNDDOWN(D151/2,0),ROUNDUP(D151/2,0))</f>
        <v>-5</v>
      </c>
    </row>
    <row r="152" customFormat="false" ht="15.75" hidden="false" customHeight="false" outlineLevel="0" collapsed="false">
      <c r="A152" s="19" t="n">
        <v>152</v>
      </c>
      <c r="D152" s="24" t="n">
        <f aca="false">3</f>
        <v>3</v>
      </c>
      <c r="E152" s="19" t="n">
        <f aca="false">IF(D152&lt;0,ROUNDDOWN(D152/2,0),ROUNDUP(D152/2,0))</f>
        <v>2</v>
      </c>
    </row>
    <row r="153" customFormat="false" ht="15.75" hidden="false" customHeight="false" outlineLevel="0" collapsed="false">
      <c r="A153" s="19" t="n">
        <v>153</v>
      </c>
      <c r="D153" s="24" t="n">
        <v>-30</v>
      </c>
      <c r="E153" s="19" t="n">
        <f aca="false">IF(D153&lt;0,ROUNDDOWN(D153/2,0),ROUNDUP(D153/2,0))</f>
        <v>-15</v>
      </c>
    </row>
    <row r="154" customFormat="false" ht="15.75" hidden="false" customHeight="false" outlineLevel="0" collapsed="false">
      <c r="A154" s="19" t="n">
        <v>154</v>
      </c>
      <c r="D154" s="24" t="n">
        <v>-25</v>
      </c>
      <c r="E154" s="19" t="n">
        <f aca="false">IF(D154&lt;0,ROUNDDOWN(D154/2,0),ROUNDUP(D154/2,0))</f>
        <v>-12</v>
      </c>
    </row>
    <row r="155" customFormat="false" ht="15.75" hidden="false" customHeight="false" outlineLevel="0" collapsed="false">
      <c r="A155" s="19" t="n">
        <v>155</v>
      </c>
      <c r="D155" s="24" t="n">
        <v>-30</v>
      </c>
      <c r="E155" s="19" t="n">
        <f aca="false">IF(D155&lt;0,ROUNDDOWN(D155/2,0),ROUNDUP(D155/2,0))</f>
        <v>-15</v>
      </c>
    </row>
    <row r="156" customFormat="false" ht="15.75" hidden="false" customHeight="false" outlineLevel="0" collapsed="false">
      <c r="A156" s="19" t="n">
        <v>156</v>
      </c>
      <c r="D156" s="24" t="n">
        <v>-10</v>
      </c>
      <c r="E156" s="19" t="n">
        <f aca="false">IF(D156&lt;0,ROUNDDOWN(D156/2,0),ROUNDUP(D156/2,0))</f>
        <v>-5</v>
      </c>
    </row>
    <row r="157" customFormat="false" ht="15.75" hidden="false" customHeight="false" outlineLevel="0" collapsed="false">
      <c r="A157" s="19" t="n">
        <v>157</v>
      </c>
      <c r="D157" s="24" t="n">
        <v>2</v>
      </c>
      <c r="E157" s="19" t="n">
        <f aca="false">IF(D157&lt;0,ROUNDDOWN(D157/2,0),ROUNDUP(D157/2,0))</f>
        <v>1</v>
      </c>
    </row>
    <row r="158" customFormat="false" ht="15.75" hidden="false" customHeight="false" outlineLevel="0" collapsed="false">
      <c r="A158" s="19" t="n">
        <v>158</v>
      </c>
      <c r="D158" s="24" t="n">
        <v>-25</v>
      </c>
      <c r="E158" s="19" t="n">
        <f aca="false">IF(D158&lt;0,ROUNDDOWN(D158/2,0),ROUNDUP(D158/2,0))</f>
        <v>-12</v>
      </c>
    </row>
    <row r="159" customFormat="false" ht="15.75" hidden="false" customHeight="false" outlineLevel="0" collapsed="false">
      <c r="A159" s="19" t="n">
        <v>159</v>
      </c>
      <c r="D159" s="24" t="n">
        <v>-5</v>
      </c>
      <c r="E159" s="19" t="n">
        <f aca="false">IF(D159&lt;0,ROUNDDOWN(D159/2,0),ROUNDUP(D159/2,0))</f>
        <v>-2</v>
      </c>
    </row>
    <row r="160" customFormat="false" ht="15.75" hidden="false" customHeight="false" outlineLevel="0" collapsed="false">
      <c r="A160" s="19" t="n">
        <v>160</v>
      </c>
      <c r="D160" s="24" t="n">
        <v>-10</v>
      </c>
      <c r="E160" s="19" t="n">
        <f aca="false">IF(D160&lt;0,ROUNDDOWN(D160/2,0),ROUNDUP(D160/2,0))</f>
        <v>-5</v>
      </c>
    </row>
    <row r="161" customFormat="false" ht="15.75" hidden="false" customHeight="false" outlineLevel="0" collapsed="false">
      <c r="A161" s="19" t="n">
        <v>161</v>
      </c>
      <c r="D161" s="24"/>
      <c r="E161" s="19" t="n">
        <f aca="false">IF(D161&lt;0,ROUNDDOWN(D161/2,0),ROUNDUP(D161/2,0))</f>
        <v>0</v>
      </c>
    </row>
    <row r="162" customFormat="false" ht="15.75" hidden="false" customHeight="false" outlineLevel="0" collapsed="false">
      <c r="A162" s="19" t="n">
        <v>162</v>
      </c>
      <c r="D162" s="24" t="n">
        <v>3</v>
      </c>
      <c r="E162" s="19" t="n">
        <f aca="false">IF(D162&lt;0,ROUNDDOWN(D162/2,0),ROUNDUP(D162/2,0))</f>
        <v>2</v>
      </c>
    </row>
    <row r="163" customFormat="false" ht="15.75" hidden="false" customHeight="false" outlineLevel="0" collapsed="false">
      <c r="A163" s="19" t="n">
        <v>163</v>
      </c>
      <c r="D163" s="24" t="n">
        <v>5</v>
      </c>
      <c r="E163" s="19" t="n">
        <f aca="false">IF(D163&lt;0,ROUNDDOWN(D163/2,0),ROUNDUP(D163/2,0))</f>
        <v>3</v>
      </c>
    </row>
    <row r="164" customFormat="false" ht="15.75" hidden="false" customHeight="false" outlineLevel="0" collapsed="false">
      <c r="A164" s="19" t="n">
        <v>164</v>
      </c>
      <c r="D164" s="24" t="n">
        <v>2</v>
      </c>
      <c r="E164" s="19" t="n">
        <f aca="false">IF(D164&lt;0,ROUNDDOWN(D164/2,0),ROUNDUP(D164/2,0))</f>
        <v>1</v>
      </c>
    </row>
    <row r="165" customFormat="false" ht="15.75" hidden="false" customHeight="false" outlineLevel="0" collapsed="false">
      <c r="A165" s="19" t="n">
        <v>165</v>
      </c>
      <c r="D165" s="24" t="n">
        <v>-80</v>
      </c>
      <c r="E165" s="19" t="n">
        <f aca="false">IF(D165&lt;0,ROUNDDOWN(D165/2,0),ROUNDUP(D165/2,0))</f>
        <v>-40</v>
      </c>
    </row>
    <row r="166" customFormat="false" ht="15.75" hidden="false" customHeight="false" outlineLevel="0" collapsed="false">
      <c r="A166" s="19" t="n">
        <v>166</v>
      </c>
      <c r="D166" s="24" t="n">
        <v>1</v>
      </c>
      <c r="E166" s="19" t="n">
        <f aca="false">IF(D166&lt;0,ROUNDDOWN(D166/2,0),ROUNDUP(D166/2,0))</f>
        <v>1</v>
      </c>
    </row>
    <row r="167" customFormat="false" ht="15.75" hidden="false" customHeight="false" outlineLevel="0" collapsed="false">
      <c r="A167" s="19" t="n">
        <v>167</v>
      </c>
      <c r="D167" s="24" t="n">
        <v>3</v>
      </c>
      <c r="E167" s="19" t="n">
        <f aca="false">IF(D167&lt;0,ROUNDDOWN(D167/2,0),ROUNDUP(D167/2,0))</f>
        <v>2</v>
      </c>
    </row>
    <row r="168" customFormat="false" ht="15.75" hidden="false" customHeight="false" outlineLevel="0" collapsed="false">
      <c r="A168" s="19" t="n">
        <v>168</v>
      </c>
      <c r="D168" s="24"/>
      <c r="E168" s="19" t="n">
        <f aca="false">IF(D168&lt;0,ROUNDDOWN(D168/2,0),ROUNDUP(D168/2,0))</f>
        <v>0</v>
      </c>
    </row>
    <row r="169" customFormat="false" ht="15.75" hidden="false" customHeight="false" outlineLevel="0" collapsed="false">
      <c r="A169" s="19" t="n">
        <v>169</v>
      </c>
      <c r="D169" s="24" t="n">
        <v>3</v>
      </c>
      <c r="E169" s="19" t="n">
        <f aca="false">IF(D169&lt;0,ROUNDDOWN(D169/2,0),ROUNDUP(D169/2,0))</f>
        <v>2</v>
      </c>
    </row>
    <row r="170" customFormat="false" ht="15.75" hidden="false" customHeight="false" outlineLevel="0" collapsed="false">
      <c r="A170" s="19" t="n">
        <v>170</v>
      </c>
      <c r="D170" s="24" t="n">
        <v>-30</v>
      </c>
      <c r="E170" s="19" t="n">
        <f aca="false">IF(D170&lt;0,ROUNDDOWN(D170/2,0),ROUNDUP(D170/2,0))</f>
        <v>-15</v>
      </c>
    </row>
    <row r="171" customFormat="false" ht="15.75" hidden="false" customHeight="false" outlineLevel="0" collapsed="false">
      <c r="A171" s="19" t="n">
        <v>171</v>
      </c>
      <c r="D171" s="24" t="n">
        <v>6</v>
      </c>
      <c r="E171" s="19" t="n">
        <f aca="false">IF(D171&lt;0,ROUNDDOWN(D171/2,0),ROUNDUP(D171/2,0))</f>
        <v>3</v>
      </c>
    </row>
    <row r="172" customFormat="false" ht="15.75" hidden="false" customHeight="false" outlineLevel="0" collapsed="false">
      <c r="A172" s="19" t="n">
        <v>172</v>
      </c>
      <c r="D172" s="24" t="n">
        <v>5</v>
      </c>
      <c r="E172" s="19" t="n">
        <f aca="false">IF(D172&lt;0,ROUNDDOWN(D172/2,0),ROUNDUP(D172/2,0))</f>
        <v>3</v>
      </c>
    </row>
    <row r="173" customFormat="false" ht="15.75" hidden="false" customHeight="false" outlineLevel="0" collapsed="false">
      <c r="A173" s="19" t="n">
        <v>173</v>
      </c>
      <c r="D173" s="24" t="n">
        <v>4</v>
      </c>
      <c r="E173" s="19" t="n">
        <f aca="false">IF(D173&lt;0,ROUNDDOWN(D173/2,0),ROUNDUP(D173/2,0))</f>
        <v>2</v>
      </c>
    </row>
    <row r="174" customFormat="false" ht="15.75" hidden="false" customHeight="false" outlineLevel="0" collapsed="false">
      <c r="A174" s="19" t="n">
        <v>174</v>
      </c>
      <c r="D174" s="24" t="n">
        <v>4</v>
      </c>
      <c r="E174" s="19" t="n">
        <f aca="false">IF(D174&lt;0,ROUNDDOWN(D174/2,0),ROUNDUP(D174/2,0))</f>
        <v>2</v>
      </c>
    </row>
    <row r="175" customFormat="false" ht="15.75" hidden="false" customHeight="false" outlineLevel="0" collapsed="false">
      <c r="A175" s="19" t="n">
        <v>175</v>
      </c>
      <c r="D175" s="24" t="n">
        <v>-10</v>
      </c>
      <c r="E175" s="19" t="n">
        <f aca="false">IF(D175&lt;0,ROUNDDOWN(D175/2,0),ROUNDUP(D175/2,0))</f>
        <v>-5</v>
      </c>
    </row>
    <row r="176" customFormat="false" ht="15.75" hidden="false" customHeight="false" outlineLevel="0" collapsed="false">
      <c r="A176" s="19" t="n">
        <v>176</v>
      </c>
      <c r="D176" s="24" t="n">
        <f aca="false">3</f>
        <v>3</v>
      </c>
      <c r="E176" s="19" t="n">
        <f aca="false">IF(D176&lt;0,ROUNDDOWN(D176/2,0),ROUNDUP(D176/2,0))</f>
        <v>2</v>
      </c>
    </row>
    <row r="177" customFormat="false" ht="15.75" hidden="false" customHeight="false" outlineLevel="0" collapsed="false">
      <c r="A177" s="19" t="n">
        <v>177</v>
      </c>
      <c r="D177" s="24" t="n">
        <v>-80</v>
      </c>
      <c r="E177" s="19" t="n">
        <f aca="false">IF(D177&lt;0,ROUNDDOWN(D177/2,0),ROUNDUP(D177/2,0))</f>
        <v>-40</v>
      </c>
    </row>
    <row r="178" customFormat="false" ht="15.75" hidden="false" customHeight="false" outlineLevel="0" collapsed="false">
      <c r="A178" s="19" t="n">
        <v>178</v>
      </c>
      <c r="D178" s="24" t="n">
        <v>-10</v>
      </c>
      <c r="E178" s="19" t="n">
        <f aca="false">IF(D178&lt;0,ROUNDDOWN(D178/2,0),ROUNDUP(D178/2,0))</f>
        <v>-5</v>
      </c>
    </row>
    <row r="179" customFormat="false" ht="15.75" hidden="false" customHeight="false" outlineLevel="0" collapsed="false">
      <c r="A179" s="19" t="n">
        <v>179</v>
      </c>
      <c r="D179" s="24" t="n">
        <v>-10</v>
      </c>
      <c r="E179" s="19" t="n">
        <f aca="false">IF(D179&lt;0,ROUNDDOWN(D179/2,0),ROUNDUP(D179/2,0))</f>
        <v>-5</v>
      </c>
    </row>
    <row r="180" customFormat="false" ht="15.75" hidden="false" customHeight="false" outlineLevel="0" collapsed="false">
      <c r="A180" s="19" t="n">
        <v>180</v>
      </c>
      <c r="D180" s="24" t="n">
        <v>-20</v>
      </c>
      <c r="E180" s="19" t="n">
        <f aca="false">IF(D180&lt;0,ROUNDDOWN(D180/2,0),ROUNDUP(D180/2,0))</f>
        <v>-10</v>
      </c>
    </row>
    <row r="181" customFormat="false" ht="15.75" hidden="false" customHeight="false" outlineLevel="0" collapsed="false">
      <c r="A181" s="19" t="n">
        <v>181</v>
      </c>
      <c r="D181" s="24" t="n">
        <v>2</v>
      </c>
      <c r="E181" s="19" t="n">
        <f aca="false">IF(D181&lt;0,ROUNDDOWN(D181/2,0),ROUNDUP(D181/2,0))</f>
        <v>1</v>
      </c>
    </row>
    <row r="182" customFormat="false" ht="15.75" hidden="false" customHeight="false" outlineLevel="0" collapsed="false">
      <c r="A182" s="19" t="n">
        <v>182</v>
      </c>
      <c r="D182" s="24" t="n">
        <v>2</v>
      </c>
      <c r="E182" s="19" t="n">
        <f aca="false">IF(D182&lt;0,ROUNDDOWN(D182/2,0),ROUNDUP(D182/2,0))</f>
        <v>1</v>
      </c>
    </row>
    <row r="183" customFormat="false" ht="15.75" hidden="false" customHeight="false" outlineLevel="0" collapsed="false">
      <c r="A183" s="19" t="n">
        <v>183</v>
      </c>
      <c r="D183" s="24" t="n">
        <v>2</v>
      </c>
      <c r="E183" s="19" t="n">
        <f aca="false">IF(D183&lt;0,ROUNDDOWN(D183/2,0),ROUNDUP(D183/2,0))</f>
        <v>1</v>
      </c>
    </row>
    <row r="184" customFormat="false" ht="15.75" hidden="false" customHeight="false" outlineLevel="0" collapsed="false">
      <c r="A184" s="19" t="n">
        <v>184</v>
      </c>
      <c r="D184" s="24" t="n">
        <v>3</v>
      </c>
      <c r="E184" s="19" t="n">
        <f aca="false">IF(D184&lt;0,ROUNDDOWN(D184/2,0),ROUNDUP(D184/2,0))</f>
        <v>2</v>
      </c>
    </row>
    <row r="185" customFormat="false" ht="15.75" hidden="false" customHeight="false" outlineLevel="0" collapsed="false">
      <c r="A185" s="19" t="n">
        <v>185</v>
      </c>
      <c r="D185" s="24" t="n">
        <v>3</v>
      </c>
      <c r="E185" s="19" t="n">
        <f aca="false">IF(D185&lt;0,ROUNDDOWN(D185/2,0),ROUNDUP(D185/2,0))</f>
        <v>2</v>
      </c>
    </row>
    <row r="186" customFormat="false" ht="15.75" hidden="false" customHeight="false" outlineLevel="0" collapsed="false">
      <c r="A186" s="19" t="n">
        <v>186</v>
      </c>
      <c r="D186" s="24" t="n">
        <v>2</v>
      </c>
      <c r="E186" s="19" t="n">
        <f aca="false">IF(D186&lt;0,ROUNDDOWN(D186/2,0),ROUNDUP(D186/2,0))</f>
        <v>1</v>
      </c>
    </row>
    <row r="187" customFormat="false" ht="15.75" hidden="false" customHeight="false" outlineLevel="0" collapsed="false">
      <c r="A187" s="19" t="n">
        <v>187</v>
      </c>
      <c r="D187" s="24" t="n">
        <v>2</v>
      </c>
      <c r="E187" s="19" t="n">
        <f aca="false">IF(D187&lt;0,ROUNDDOWN(D187/2,0),ROUNDUP(D187/2,0))</f>
        <v>1</v>
      </c>
    </row>
    <row r="188" customFormat="false" ht="15.75" hidden="false" customHeight="false" outlineLevel="0" collapsed="false">
      <c r="A188" s="19" t="n">
        <v>188</v>
      </c>
      <c r="D188" s="24" t="n">
        <v>3</v>
      </c>
      <c r="E188" s="19" t="n">
        <f aca="false">IF(D188&lt;0,ROUNDDOWN(D188/2,0),ROUNDUP(D188/2,0))</f>
        <v>2</v>
      </c>
    </row>
    <row r="189" customFormat="false" ht="15.75" hidden="false" customHeight="false" outlineLevel="0" collapsed="false">
      <c r="A189" s="19" t="n">
        <v>189</v>
      </c>
      <c r="D189" s="24" t="n">
        <v>5</v>
      </c>
      <c r="E189" s="19" t="n">
        <f aca="false">IF(D189&lt;0,ROUNDDOWN(D189/2,0),ROUNDUP(D189/2,0))</f>
        <v>3</v>
      </c>
    </row>
    <row r="190" customFormat="false" ht="15.75" hidden="false" customHeight="false" outlineLevel="0" collapsed="false">
      <c r="A190" s="19" t="n">
        <v>190</v>
      </c>
      <c r="D190" s="24" t="n">
        <v>1</v>
      </c>
      <c r="E190" s="19" t="n">
        <f aca="false">IF(D190&lt;0,ROUNDDOWN(D190/2,0),ROUNDUP(D190/2,0))</f>
        <v>1</v>
      </c>
    </row>
    <row r="191" customFormat="false" ht="15.75" hidden="false" customHeight="false" outlineLevel="0" collapsed="false">
      <c r="A191" s="19" t="n">
        <v>191</v>
      </c>
      <c r="D191" s="24" t="n">
        <v>2</v>
      </c>
      <c r="E191" s="19" t="n">
        <f aca="false">IF(D191&lt;0,ROUNDDOWN(D191/2,0),ROUNDUP(D191/2,0))</f>
        <v>1</v>
      </c>
    </row>
    <row r="192" customFormat="false" ht="15.75" hidden="false" customHeight="false" outlineLevel="0" collapsed="false">
      <c r="A192" s="19" t="n">
        <v>192</v>
      </c>
      <c r="D192" s="24" t="n">
        <v>-5</v>
      </c>
      <c r="E192" s="19" t="n">
        <f aca="false">IF(D192&lt;0,ROUNDDOWN(D192/2,0),ROUNDUP(D192/2,0))</f>
        <v>-2</v>
      </c>
    </row>
    <row r="193" customFormat="false" ht="15.75" hidden="false" customHeight="false" outlineLevel="0" collapsed="false">
      <c r="A193" s="19" t="n">
        <v>193</v>
      </c>
      <c r="D193" s="24" t="n">
        <f aca="false">3</f>
        <v>3</v>
      </c>
      <c r="E193" s="19" t="n">
        <f aca="false">IF(D193&lt;0,ROUNDDOWN(D193/2,0),ROUNDUP(D193/2,0))</f>
        <v>2</v>
      </c>
    </row>
    <row r="194" customFormat="false" ht="15.75" hidden="false" customHeight="false" outlineLevel="0" collapsed="false">
      <c r="A194" s="19" t="n">
        <v>194</v>
      </c>
      <c r="D194" s="24" t="n">
        <v>-10</v>
      </c>
      <c r="E194" s="19" t="n">
        <f aca="false">IF(D194&lt;0,ROUNDDOWN(D194/2,0),ROUNDUP(D194/2,0))</f>
        <v>-5</v>
      </c>
    </row>
    <row r="195" customFormat="false" ht="15.75" hidden="false" customHeight="false" outlineLevel="0" collapsed="false">
      <c r="A195" s="19" t="n">
        <v>195</v>
      </c>
      <c r="D195" s="24" t="n">
        <v>-20</v>
      </c>
      <c r="E195" s="19" t="n">
        <f aca="false">IF(D195&lt;0,ROUNDDOWN(D195/2,0),ROUNDUP(D195/2,0))</f>
        <v>-10</v>
      </c>
    </row>
    <row r="196" customFormat="false" ht="15.75" hidden="false" customHeight="false" outlineLevel="0" collapsed="false">
      <c r="A196" s="19" t="n">
        <v>196</v>
      </c>
      <c r="D196" s="24" t="n">
        <v>-80</v>
      </c>
      <c r="E196" s="19" t="n">
        <f aca="false">IF(D196&lt;0,ROUNDDOWN(D196/2,0),ROUNDUP(D196/2,0))</f>
        <v>-40</v>
      </c>
    </row>
    <row r="197" customFormat="false" ht="15.75" hidden="false" customHeight="false" outlineLevel="0" collapsed="false">
      <c r="A197" s="19" t="n">
        <v>197</v>
      </c>
      <c r="D197" s="24" t="n">
        <v>-80</v>
      </c>
      <c r="E197" s="19" t="n">
        <f aca="false">IF(D197&lt;0,ROUNDDOWN(D197/2,0),ROUNDUP(D197/2,0))</f>
        <v>-40</v>
      </c>
    </row>
    <row r="198" customFormat="false" ht="15.75" hidden="false" customHeight="false" outlineLevel="0" collapsed="false">
      <c r="A198" s="19" t="n">
        <v>198</v>
      </c>
      <c r="D198" s="24" t="n">
        <v>-80</v>
      </c>
      <c r="E198" s="19" t="n">
        <f aca="false">IF(D198&lt;0,ROUNDDOWN(D198/2,0),ROUNDUP(D198/2,0))</f>
        <v>-40</v>
      </c>
    </row>
    <row r="199" customFormat="false" ht="15.75" hidden="false" customHeight="false" outlineLevel="0" collapsed="false">
      <c r="A199" s="19" t="n">
        <v>199</v>
      </c>
      <c r="D199" s="24" t="n">
        <v>-10</v>
      </c>
      <c r="E199" s="19" t="n">
        <f aca="false">IF(D199&lt;0,ROUNDDOWN(D199/2,0),ROUNDUP(D199/2,0))</f>
        <v>-5</v>
      </c>
    </row>
    <row r="200" customFormat="false" ht="15.75" hidden="false" customHeight="false" outlineLevel="0" collapsed="false">
      <c r="A200" s="19" t="n">
        <v>200</v>
      </c>
      <c r="D200" s="24" t="n">
        <v>-5</v>
      </c>
      <c r="E200" s="19" t="n">
        <f aca="false">IF(D200&lt;0,ROUNDDOWN(D200/2,0),ROUNDUP(D200/2,0))</f>
        <v>-2</v>
      </c>
    </row>
    <row r="201" customFormat="false" ht="15.75" hidden="false" customHeight="false" outlineLevel="0" collapsed="false">
      <c r="A201" s="19" t="n">
        <v>201</v>
      </c>
      <c r="D201" s="24" t="n">
        <v>-10</v>
      </c>
      <c r="E201" s="19" t="n">
        <f aca="false">IF(D201&lt;0,ROUNDDOWN(D201/2,0),ROUNDUP(D201/2,0))</f>
        <v>-5</v>
      </c>
    </row>
    <row r="202" customFormat="false" ht="15.75" hidden="false" customHeight="false" outlineLevel="0" collapsed="false">
      <c r="A202" s="19" t="n">
        <v>202</v>
      </c>
      <c r="D202" s="24" t="n">
        <v>-5</v>
      </c>
      <c r="E202" s="19" t="n">
        <f aca="false">IF(D202&lt;0,ROUNDDOWN(D202/2,0),ROUNDUP(D202/2,0))</f>
        <v>-2</v>
      </c>
    </row>
    <row r="203" customFormat="false" ht="15.75" hidden="false" customHeight="false" outlineLevel="0" collapsed="false">
      <c r="A203" s="19" t="n">
        <v>203</v>
      </c>
      <c r="D203" s="24" t="n">
        <v>-30</v>
      </c>
      <c r="E203" s="19" t="n">
        <f aca="false">IF(D203&lt;0,ROUNDDOWN(D203/2,0),ROUNDUP(D203/2,0))</f>
        <v>-15</v>
      </c>
    </row>
    <row r="204" customFormat="false" ht="15.75" hidden="false" customHeight="false" outlineLevel="0" collapsed="false">
      <c r="A204" s="19" t="n">
        <v>204</v>
      </c>
      <c r="D204" s="24" t="n">
        <v>-30</v>
      </c>
      <c r="E204" s="19" t="n">
        <f aca="false">IF(D204&lt;0,ROUNDDOWN(D204/2,0),ROUNDUP(D204/2,0))</f>
        <v>-15</v>
      </c>
    </row>
    <row r="205" customFormat="false" ht="15.75" hidden="false" customHeight="false" outlineLevel="0" collapsed="false">
      <c r="A205" s="19" t="n">
        <v>205</v>
      </c>
      <c r="D205" s="24" t="n">
        <v>2</v>
      </c>
      <c r="E205" s="19" t="n">
        <f aca="false">IF(D205&lt;0,ROUNDDOWN(D205/2,0),ROUNDUP(D205/2,0))</f>
        <v>1</v>
      </c>
    </row>
    <row r="206" customFormat="false" ht="15.75" hidden="false" customHeight="false" outlineLevel="0" collapsed="false">
      <c r="A206" s="19" t="n">
        <v>206</v>
      </c>
      <c r="D206" s="24" t="n">
        <v>-30</v>
      </c>
      <c r="E206" s="19" t="n">
        <f aca="false">IF(D206&lt;0,ROUNDDOWN(D206/2,0),ROUNDUP(D206/2,0))</f>
        <v>-15</v>
      </c>
    </row>
    <row r="207" customFormat="false" ht="15.75" hidden="false" customHeight="false" outlineLevel="0" collapsed="false">
      <c r="A207" s="19" t="n">
        <v>207</v>
      </c>
      <c r="D207" s="24" t="n">
        <f aca="false">4</f>
        <v>4</v>
      </c>
      <c r="E207" s="19" t="n">
        <f aca="false">IF(D207&lt;0,ROUNDDOWN(D207/2,0),ROUNDUP(D207/2,0))</f>
        <v>2</v>
      </c>
    </row>
    <row r="208" customFormat="false" ht="15.75" hidden="false" customHeight="false" outlineLevel="0" collapsed="false">
      <c r="A208" s="19" t="n">
        <v>208</v>
      </c>
      <c r="D208" s="24" t="n">
        <v>-10</v>
      </c>
      <c r="E208" s="19" t="n">
        <f aca="false">IF(D208&lt;0,ROUNDDOWN(D208/2,0),ROUNDUP(D208/2,0))</f>
        <v>-5</v>
      </c>
    </row>
    <row r="209" customFormat="false" ht="15.75" hidden="false" customHeight="false" outlineLevel="0" collapsed="false">
      <c r="A209" s="19" t="n">
        <v>209</v>
      </c>
      <c r="D209" s="24" t="n">
        <v>-20</v>
      </c>
      <c r="E209" s="19" t="n">
        <f aca="false">IF(D209&lt;0,ROUNDDOWN(D209/2,0),ROUNDUP(D209/2,0))</f>
        <v>-10</v>
      </c>
    </row>
    <row r="210" customFormat="false" ht="15.75" hidden="false" customHeight="false" outlineLevel="0" collapsed="false">
      <c r="A210" s="19" t="n">
        <v>210</v>
      </c>
      <c r="D210" s="24" t="n">
        <f aca="false">4</f>
        <v>4</v>
      </c>
      <c r="E210" s="19" t="n">
        <f aca="false">IF(D210&lt;0,ROUNDDOWN(D210/2,0),ROUNDUP(D210/2,0))</f>
        <v>2</v>
      </c>
    </row>
    <row r="211" customFormat="false" ht="15.75" hidden="false" customHeight="false" outlineLevel="0" collapsed="false">
      <c r="A211" s="19" t="n">
        <v>211</v>
      </c>
      <c r="D211" s="24" t="n">
        <f aca="false">5</f>
        <v>5</v>
      </c>
      <c r="E211" s="19" t="n">
        <f aca="false">IF(D211&lt;0,ROUNDDOWN(D211/2,0),ROUNDUP(D211/2,0))</f>
        <v>3</v>
      </c>
    </row>
    <row r="212" customFormat="false" ht="15.75" hidden="false" customHeight="false" outlineLevel="0" collapsed="false">
      <c r="A212" s="19" t="n">
        <v>212</v>
      </c>
      <c r="D212" s="24" t="n">
        <v>2</v>
      </c>
      <c r="E212" s="19" t="n">
        <f aca="false">IF(D212&lt;0,ROUNDDOWN(D212/2,0),ROUNDUP(D212/2,0))</f>
        <v>1</v>
      </c>
    </row>
    <row r="213" customFormat="false" ht="15.75" hidden="false" customHeight="false" outlineLevel="0" collapsed="false">
      <c r="A213" s="19" t="n">
        <v>213</v>
      </c>
      <c r="D213" s="24" t="n">
        <v>2</v>
      </c>
      <c r="E213" s="19" t="n">
        <f aca="false">IF(D213&lt;0,ROUNDDOWN(D213/2,0),ROUNDUP(D213/2,0))</f>
        <v>1</v>
      </c>
    </row>
    <row r="214" customFormat="false" ht="15.75" hidden="false" customHeight="false" outlineLevel="0" collapsed="false">
      <c r="A214" s="19" t="n">
        <v>214</v>
      </c>
      <c r="D214" s="24" t="n">
        <v>1</v>
      </c>
      <c r="E214" s="19" t="n">
        <f aca="false">IF(D214&lt;0,ROUNDDOWN(D214/2,0),ROUNDUP(D214/2,0))</f>
        <v>1</v>
      </c>
    </row>
    <row r="215" customFormat="false" ht="15.75" hidden="false" customHeight="false" outlineLevel="0" collapsed="false">
      <c r="A215" s="19" t="n">
        <v>215</v>
      </c>
      <c r="D215" s="24" t="n">
        <v>1</v>
      </c>
      <c r="E215" s="19" t="n">
        <f aca="false">IF(D215&lt;0,ROUNDDOWN(D215/2,0),ROUNDUP(D215/2,0))</f>
        <v>1</v>
      </c>
    </row>
    <row r="216" customFormat="false" ht="15.75" hidden="false" customHeight="false" outlineLevel="0" collapsed="false">
      <c r="A216" s="19" t="n">
        <v>216</v>
      </c>
      <c r="D216" s="24" t="n">
        <v>1</v>
      </c>
      <c r="E216" s="19" t="n">
        <f aca="false">IF(D216&lt;0,ROUNDDOWN(D216/2,0),ROUNDUP(D216/2,0))</f>
        <v>1</v>
      </c>
    </row>
    <row r="217" customFormat="false" ht="15.75" hidden="false" customHeight="false" outlineLevel="0" collapsed="false">
      <c r="A217" s="19" t="n">
        <v>217</v>
      </c>
      <c r="D217" s="24" t="n">
        <v>5</v>
      </c>
      <c r="E217" s="19" t="n">
        <f aca="false">IF(D217&lt;0,ROUNDDOWN(D217/2,0),ROUNDUP(D217/2,0))</f>
        <v>3</v>
      </c>
    </row>
    <row r="218" customFormat="false" ht="15.75" hidden="false" customHeight="false" outlineLevel="0" collapsed="false">
      <c r="A218" s="19" t="n">
        <v>218</v>
      </c>
      <c r="D218" s="24"/>
      <c r="E218" s="19" t="n">
        <f aca="false">IF(D218&lt;0,ROUNDDOWN(D218/2,0),ROUNDUP(D218/2,0))</f>
        <v>0</v>
      </c>
    </row>
    <row r="219" customFormat="false" ht="15.75" hidden="false" customHeight="false" outlineLevel="0" collapsed="false">
      <c r="A219" s="19" t="n">
        <v>219</v>
      </c>
      <c r="D219" s="24" t="n">
        <v>-15</v>
      </c>
      <c r="E219" s="19" t="n">
        <f aca="false">IF(D219&lt;0,ROUNDDOWN(D219/2,0),ROUNDUP(D219/2,0))</f>
        <v>-7</v>
      </c>
    </row>
    <row r="220" customFormat="false" ht="15.75" hidden="false" customHeight="false" outlineLevel="0" collapsed="false">
      <c r="A220" s="19" t="n">
        <v>220</v>
      </c>
      <c r="D220" s="24" t="n">
        <v>5</v>
      </c>
      <c r="E220" s="19" t="n">
        <f aca="false">IF(D220&lt;0,ROUNDDOWN(D220/2,0),ROUNDUP(D220/2,0))</f>
        <v>3</v>
      </c>
    </row>
    <row r="221" customFormat="false" ht="15.75" hidden="false" customHeight="false" outlineLevel="0" collapsed="false">
      <c r="A221" s="19" t="n">
        <v>221</v>
      </c>
      <c r="D221" s="24" t="n">
        <v>-10</v>
      </c>
      <c r="E221" s="19" t="n">
        <f aca="false">IF(D221&lt;0,ROUNDDOWN(D221/2,0),ROUNDUP(D221/2,0))</f>
        <v>-5</v>
      </c>
    </row>
    <row r="222" customFormat="false" ht="15.75" hidden="false" customHeight="false" outlineLevel="0" collapsed="false">
      <c r="A222" s="19" t="n">
        <v>222</v>
      </c>
      <c r="D222" s="24" t="n">
        <v>3</v>
      </c>
      <c r="E222" s="19" t="n">
        <f aca="false">IF(D222&lt;0,ROUNDDOWN(D222/2,0),ROUNDUP(D222/2,0))</f>
        <v>2</v>
      </c>
    </row>
    <row r="223" customFormat="false" ht="15.75" hidden="false" customHeight="false" outlineLevel="0" collapsed="false">
      <c r="A223" s="19" t="n">
        <v>223</v>
      </c>
      <c r="D223" s="24" t="n">
        <v>5</v>
      </c>
      <c r="E223" s="19" t="n">
        <f aca="false">IF(D223&lt;0,ROUNDDOWN(D223/2,0),ROUNDUP(D223/2,0))</f>
        <v>3</v>
      </c>
    </row>
    <row r="224" customFormat="false" ht="15.75" hidden="false" customHeight="false" outlineLevel="0" collapsed="false">
      <c r="A224" s="19" t="n">
        <v>224</v>
      </c>
      <c r="D224" s="24" t="n">
        <v>5</v>
      </c>
      <c r="E224" s="19" t="n">
        <f aca="false">IF(D224&lt;0,ROUNDDOWN(D224/2,0),ROUNDUP(D224/2,0))</f>
        <v>3</v>
      </c>
    </row>
    <row r="225" customFormat="false" ht="15.75" hidden="false" customHeight="false" outlineLevel="0" collapsed="false">
      <c r="A225" s="19" t="n">
        <v>225</v>
      </c>
      <c r="D225" s="24" t="n">
        <f aca="false">4</f>
        <v>4</v>
      </c>
      <c r="E225" s="19" t="n">
        <f aca="false">IF(D225&lt;0,ROUNDDOWN(D225/2,0),ROUNDUP(D225/2,0))</f>
        <v>2</v>
      </c>
    </row>
    <row r="226" customFormat="false" ht="15.75" hidden="false" customHeight="false" outlineLevel="0" collapsed="false">
      <c r="A226" s="19" t="n">
        <v>226</v>
      </c>
      <c r="D226" s="24" t="n">
        <f aca="false">4</f>
        <v>4</v>
      </c>
      <c r="E226" s="19" t="n">
        <f aca="false">IF(D226&lt;0,ROUNDDOWN(D226/2,0),ROUNDUP(D226/2,0))</f>
        <v>2</v>
      </c>
    </row>
    <row r="227" customFormat="false" ht="15.75" hidden="false" customHeight="false" outlineLevel="0" collapsed="false">
      <c r="A227" s="19" t="n">
        <v>227</v>
      </c>
      <c r="D227" s="24" t="n">
        <f aca="false">4</f>
        <v>4</v>
      </c>
      <c r="E227" s="19" t="n">
        <f aca="false">IF(D227&lt;0,ROUNDDOWN(D227/2,0),ROUNDUP(D227/2,0))</f>
        <v>2</v>
      </c>
    </row>
    <row r="228" customFormat="false" ht="15.75" hidden="false" customHeight="false" outlineLevel="0" collapsed="false">
      <c r="A228" s="19" t="n">
        <v>228</v>
      </c>
      <c r="D228" s="24" t="n">
        <f aca="false">3</f>
        <v>3</v>
      </c>
      <c r="E228" s="19" t="n">
        <f aca="false">IF(D228&lt;0,ROUNDDOWN(D228/2,0),ROUNDUP(D228/2,0))</f>
        <v>2</v>
      </c>
    </row>
    <row r="229" customFormat="false" ht="15.75" hidden="false" customHeight="false" outlineLevel="0" collapsed="false">
      <c r="A229" s="19" t="n">
        <v>229</v>
      </c>
      <c r="D229" s="24" t="n">
        <v>2</v>
      </c>
      <c r="E229" s="19" t="n">
        <f aca="false">IF(D229&lt;0,ROUNDDOWN(D229/2,0),ROUNDUP(D229/2,0))</f>
        <v>1</v>
      </c>
    </row>
    <row r="230" customFormat="false" ht="15.75" hidden="false" customHeight="false" outlineLevel="0" collapsed="false">
      <c r="A230" s="19" t="n">
        <v>230</v>
      </c>
      <c r="D230" s="24" t="n">
        <v>4</v>
      </c>
      <c r="E230" s="19" t="n">
        <f aca="false">IF(D230&lt;0,ROUNDDOWN(D230/2,0),ROUNDUP(D230/2,0))</f>
        <v>2</v>
      </c>
    </row>
    <row r="231" customFormat="false" ht="15.75" hidden="false" customHeight="false" outlineLevel="0" collapsed="false">
      <c r="A231" s="19" t="n">
        <v>231</v>
      </c>
      <c r="D231" s="24" t="n">
        <v>2</v>
      </c>
      <c r="E231" s="19" t="n">
        <f aca="false">IF(D231&lt;0,ROUNDDOWN(D231/2,0),ROUNDUP(D231/2,0))</f>
        <v>1</v>
      </c>
    </row>
    <row r="232" customFormat="false" ht="15.75" hidden="false" customHeight="false" outlineLevel="0" collapsed="false">
      <c r="A232" s="19" t="n">
        <v>232</v>
      </c>
      <c r="D232" s="24" t="n">
        <v>2</v>
      </c>
      <c r="E232" s="19" t="n">
        <f aca="false">IF(D232&lt;0,ROUNDDOWN(D232/2,0),ROUNDUP(D232/2,0))</f>
        <v>1</v>
      </c>
    </row>
    <row r="233" customFormat="false" ht="15.75" hidden="false" customHeight="false" outlineLevel="0" collapsed="false">
      <c r="A233" s="19" t="n">
        <v>233</v>
      </c>
      <c r="D233" s="24" t="n">
        <v>-2</v>
      </c>
      <c r="E233" s="19" t="n">
        <f aca="false">IF(D233&lt;0,ROUNDDOWN(D233/2,0),ROUNDUP(D233/2,0))</f>
        <v>-1</v>
      </c>
    </row>
    <row r="234" customFormat="false" ht="15.75" hidden="false" customHeight="false" outlineLevel="0" collapsed="false">
      <c r="A234" s="19" t="n">
        <v>234</v>
      </c>
      <c r="D234" s="24" t="n">
        <v>1</v>
      </c>
      <c r="E234" s="19" t="n">
        <f aca="false">IF(D234&lt;0,ROUNDDOWN(D234/2,0),ROUNDUP(D234/2,0))</f>
        <v>1</v>
      </c>
    </row>
    <row r="235" customFormat="false" ht="15.75" hidden="false" customHeight="false" outlineLevel="0" collapsed="false">
      <c r="A235" s="19" t="n">
        <v>235</v>
      </c>
      <c r="D235" s="24" t="n">
        <v>2</v>
      </c>
      <c r="E235" s="19" t="n">
        <f aca="false">IF(D235&lt;0,ROUNDDOWN(D235/2,0),ROUNDUP(D235/2,0))</f>
        <v>1</v>
      </c>
    </row>
    <row r="236" customFormat="false" ht="15.75" hidden="false" customHeight="false" outlineLevel="0" collapsed="false">
      <c r="A236" s="19" t="n">
        <v>236</v>
      </c>
      <c r="D236" s="24" t="n">
        <v>1</v>
      </c>
      <c r="E236" s="19" t="n">
        <f aca="false">IF(D236&lt;0,ROUNDDOWN(D236/2,0),ROUNDUP(D236/2,0))</f>
        <v>1</v>
      </c>
    </row>
    <row r="237" customFormat="false" ht="15.75" hidden="false" customHeight="false" outlineLevel="0" collapsed="false">
      <c r="A237" s="19" t="n">
        <v>237</v>
      </c>
      <c r="D237" s="24" t="n">
        <v>1</v>
      </c>
      <c r="E237" s="19" t="n">
        <f aca="false">IF(D237&lt;0,ROUNDDOWN(D237/2,0),ROUNDUP(D237/2,0))</f>
        <v>1</v>
      </c>
    </row>
    <row r="238" customFormat="false" ht="15.75" hidden="false" customHeight="false" outlineLevel="0" collapsed="false">
      <c r="A238" s="19" t="n">
        <v>238</v>
      </c>
      <c r="D238" s="24" t="n">
        <v>-15</v>
      </c>
      <c r="E238" s="19" t="n">
        <f aca="false">IF(D238&lt;0,ROUNDDOWN(D238/2,0),ROUNDUP(D238/2,0))</f>
        <v>-7</v>
      </c>
    </row>
    <row r="239" customFormat="false" ht="15.75" hidden="false" customHeight="false" outlineLevel="0" collapsed="false">
      <c r="A239" s="19" t="n">
        <v>239</v>
      </c>
      <c r="D239" s="24" t="n">
        <v>0</v>
      </c>
      <c r="E239" s="19" t="n">
        <f aca="false">IF(D239&lt;0,ROUNDDOWN(D239/2,0),ROUNDUP(D239/2,0))</f>
        <v>0</v>
      </c>
    </row>
    <row r="240" customFormat="false" ht="15.75" hidden="false" customHeight="false" outlineLevel="0" collapsed="false">
      <c r="A240" s="19" t="n">
        <v>240</v>
      </c>
      <c r="D240" s="24" t="n">
        <v>0</v>
      </c>
      <c r="E240" s="19" t="n">
        <f aca="false">IF(D240&lt;0,ROUNDDOWN(D240/2,0),ROUNDUP(D240/2,0))</f>
        <v>0</v>
      </c>
    </row>
    <row r="241" customFormat="false" ht="15.75" hidden="false" customHeight="false" outlineLevel="0" collapsed="false">
      <c r="A241" s="19" t="n">
        <v>241</v>
      </c>
      <c r="D241" s="24" t="n">
        <v>0</v>
      </c>
      <c r="E241" s="19" t="n">
        <f aca="false">IF(D241&lt;0,ROUNDDOWN(D241/2,0),ROUNDUP(D241/2,0))</f>
        <v>0</v>
      </c>
    </row>
    <row r="242" customFormat="false" ht="15.75" hidden="false" customHeight="false" outlineLevel="0" collapsed="false">
      <c r="A242" s="19" t="n">
        <v>242</v>
      </c>
      <c r="D242" s="24" t="n">
        <v>0</v>
      </c>
      <c r="E242" s="19" t="n">
        <f aca="false">IF(D242&lt;0,ROUNDDOWN(D242/2,0),ROUNDUP(D242/2,0))</f>
        <v>0</v>
      </c>
    </row>
    <row r="243" customFormat="false" ht="15.75" hidden="false" customHeight="false" outlineLevel="0" collapsed="false">
      <c r="A243" s="19" t="n">
        <v>243</v>
      </c>
    </row>
    <row r="244" customFormat="false" ht="15.75" hidden="false" customHeight="false" outlineLevel="0" collapsed="false">
      <c r="A244" s="19" t="n">
        <v>244</v>
      </c>
    </row>
    <row r="245" customFormat="false" ht="15.75" hidden="false" customHeight="false" outlineLevel="0" collapsed="false">
      <c r="A245" s="19" t="n">
        <v>245</v>
      </c>
    </row>
    <row r="246" customFormat="false" ht="15.75" hidden="false" customHeight="false" outlineLevel="0" collapsed="false">
      <c r="A246" s="19" t="n">
        <v>246</v>
      </c>
    </row>
    <row r="247" customFormat="false" ht="15.75" hidden="false" customHeight="false" outlineLevel="0" collapsed="false">
      <c r="A247" s="19" t="n">
        <v>247</v>
      </c>
    </row>
    <row r="248" customFormat="false" ht="15.75" hidden="false" customHeight="false" outlineLevel="0" collapsed="false">
      <c r="A248" s="19" t="n">
        <v>248</v>
      </c>
    </row>
    <row r="249" customFormat="false" ht="15.75" hidden="false" customHeight="false" outlineLevel="0" collapsed="false">
      <c r="A249" s="19" t="n">
        <v>249</v>
      </c>
    </row>
    <row r="250" customFormat="false" ht="15.75" hidden="false" customHeight="false" outlineLevel="0" collapsed="false">
      <c r="A250" s="19" t="n">
        <v>250</v>
      </c>
    </row>
    <row r="251" customFormat="false" ht="15.75" hidden="false" customHeight="false" outlineLevel="0" collapsed="false">
      <c r="A251" s="19" t="n">
        <v>251</v>
      </c>
    </row>
    <row r="252" customFormat="false" ht="15.75" hidden="false" customHeight="false" outlineLevel="0" collapsed="false">
      <c r="A252" s="19" t="n">
        <v>252</v>
      </c>
    </row>
    <row r="253" customFormat="false" ht="15.75" hidden="false" customHeight="false" outlineLevel="0" collapsed="false">
      <c r="A253" s="19" t="n">
        <v>253</v>
      </c>
    </row>
    <row r="254" customFormat="false" ht="15.75" hidden="false" customHeight="false" outlineLevel="0" collapsed="false">
      <c r="A254" s="19" t="n">
        <v>254</v>
      </c>
    </row>
    <row r="255" customFormat="false" ht="15.75" hidden="false" customHeight="false" outlineLevel="0" collapsed="false">
      <c r="A255" s="19" t="n">
        <v>255</v>
      </c>
    </row>
    <row r="256" customFormat="false" ht="15.75" hidden="false" customHeight="false" outlineLevel="0" collapsed="false">
      <c r="A256" s="19" t="n">
        <v>256</v>
      </c>
    </row>
    <row r="257" customFormat="false" ht="15.75" hidden="false" customHeight="false" outlineLevel="0" collapsed="false">
      <c r="A257" s="19" t="n">
        <v>257</v>
      </c>
    </row>
    <row r="258" customFormat="false" ht="15.75" hidden="false" customHeight="false" outlineLevel="0" collapsed="false">
      <c r="A258" s="19" t="n">
        <v>258</v>
      </c>
    </row>
    <row r="259" customFormat="false" ht="15.75" hidden="false" customHeight="false" outlineLevel="0" collapsed="false">
      <c r="A259" s="19" t="n">
        <v>259</v>
      </c>
    </row>
    <row r="260" customFormat="false" ht="15.75" hidden="false" customHeight="false" outlineLevel="0" collapsed="false">
      <c r="A260" s="19" t="n">
        <v>260</v>
      </c>
    </row>
    <row r="261" customFormat="false" ht="15.75" hidden="false" customHeight="false" outlineLevel="0" collapsed="false">
      <c r="A261" s="19" t="n">
        <v>261</v>
      </c>
    </row>
    <row r="262" customFormat="false" ht="15.75" hidden="false" customHeight="false" outlineLevel="0" collapsed="false">
      <c r="A262" s="19" t="n">
        <v>262</v>
      </c>
    </row>
    <row r="263" customFormat="false" ht="15.75" hidden="false" customHeight="false" outlineLevel="0" collapsed="false">
      <c r="A263" s="19" t="n">
        <v>263</v>
      </c>
    </row>
    <row r="264" customFormat="false" ht="15.75" hidden="false" customHeight="false" outlineLevel="0" collapsed="false">
      <c r="A264" s="19" t="n">
        <v>264</v>
      </c>
    </row>
    <row r="265" customFormat="false" ht="15.75" hidden="false" customHeight="false" outlineLevel="0" collapsed="false">
      <c r="A265" s="19" t="n">
        <v>265</v>
      </c>
    </row>
    <row r="266" customFormat="false" ht="15.75" hidden="false" customHeight="false" outlineLevel="0" collapsed="false">
      <c r="A266" s="19" t="n">
        <v>266</v>
      </c>
    </row>
    <row r="267" customFormat="false" ht="15.75" hidden="false" customHeight="false" outlineLevel="0" collapsed="false">
      <c r="A267" s="19" t="n">
        <v>267</v>
      </c>
    </row>
    <row r="268" customFormat="false" ht="15.75" hidden="false" customHeight="false" outlineLevel="0" collapsed="false">
      <c r="A268" s="19" t="n">
        <v>268</v>
      </c>
    </row>
    <row r="269" customFormat="false" ht="15.75" hidden="false" customHeight="false" outlineLevel="0" collapsed="false">
      <c r="A269" s="19" t="n">
        <v>269</v>
      </c>
    </row>
    <row r="270" customFormat="false" ht="15.75" hidden="false" customHeight="false" outlineLevel="0" collapsed="false">
      <c r="A270" s="19" t="n">
        <v>270</v>
      </c>
    </row>
    <row r="271" customFormat="false" ht="15.75" hidden="false" customHeight="false" outlineLevel="0" collapsed="false">
      <c r="A271" s="19" t="n">
        <v>271</v>
      </c>
    </row>
    <row r="272" customFormat="false" ht="15.75" hidden="false" customHeight="false" outlineLevel="0" collapsed="false">
      <c r="A272" s="19" t="n">
        <v>272</v>
      </c>
    </row>
    <row r="273" customFormat="false" ht="15.75" hidden="false" customHeight="false" outlineLevel="0" collapsed="false">
      <c r="A273" s="19" t="n">
        <v>273</v>
      </c>
    </row>
    <row r="274" customFormat="false" ht="15.75" hidden="false" customHeight="false" outlineLevel="0" collapsed="false">
      <c r="A274" s="19" t="n">
        <v>274</v>
      </c>
    </row>
    <row r="275" customFormat="false" ht="15.75" hidden="false" customHeight="false" outlineLevel="0" collapsed="false">
      <c r="A275" s="19" t="n">
        <v>275</v>
      </c>
    </row>
    <row r="276" customFormat="false" ht="15.75" hidden="false" customHeight="false" outlineLevel="0" collapsed="false">
      <c r="A276" s="19" t="n">
        <v>276</v>
      </c>
    </row>
    <row r="277" customFormat="false" ht="15.75" hidden="false" customHeight="false" outlineLevel="0" collapsed="false">
      <c r="A277" s="19" t="n">
        <v>277</v>
      </c>
    </row>
    <row r="278" customFormat="false" ht="15.75" hidden="false" customHeight="false" outlineLevel="0" collapsed="false">
      <c r="A278" s="19" t="n">
        <v>278</v>
      </c>
    </row>
    <row r="279" customFormat="false" ht="15.75" hidden="false" customHeight="false" outlineLevel="0" collapsed="false">
      <c r="A279" s="19" t="n">
        <v>279</v>
      </c>
    </row>
    <row r="280" customFormat="false" ht="15.75" hidden="false" customHeight="false" outlineLevel="0" collapsed="false">
      <c r="A280" s="19" t="n">
        <v>280</v>
      </c>
    </row>
    <row r="281" customFormat="false" ht="15.75" hidden="false" customHeight="false" outlineLevel="0" collapsed="false">
      <c r="A281" s="19" t="n">
        <v>281</v>
      </c>
    </row>
    <row r="282" customFormat="false" ht="15.75" hidden="false" customHeight="false" outlineLevel="0" collapsed="false">
      <c r="A282" s="19" t="n">
        <v>282</v>
      </c>
    </row>
    <row r="283" customFormat="false" ht="15.75" hidden="false" customHeight="false" outlineLevel="0" collapsed="false">
      <c r="A283" s="19" t="n">
        <v>283</v>
      </c>
    </row>
    <row r="284" customFormat="false" ht="15.75" hidden="false" customHeight="false" outlineLevel="0" collapsed="false">
      <c r="A284" s="19" t="n">
        <v>284</v>
      </c>
    </row>
    <row r="285" customFormat="false" ht="15.75" hidden="false" customHeight="false" outlineLevel="0" collapsed="false">
      <c r="A285" s="19" t="n">
        <v>285</v>
      </c>
    </row>
    <row r="286" customFormat="false" ht="15.75" hidden="false" customHeight="false" outlineLevel="0" collapsed="false">
      <c r="A286" s="19" t="n">
        <v>286</v>
      </c>
    </row>
    <row r="287" customFormat="false" ht="15.75" hidden="false" customHeight="false" outlineLevel="0" collapsed="false">
      <c r="A287" s="19" t="n">
        <v>287</v>
      </c>
    </row>
    <row r="288" customFormat="false" ht="15.75" hidden="false" customHeight="false" outlineLevel="0" collapsed="false">
      <c r="A288" s="19" t="n">
        <v>288</v>
      </c>
    </row>
    <row r="289" customFormat="false" ht="15.75" hidden="false" customHeight="false" outlineLevel="0" collapsed="false">
      <c r="A289" s="19" t="n">
        <v>289</v>
      </c>
    </row>
    <row r="290" customFormat="false" ht="15.75" hidden="false" customHeight="false" outlineLevel="0" collapsed="false">
      <c r="A290" s="19" t="n">
        <v>290</v>
      </c>
    </row>
    <row r="291" customFormat="false" ht="15.75" hidden="false" customHeight="false" outlineLevel="0" collapsed="false">
      <c r="A291" s="19" t="n">
        <v>291</v>
      </c>
    </row>
    <row r="292" customFormat="false" ht="15.75" hidden="false" customHeight="false" outlineLevel="0" collapsed="false">
      <c r="A292" s="19" t="n">
        <v>292</v>
      </c>
    </row>
    <row r="293" customFormat="false" ht="15.75" hidden="false" customHeight="false" outlineLevel="0" collapsed="false">
      <c r="A293" s="19" t="n">
        <v>293</v>
      </c>
    </row>
    <row r="294" customFormat="false" ht="15.75" hidden="false" customHeight="false" outlineLevel="0" collapsed="false">
      <c r="A294" s="19" t="n">
        <v>294</v>
      </c>
    </row>
    <row r="295" customFormat="false" ht="15.75" hidden="false" customHeight="false" outlineLevel="0" collapsed="false">
      <c r="A295" s="19" t="n">
        <v>295</v>
      </c>
    </row>
    <row r="296" customFormat="false" ht="15.75" hidden="false" customHeight="false" outlineLevel="0" collapsed="false">
      <c r="A296" s="19" t="n">
        <v>296</v>
      </c>
    </row>
    <row r="297" customFormat="false" ht="15.75" hidden="false" customHeight="false" outlineLevel="0" collapsed="false">
      <c r="A297" s="19" t="n">
        <v>297</v>
      </c>
    </row>
    <row r="298" customFormat="false" ht="15.75" hidden="false" customHeight="false" outlineLevel="0" collapsed="false">
      <c r="A298" s="19" t="n">
        <v>298</v>
      </c>
    </row>
    <row r="299" customFormat="false" ht="15.75" hidden="false" customHeight="false" outlineLevel="0" collapsed="false">
      <c r="A299" s="19" t="n">
        <v>299</v>
      </c>
    </row>
    <row r="300" customFormat="false" ht="15.75" hidden="false" customHeight="false" outlineLevel="0" collapsed="false">
      <c r="A300" s="19" t="n">
        <v>300</v>
      </c>
    </row>
    <row r="301" customFormat="false" ht="15.75" hidden="false" customHeight="false" outlineLevel="0" collapsed="false">
      <c r="A301" s="19" t="n">
        <v>301</v>
      </c>
    </row>
    <row r="302" customFormat="false" ht="15.75" hidden="false" customHeight="false" outlineLevel="0" collapsed="false">
      <c r="A302" s="19" t="n">
        <v>302</v>
      </c>
    </row>
    <row r="303" customFormat="false" ht="15.75" hidden="false" customHeight="false" outlineLevel="0" collapsed="false">
      <c r="A303" s="19" t="n">
        <v>303</v>
      </c>
    </row>
    <row r="304" customFormat="false" ht="15.75" hidden="false" customHeight="false" outlineLevel="0" collapsed="false">
      <c r="A304" s="19" t="n">
        <v>304</v>
      </c>
    </row>
    <row r="305" customFormat="false" ht="15.75" hidden="false" customHeight="false" outlineLevel="0" collapsed="false">
      <c r="A305" s="19" t="n">
        <v>305</v>
      </c>
    </row>
    <row r="306" customFormat="false" ht="15.75" hidden="false" customHeight="false" outlineLevel="0" collapsed="false">
      <c r="A306" s="19" t="n">
        <v>306</v>
      </c>
    </row>
    <row r="307" customFormat="false" ht="15.75" hidden="false" customHeight="false" outlineLevel="0" collapsed="false">
      <c r="A307" s="19" t="n">
        <v>307</v>
      </c>
    </row>
    <row r="308" customFormat="false" ht="15.75" hidden="false" customHeight="false" outlineLevel="0" collapsed="false">
      <c r="A308" s="19" t="n">
        <v>308</v>
      </c>
    </row>
    <row r="309" customFormat="false" ht="15.75" hidden="false" customHeight="false" outlineLevel="0" collapsed="false">
      <c r="A309" s="19" t="n">
        <v>309</v>
      </c>
    </row>
    <row r="310" customFormat="false" ht="15.75" hidden="false" customHeight="false" outlineLevel="0" collapsed="false">
      <c r="A310" s="19" t="n">
        <v>310</v>
      </c>
    </row>
    <row r="311" customFormat="false" ht="15.75" hidden="false" customHeight="false" outlineLevel="0" collapsed="false">
      <c r="A311" s="19" t="n">
        <v>311</v>
      </c>
    </row>
    <row r="312" customFormat="false" ht="15.75" hidden="false" customHeight="false" outlineLevel="0" collapsed="false">
      <c r="A312" s="19" t="n">
        <v>312</v>
      </c>
    </row>
    <row r="313" customFormat="false" ht="15.75" hidden="false" customHeight="false" outlineLevel="0" collapsed="false">
      <c r="A313" s="19" t="n">
        <v>313</v>
      </c>
    </row>
    <row r="314" customFormat="false" ht="15.75" hidden="false" customHeight="false" outlineLevel="0" collapsed="false">
      <c r="A314" s="19" t="n">
        <v>314</v>
      </c>
    </row>
    <row r="315" customFormat="false" ht="15.75" hidden="false" customHeight="false" outlineLevel="0" collapsed="false">
      <c r="A315" s="19" t="n">
        <v>315</v>
      </c>
    </row>
    <row r="316" customFormat="false" ht="15.75" hidden="false" customHeight="false" outlineLevel="0" collapsed="false">
      <c r="A316" s="19" t="n">
        <v>316</v>
      </c>
    </row>
    <row r="317" customFormat="false" ht="15.75" hidden="false" customHeight="false" outlineLevel="0" collapsed="false">
      <c r="A317" s="19" t="n">
        <v>317</v>
      </c>
    </row>
    <row r="318" customFormat="false" ht="15.75" hidden="false" customHeight="false" outlineLevel="0" collapsed="false">
      <c r="A318" s="19" t="n">
        <v>318</v>
      </c>
    </row>
    <row r="319" customFormat="false" ht="15.75" hidden="false" customHeight="false" outlineLevel="0" collapsed="false">
      <c r="A319" s="19" t="n">
        <v>319</v>
      </c>
    </row>
    <row r="320" customFormat="false" ht="15.75" hidden="false" customHeight="false" outlineLevel="0" collapsed="false">
      <c r="A320" s="19" t="n">
        <v>320</v>
      </c>
    </row>
    <row r="321" customFormat="false" ht="15.75" hidden="false" customHeight="false" outlineLevel="0" collapsed="false">
      <c r="A321" s="19" t="n">
        <v>321</v>
      </c>
    </row>
    <row r="322" customFormat="false" ht="15.75" hidden="false" customHeight="false" outlineLevel="0" collapsed="false">
      <c r="A322" s="19" t="n">
        <v>322</v>
      </c>
    </row>
    <row r="323" customFormat="false" ht="15.75" hidden="false" customHeight="false" outlineLevel="0" collapsed="false">
      <c r="A323" s="19" t="n">
        <v>323</v>
      </c>
    </row>
    <row r="324" customFormat="false" ht="15.75" hidden="false" customHeight="false" outlineLevel="0" collapsed="false">
      <c r="A324" s="19" t="n">
        <v>324</v>
      </c>
    </row>
    <row r="325" customFormat="false" ht="15.75" hidden="false" customHeight="false" outlineLevel="0" collapsed="false">
      <c r="A325" s="19" t="n">
        <v>325</v>
      </c>
    </row>
    <row r="326" customFormat="false" ht="15.75" hidden="false" customHeight="false" outlineLevel="0" collapsed="false">
      <c r="A326" s="19" t="n">
        <v>326</v>
      </c>
    </row>
    <row r="327" customFormat="false" ht="15.75" hidden="false" customHeight="false" outlineLevel="0" collapsed="false">
      <c r="A327" s="19" t="n">
        <v>327</v>
      </c>
    </row>
    <row r="328" customFormat="false" ht="15.75" hidden="false" customHeight="false" outlineLevel="0" collapsed="false">
      <c r="A328" s="19" t="n">
        <v>328</v>
      </c>
    </row>
    <row r="329" customFormat="false" ht="15.75" hidden="false" customHeight="false" outlineLevel="0" collapsed="false">
      <c r="A329" s="19" t="n">
        <v>329</v>
      </c>
    </row>
    <row r="330" customFormat="false" ht="15.75" hidden="false" customHeight="false" outlineLevel="0" collapsed="false">
      <c r="A330" s="19" t="n">
        <v>330</v>
      </c>
    </row>
    <row r="331" customFormat="false" ht="15.75" hidden="false" customHeight="false" outlineLevel="0" collapsed="false">
      <c r="A331" s="19" t="n">
        <v>331</v>
      </c>
    </row>
    <row r="332" customFormat="false" ht="15.75" hidden="false" customHeight="false" outlineLevel="0" collapsed="false">
      <c r="A332" s="19" t="n">
        <v>332</v>
      </c>
    </row>
    <row r="333" customFormat="false" ht="15.75" hidden="false" customHeight="false" outlineLevel="0" collapsed="false">
      <c r="A333" s="19" t="n">
        <v>333</v>
      </c>
    </row>
    <row r="334" customFormat="false" ht="15.75" hidden="false" customHeight="false" outlineLevel="0" collapsed="false">
      <c r="A334" s="19" t="n">
        <v>334</v>
      </c>
    </row>
    <row r="335" customFormat="false" ht="15.75" hidden="false" customHeight="false" outlineLevel="0" collapsed="false">
      <c r="A335" s="19" t="n">
        <v>335</v>
      </c>
    </row>
    <row r="336" customFormat="false" ht="15.75" hidden="false" customHeight="false" outlineLevel="0" collapsed="false">
      <c r="A336" s="19" t="n">
        <v>336</v>
      </c>
    </row>
    <row r="337" customFormat="false" ht="15.75" hidden="false" customHeight="false" outlineLevel="0" collapsed="false">
      <c r="A337" s="19" t="n">
        <v>337</v>
      </c>
    </row>
    <row r="338" customFormat="false" ht="15.75" hidden="false" customHeight="false" outlineLevel="0" collapsed="false">
      <c r="A338" s="19" t="n">
        <v>338</v>
      </c>
    </row>
    <row r="339" customFormat="false" ht="15.75" hidden="false" customHeight="false" outlineLevel="0" collapsed="false">
      <c r="A339" s="19" t="n">
        <v>339</v>
      </c>
    </row>
    <row r="340" customFormat="false" ht="15.75" hidden="false" customHeight="false" outlineLevel="0" collapsed="false">
      <c r="A340" s="19" t="n">
        <v>340</v>
      </c>
    </row>
    <row r="341" customFormat="false" ht="15.75" hidden="false" customHeight="false" outlineLevel="0" collapsed="false">
      <c r="A341" s="19" t="n">
        <v>341</v>
      </c>
    </row>
    <row r="342" customFormat="false" ht="15.75" hidden="false" customHeight="false" outlineLevel="0" collapsed="false">
      <c r="A342" s="19" t="n">
        <v>342</v>
      </c>
    </row>
    <row r="343" customFormat="false" ht="15.75" hidden="false" customHeight="false" outlineLevel="0" collapsed="false">
      <c r="A343" s="19" t="n">
        <v>343</v>
      </c>
    </row>
    <row r="344" customFormat="false" ht="15.75" hidden="false" customHeight="false" outlineLevel="0" collapsed="false">
      <c r="A344" s="19" t="n">
        <v>344</v>
      </c>
    </row>
    <row r="345" customFormat="false" ht="15.75" hidden="false" customHeight="false" outlineLevel="0" collapsed="false">
      <c r="A345" s="19" t="n">
        <v>345</v>
      </c>
    </row>
    <row r="346" customFormat="false" ht="15.75" hidden="false" customHeight="false" outlineLevel="0" collapsed="false">
      <c r="A346" s="19" t="n">
        <v>346</v>
      </c>
    </row>
    <row r="347" customFormat="false" ht="15.75" hidden="false" customHeight="false" outlineLevel="0" collapsed="false">
      <c r="A347" s="19" t="n">
        <v>347</v>
      </c>
    </row>
    <row r="348" customFormat="false" ht="15.75" hidden="false" customHeight="false" outlineLevel="0" collapsed="false">
      <c r="A348" s="19" t="n">
        <v>348</v>
      </c>
    </row>
    <row r="349" customFormat="false" ht="15.75" hidden="false" customHeight="false" outlineLevel="0" collapsed="false">
      <c r="A349" s="19" t="n">
        <v>349</v>
      </c>
    </row>
    <row r="350" customFormat="false" ht="15.75" hidden="false" customHeight="false" outlineLevel="0" collapsed="false">
      <c r="A350" s="19" t="n">
        <v>350</v>
      </c>
    </row>
    <row r="351" customFormat="false" ht="15.75" hidden="false" customHeight="false" outlineLevel="0" collapsed="false">
      <c r="A351" s="19" t="n">
        <v>351</v>
      </c>
    </row>
    <row r="352" customFormat="false" ht="15.75" hidden="false" customHeight="false" outlineLevel="0" collapsed="false">
      <c r="A352" s="19" t="n">
        <v>352</v>
      </c>
    </row>
    <row r="353" customFormat="false" ht="15.75" hidden="false" customHeight="false" outlineLevel="0" collapsed="false">
      <c r="A353" s="19" t="n">
        <v>353</v>
      </c>
    </row>
    <row r="354" customFormat="false" ht="15.75" hidden="false" customHeight="false" outlineLevel="0" collapsed="false">
      <c r="A354" s="19" t="n">
        <v>354</v>
      </c>
    </row>
    <row r="355" customFormat="false" ht="15.75" hidden="false" customHeight="false" outlineLevel="0" collapsed="false">
      <c r="A355" s="19" t="n">
        <v>355</v>
      </c>
    </row>
    <row r="356" customFormat="false" ht="15.75" hidden="false" customHeight="false" outlineLevel="0" collapsed="false">
      <c r="A356" s="19" t="n">
        <v>356</v>
      </c>
    </row>
    <row r="357" customFormat="false" ht="15.75" hidden="false" customHeight="false" outlineLevel="0" collapsed="false">
      <c r="A357" s="19" t="n">
        <v>357</v>
      </c>
    </row>
    <row r="358" customFormat="false" ht="15.75" hidden="false" customHeight="false" outlineLevel="0" collapsed="false">
      <c r="A358" s="19" t="n">
        <v>358</v>
      </c>
    </row>
    <row r="359" customFormat="false" ht="15.75" hidden="false" customHeight="false" outlineLevel="0" collapsed="false">
      <c r="A359" s="19" t="n">
        <v>359</v>
      </c>
    </row>
    <row r="360" customFormat="false" ht="15.75" hidden="false" customHeight="false" outlineLevel="0" collapsed="false">
      <c r="A360" s="19" t="n">
        <v>360</v>
      </c>
    </row>
    <row r="361" customFormat="false" ht="15.75" hidden="false" customHeight="false" outlineLevel="0" collapsed="false">
      <c r="A361" s="19" t="n">
        <v>361</v>
      </c>
    </row>
    <row r="362" customFormat="false" ht="15.75" hidden="false" customHeight="false" outlineLevel="0" collapsed="false">
      <c r="A362" s="19" t="n">
        <v>362</v>
      </c>
    </row>
    <row r="363" customFormat="false" ht="15.75" hidden="false" customHeight="false" outlineLevel="0" collapsed="false">
      <c r="A363" s="19" t="n">
        <v>363</v>
      </c>
    </row>
    <row r="364" customFormat="false" ht="15.75" hidden="false" customHeight="false" outlineLevel="0" collapsed="false">
      <c r="A364" s="19" t="n">
        <v>364</v>
      </c>
    </row>
    <row r="365" customFormat="false" ht="15.75" hidden="false" customHeight="false" outlineLevel="0" collapsed="false">
      <c r="A365" s="19" t="n">
        <v>365</v>
      </c>
    </row>
    <row r="366" customFormat="false" ht="15.75" hidden="false" customHeight="false" outlineLevel="0" collapsed="false">
      <c r="A366" s="19" t="n">
        <v>366</v>
      </c>
    </row>
    <row r="367" customFormat="false" ht="15.75" hidden="false" customHeight="false" outlineLevel="0" collapsed="false">
      <c r="A367" s="19" t="n">
        <v>367</v>
      </c>
    </row>
    <row r="368" customFormat="false" ht="15.75" hidden="false" customHeight="false" outlineLevel="0" collapsed="false">
      <c r="A368" s="19" t="n">
        <v>368</v>
      </c>
    </row>
    <row r="369" customFormat="false" ht="15.75" hidden="false" customHeight="false" outlineLevel="0" collapsed="false">
      <c r="A369" s="19" t="n">
        <v>369</v>
      </c>
    </row>
    <row r="370" customFormat="false" ht="15.75" hidden="false" customHeight="false" outlineLevel="0" collapsed="false">
      <c r="A370" s="19" t="n">
        <v>370</v>
      </c>
    </row>
    <row r="371" customFormat="false" ht="15.75" hidden="false" customHeight="false" outlineLevel="0" collapsed="false">
      <c r="A371" s="19" t="n">
        <v>371</v>
      </c>
    </row>
    <row r="372" customFormat="false" ht="15.75" hidden="false" customHeight="false" outlineLevel="0" collapsed="false">
      <c r="A372" s="19" t="n">
        <v>372</v>
      </c>
    </row>
    <row r="373" customFormat="false" ht="15.75" hidden="false" customHeight="false" outlineLevel="0" collapsed="false">
      <c r="A373" s="19" t="n">
        <v>373</v>
      </c>
    </row>
    <row r="374" customFormat="false" ht="15.75" hidden="false" customHeight="false" outlineLevel="0" collapsed="false">
      <c r="A374" s="19" t="n">
        <v>374</v>
      </c>
    </row>
    <row r="375" customFormat="false" ht="15.75" hidden="false" customHeight="false" outlineLevel="0" collapsed="false">
      <c r="A375" s="19" t="n">
        <v>375</v>
      </c>
    </row>
    <row r="376" customFormat="false" ht="15.75" hidden="false" customHeight="false" outlineLevel="0" collapsed="false">
      <c r="A376" s="19" t="n">
        <v>376</v>
      </c>
    </row>
    <row r="377" customFormat="false" ht="15.75" hidden="false" customHeight="false" outlineLevel="0" collapsed="false">
      <c r="A377" s="19" t="n">
        <v>377</v>
      </c>
    </row>
    <row r="378" customFormat="false" ht="15.75" hidden="false" customHeight="false" outlineLevel="0" collapsed="false">
      <c r="A378" s="19" t="n">
        <v>378</v>
      </c>
    </row>
    <row r="379" customFormat="false" ht="15.75" hidden="false" customHeight="false" outlineLevel="0" collapsed="false">
      <c r="A379" s="19" t="n">
        <v>379</v>
      </c>
    </row>
    <row r="380" customFormat="false" ht="15.75" hidden="false" customHeight="false" outlineLevel="0" collapsed="false">
      <c r="A380" s="19" t="n">
        <v>380</v>
      </c>
    </row>
    <row r="381" customFormat="false" ht="15.75" hidden="false" customHeight="false" outlineLevel="0" collapsed="false">
      <c r="A381" s="19" t="n">
        <v>381</v>
      </c>
    </row>
    <row r="382" customFormat="false" ht="15.75" hidden="false" customHeight="false" outlineLevel="0" collapsed="false">
      <c r="A382" s="19" t="n">
        <v>382</v>
      </c>
    </row>
    <row r="383" customFormat="false" ht="15.75" hidden="false" customHeight="false" outlineLevel="0" collapsed="false">
      <c r="A383" s="19" t="n">
        <v>383</v>
      </c>
    </row>
    <row r="384" customFormat="false" ht="15.75" hidden="false" customHeight="false" outlineLevel="0" collapsed="false">
      <c r="A384" s="19" t="n">
        <v>384</v>
      </c>
    </row>
    <row r="385" customFormat="false" ht="15.75" hidden="false" customHeight="false" outlineLevel="0" collapsed="false">
      <c r="A385" s="19" t="n">
        <v>385</v>
      </c>
    </row>
    <row r="386" customFormat="false" ht="15.75" hidden="false" customHeight="false" outlineLevel="0" collapsed="false">
      <c r="A386" s="19" t="n">
        <v>386</v>
      </c>
    </row>
    <row r="387" customFormat="false" ht="15.75" hidden="false" customHeight="false" outlineLevel="0" collapsed="false">
      <c r="A387" s="19" t="n">
        <v>387</v>
      </c>
    </row>
    <row r="388" customFormat="false" ht="15.75" hidden="false" customHeight="false" outlineLevel="0" collapsed="false">
      <c r="A388" s="19" t="n">
        <v>388</v>
      </c>
    </row>
    <row r="389" customFormat="false" ht="15.75" hidden="false" customHeight="false" outlineLevel="0" collapsed="false">
      <c r="A389" s="19" t="n">
        <v>389</v>
      </c>
    </row>
    <row r="390" customFormat="false" ht="15.75" hidden="false" customHeight="false" outlineLevel="0" collapsed="false">
      <c r="A390" s="19" t="n">
        <v>390</v>
      </c>
    </row>
    <row r="391" customFormat="false" ht="15.75" hidden="false" customHeight="false" outlineLevel="0" collapsed="false">
      <c r="A391" s="19" t="n">
        <v>391</v>
      </c>
    </row>
    <row r="392" customFormat="false" ht="15.75" hidden="false" customHeight="false" outlineLevel="0" collapsed="false">
      <c r="A392" s="19" t="n">
        <v>392</v>
      </c>
    </row>
    <row r="393" customFormat="false" ht="15.75" hidden="false" customHeight="false" outlineLevel="0" collapsed="false">
      <c r="A393" s="19" t="n">
        <v>393</v>
      </c>
    </row>
    <row r="394" customFormat="false" ht="15.75" hidden="false" customHeight="false" outlineLevel="0" collapsed="false">
      <c r="A394" s="19" t="n">
        <v>394</v>
      </c>
    </row>
    <row r="395" customFormat="false" ht="15.75" hidden="false" customHeight="false" outlineLevel="0" collapsed="false">
      <c r="A395" s="19" t="n">
        <v>395</v>
      </c>
    </row>
    <row r="396" customFormat="false" ht="15.75" hidden="false" customHeight="false" outlineLevel="0" collapsed="false">
      <c r="A396" s="19" t="n">
        <v>396</v>
      </c>
    </row>
    <row r="397" customFormat="false" ht="15.75" hidden="false" customHeight="false" outlineLevel="0" collapsed="false">
      <c r="A397" s="19" t="n">
        <v>397</v>
      </c>
    </row>
    <row r="398" customFormat="false" ht="15.75" hidden="false" customHeight="false" outlineLevel="0" collapsed="false">
      <c r="A398" s="19" t="n">
        <v>398</v>
      </c>
    </row>
    <row r="399" customFormat="false" ht="15.75" hidden="false" customHeight="false" outlineLevel="0" collapsed="false">
      <c r="A399" s="19" t="n">
        <v>399</v>
      </c>
    </row>
    <row r="400" customFormat="false" ht="15.75" hidden="false" customHeight="false" outlineLevel="0" collapsed="false">
      <c r="A400" s="19" t="n">
        <v>400</v>
      </c>
    </row>
    <row r="401" customFormat="false" ht="15.75" hidden="false" customHeight="false" outlineLevel="0" collapsed="false">
      <c r="A401" s="19" t="n">
        <v>401</v>
      </c>
    </row>
    <row r="402" customFormat="false" ht="15.75" hidden="false" customHeight="false" outlineLevel="0" collapsed="false">
      <c r="A402" s="19" t="n">
        <v>402</v>
      </c>
    </row>
    <row r="403" customFormat="false" ht="15.75" hidden="false" customHeight="false" outlineLevel="0" collapsed="false">
      <c r="A403" s="19" t="n">
        <v>403</v>
      </c>
    </row>
    <row r="404" customFormat="false" ht="15.75" hidden="false" customHeight="false" outlineLevel="0" collapsed="false">
      <c r="A404" s="19" t="n">
        <v>404</v>
      </c>
    </row>
    <row r="405" customFormat="false" ht="15.75" hidden="false" customHeight="false" outlineLevel="0" collapsed="false">
      <c r="A405" s="19" t="n">
        <v>405</v>
      </c>
    </row>
    <row r="406" customFormat="false" ht="15.75" hidden="false" customHeight="false" outlineLevel="0" collapsed="false">
      <c r="A406" s="19" t="n">
        <v>406</v>
      </c>
    </row>
    <row r="407" customFormat="false" ht="15.75" hidden="false" customHeight="false" outlineLevel="0" collapsed="false">
      <c r="A407" s="19" t="n">
        <v>407</v>
      </c>
    </row>
    <row r="408" customFormat="false" ht="15.75" hidden="false" customHeight="false" outlineLevel="0" collapsed="false">
      <c r="A408" s="19" t="n">
        <v>408</v>
      </c>
    </row>
    <row r="409" customFormat="false" ht="15.75" hidden="false" customHeight="false" outlineLevel="0" collapsed="false">
      <c r="A409" s="19" t="n">
        <v>409</v>
      </c>
    </row>
    <row r="410" customFormat="false" ht="15.75" hidden="false" customHeight="false" outlineLevel="0" collapsed="false">
      <c r="A410" s="19" t="n">
        <v>410</v>
      </c>
    </row>
    <row r="411" customFormat="false" ht="15.75" hidden="false" customHeight="false" outlineLevel="0" collapsed="false">
      <c r="A411" s="19" t="n">
        <v>411</v>
      </c>
    </row>
    <row r="412" customFormat="false" ht="15.75" hidden="false" customHeight="false" outlineLevel="0" collapsed="false">
      <c r="A412" s="19" t="n">
        <v>412</v>
      </c>
    </row>
    <row r="413" customFormat="false" ht="15.75" hidden="false" customHeight="false" outlineLevel="0" collapsed="false">
      <c r="A413" s="19" t="n">
        <v>413</v>
      </c>
    </row>
    <row r="414" customFormat="false" ht="15.75" hidden="false" customHeight="false" outlineLevel="0" collapsed="false">
      <c r="A414" s="19" t="n">
        <v>414</v>
      </c>
    </row>
    <row r="415" customFormat="false" ht="15.75" hidden="false" customHeight="false" outlineLevel="0" collapsed="false">
      <c r="A415" s="19" t="n">
        <v>415</v>
      </c>
    </row>
    <row r="416" customFormat="false" ht="15.75" hidden="false" customHeight="false" outlineLevel="0" collapsed="false">
      <c r="A416" s="19" t="n">
        <v>416</v>
      </c>
    </row>
    <row r="417" customFormat="false" ht="15.75" hidden="false" customHeight="false" outlineLevel="0" collapsed="false">
      <c r="A417" s="19" t="n">
        <v>417</v>
      </c>
    </row>
    <row r="418" customFormat="false" ht="15.75" hidden="false" customHeight="false" outlineLevel="0" collapsed="false">
      <c r="A418" s="19" t="n">
        <v>418</v>
      </c>
    </row>
    <row r="419" customFormat="false" ht="15.75" hidden="false" customHeight="false" outlineLevel="0" collapsed="false">
      <c r="A419" s="19" t="n">
        <v>419</v>
      </c>
    </row>
    <row r="420" customFormat="false" ht="15.75" hidden="false" customHeight="false" outlineLevel="0" collapsed="false">
      <c r="A420" s="19" t="n">
        <v>420</v>
      </c>
    </row>
    <row r="421" customFormat="false" ht="15.75" hidden="false" customHeight="false" outlineLevel="0" collapsed="false">
      <c r="A421" s="19" t="n">
        <v>421</v>
      </c>
    </row>
    <row r="422" customFormat="false" ht="15.75" hidden="false" customHeight="false" outlineLevel="0" collapsed="false">
      <c r="A422" s="19" t="n">
        <v>422</v>
      </c>
    </row>
    <row r="423" customFormat="false" ht="15.75" hidden="false" customHeight="false" outlineLevel="0" collapsed="false">
      <c r="A423" s="19" t="n">
        <v>423</v>
      </c>
    </row>
    <row r="424" customFormat="false" ht="15.75" hidden="false" customHeight="false" outlineLevel="0" collapsed="false">
      <c r="A424" s="19" t="n">
        <v>424</v>
      </c>
    </row>
    <row r="425" customFormat="false" ht="15.75" hidden="false" customHeight="false" outlineLevel="0" collapsed="false">
      <c r="A425" s="19" t="n">
        <v>425</v>
      </c>
    </row>
    <row r="426" customFormat="false" ht="15.75" hidden="false" customHeight="false" outlineLevel="0" collapsed="false">
      <c r="A426" s="19" t="n">
        <v>426</v>
      </c>
    </row>
    <row r="427" customFormat="false" ht="15.75" hidden="false" customHeight="false" outlineLevel="0" collapsed="false">
      <c r="A427" s="19" t="n">
        <v>427</v>
      </c>
    </row>
    <row r="428" customFormat="false" ht="15.75" hidden="false" customHeight="false" outlineLevel="0" collapsed="false">
      <c r="A428" s="19" t="n">
        <v>428</v>
      </c>
    </row>
    <row r="429" customFormat="false" ht="15.75" hidden="false" customHeight="false" outlineLevel="0" collapsed="false">
      <c r="A429" s="19" t="n">
        <v>429</v>
      </c>
    </row>
    <row r="430" customFormat="false" ht="15.75" hidden="false" customHeight="false" outlineLevel="0" collapsed="false">
      <c r="A430" s="19" t="n">
        <v>430</v>
      </c>
    </row>
    <row r="431" customFormat="false" ht="15.75" hidden="false" customHeight="false" outlineLevel="0" collapsed="false">
      <c r="A431" s="19" t="n">
        <v>431</v>
      </c>
    </row>
    <row r="432" customFormat="false" ht="15.75" hidden="false" customHeight="false" outlineLevel="0" collapsed="false">
      <c r="A432" s="19" t="n">
        <v>432</v>
      </c>
    </row>
    <row r="433" customFormat="false" ht="15.75" hidden="false" customHeight="false" outlineLevel="0" collapsed="false">
      <c r="A433" s="19" t="n">
        <v>433</v>
      </c>
    </row>
    <row r="434" customFormat="false" ht="15.75" hidden="false" customHeight="false" outlineLevel="0" collapsed="false">
      <c r="A434" s="19" t="n">
        <v>434</v>
      </c>
    </row>
    <row r="435" customFormat="false" ht="15.75" hidden="false" customHeight="false" outlineLevel="0" collapsed="false">
      <c r="A435" s="19" t="n">
        <v>435</v>
      </c>
    </row>
    <row r="436" customFormat="false" ht="15.75" hidden="false" customHeight="false" outlineLevel="0" collapsed="false">
      <c r="A436" s="19" t="n">
        <v>436</v>
      </c>
    </row>
    <row r="437" customFormat="false" ht="15.75" hidden="false" customHeight="false" outlineLevel="0" collapsed="false">
      <c r="A437" s="19" t="n">
        <v>437</v>
      </c>
    </row>
    <row r="438" customFormat="false" ht="15.75" hidden="false" customHeight="false" outlineLevel="0" collapsed="false">
      <c r="A438" s="19" t="n">
        <v>438</v>
      </c>
    </row>
    <row r="439" customFormat="false" ht="15.75" hidden="false" customHeight="false" outlineLevel="0" collapsed="false">
      <c r="A439" s="19" t="n">
        <v>439</v>
      </c>
    </row>
    <row r="440" customFormat="false" ht="15.75" hidden="false" customHeight="false" outlineLevel="0" collapsed="false">
      <c r="A440" s="19" t="n">
        <v>440</v>
      </c>
    </row>
    <row r="441" customFormat="false" ht="15.75" hidden="false" customHeight="false" outlineLevel="0" collapsed="false">
      <c r="A441" s="19" t="n">
        <v>441</v>
      </c>
    </row>
    <row r="442" customFormat="false" ht="15.75" hidden="false" customHeight="false" outlineLevel="0" collapsed="false">
      <c r="A442" s="19" t="n">
        <v>442</v>
      </c>
    </row>
    <row r="443" customFormat="false" ht="15.75" hidden="false" customHeight="false" outlineLevel="0" collapsed="false">
      <c r="A443" s="19" t="n">
        <v>443</v>
      </c>
    </row>
    <row r="444" customFormat="false" ht="15.75" hidden="false" customHeight="false" outlineLevel="0" collapsed="false">
      <c r="A444" s="19" t="n">
        <v>444</v>
      </c>
    </row>
    <row r="445" customFormat="false" ht="15.75" hidden="false" customHeight="false" outlineLevel="0" collapsed="false">
      <c r="A445" s="19" t="n">
        <v>445</v>
      </c>
    </row>
    <row r="446" customFormat="false" ht="15.75" hidden="false" customHeight="false" outlineLevel="0" collapsed="false">
      <c r="A446" s="19" t="n">
        <v>446</v>
      </c>
    </row>
    <row r="447" customFormat="false" ht="15.75" hidden="false" customHeight="false" outlineLevel="0" collapsed="false">
      <c r="A447" s="19" t="n">
        <v>447</v>
      </c>
    </row>
    <row r="448" customFormat="false" ht="15.75" hidden="false" customHeight="false" outlineLevel="0" collapsed="false">
      <c r="A448" s="19" t="n">
        <v>448</v>
      </c>
    </row>
    <row r="449" customFormat="false" ht="15.75" hidden="false" customHeight="false" outlineLevel="0" collapsed="false">
      <c r="A449" s="19" t="n">
        <v>449</v>
      </c>
    </row>
    <row r="450" customFormat="false" ht="15.75" hidden="false" customHeight="false" outlineLevel="0" collapsed="false">
      <c r="A450" s="19" t="n">
        <v>450</v>
      </c>
    </row>
    <row r="451" customFormat="false" ht="15.75" hidden="false" customHeight="false" outlineLevel="0" collapsed="false">
      <c r="A451" s="19" t="n">
        <v>451</v>
      </c>
    </row>
    <row r="452" customFormat="false" ht="15.75" hidden="false" customHeight="false" outlineLevel="0" collapsed="false">
      <c r="A452" s="19" t="n">
        <v>452</v>
      </c>
    </row>
    <row r="453" customFormat="false" ht="15.75" hidden="false" customHeight="false" outlineLevel="0" collapsed="false">
      <c r="A453" s="19" t="n">
        <v>453</v>
      </c>
    </row>
    <row r="454" customFormat="false" ht="15.75" hidden="false" customHeight="false" outlineLevel="0" collapsed="false">
      <c r="A454" s="19" t="n">
        <v>454</v>
      </c>
    </row>
    <row r="455" customFormat="false" ht="15.75" hidden="false" customHeight="false" outlineLevel="0" collapsed="false">
      <c r="A455" s="19" t="n">
        <v>455</v>
      </c>
    </row>
    <row r="456" customFormat="false" ht="15.75" hidden="false" customHeight="false" outlineLevel="0" collapsed="false">
      <c r="A456" s="19" t="n">
        <v>456</v>
      </c>
    </row>
    <row r="457" customFormat="false" ht="15.75" hidden="false" customHeight="false" outlineLevel="0" collapsed="false">
      <c r="A457" s="19" t="n">
        <v>457</v>
      </c>
    </row>
    <row r="458" customFormat="false" ht="15.75" hidden="false" customHeight="false" outlineLevel="0" collapsed="false">
      <c r="A458" s="19" t="n">
        <v>458</v>
      </c>
    </row>
    <row r="459" customFormat="false" ht="15.75" hidden="false" customHeight="false" outlineLevel="0" collapsed="false">
      <c r="A459" s="19" t="n">
        <v>459</v>
      </c>
    </row>
    <row r="460" customFormat="false" ht="15.75" hidden="false" customHeight="false" outlineLevel="0" collapsed="false">
      <c r="A460" s="19" t="n">
        <v>460</v>
      </c>
    </row>
    <row r="461" customFormat="false" ht="15.75" hidden="false" customHeight="false" outlineLevel="0" collapsed="false">
      <c r="A461" s="19" t="n">
        <v>461</v>
      </c>
    </row>
    <row r="462" customFormat="false" ht="15.75" hidden="false" customHeight="false" outlineLevel="0" collapsed="false">
      <c r="A462" s="19" t="n">
        <v>462</v>
      </c>
    </row>
    <row r="463" customFormat="false" ht="15.75" hidden="false" customHeight="false" outlineLevel="0" collapsed="false">
      <c r="A463" s="19" t="n">
        <v>463</v>
      </c>
    </row>
    <row r="464" customFormat="false" ht="15.75" hidden="false" customHeight="false" outlineLevel="0" collapsed="false">
      <c r="A464" s="19" t="n">
        <v>464</v>
      </c>
    </row>
    <row r="465" customFormat="false" ht="15.75" hidden="false" customHeight="false" outlineLevel="0" collapsed="false">
      <c r="A465" s="19" t="n">
        <v>465</v>
      </c>
    </row>
    <row r="466" customFormat="false" ht="15.75" hidden="false" customHeight="false" outlineLevel="0" collapsed="false">
      <c r="A466" s="19" t="n">
        <v>466</v>
      </c>
    </row>
    <row r="467" customFormat="false" ht="15.75" hidden="false" customHeight="false" outlineLevel="0" collapsed="false">
      <c r="A467" s="19" t="n">
        <v>467</v>
      </c>
    </row>
    <row r="468" customFormat="false" ht="15.75" hidden="false" customHeight="false" outlineLevel="0" collapsed="false">
      <c r="A468" s="19" t="n">
        <v>468</v>
      </c>
    </row>
    <row r="469" customFormat="false" ht="15.75" hidden="false" customHeight="false" outlineLevel="0" collapsed="false">
      <c r="A469" s="19" t="n">
        <v>469</v>
      </c>
    </row>
    <row r="470" customFormat="false" ht="15.75" hidden="false" customHeight="false" outlineLevel="0" collapsed="false">
      <c r="A470" s="19" t="n">
        <v>470</v>
      </c>
    </row>
    <row r="471" customFormat="false" ht="15.75" hidden="false" customHeight="false" outlineLevel="0" collapsed="false">
      <c r="A471" s="19" t="n">
        <v>471</v>
      </c>
    </row>
    <row r="472" customFormat="false" ht="15.75" hidden="false" customHeight="false" outlineLevel="0" collapsed="false">
      <c r="A472" s="19" t="n">
        <v>472</v>
      </c>
    </row>
    <row r="473" customFormat="false" ht="15.75" hidden="false" customHeight="false" outlineLevel="0" collapsed="false">
      <c r="A473" s="19" t="n">
        <v>473</v>
      </c>
    </row>
    <row r="474" customFormat="false" ht="15.75" hidden="false" customHeight="false" outlineLevel="0" collapsed="false">
      <c r="A474" s="19" t="n">
        <v>474</v>
      </c>
    </row>
    <row r="475" customFormat="false" ht="15.75" hidden="false" customHeight="false" outlineLevel="0" collapsed="false">
      <c r="A475" s="19" t="n">
        <v>475</v>
      </c>
    </row>
    <row r="476" customFormat="false" ht="15.75" hidden="false" customHeight="false" outlineLevel="0" collapsed="false">
      <c r="A476" s="19" t="n">
        <v>476</v>
      </c>
    </row>
    <row r="477" customFormat="false" ht="15.75" hidden="false" customHeight="false" outlineLevel="0" collapsed="false">
      <c r="A477" s="19" t="n">
        <v>477</v>
      </c>
    </row>
    <row r="478" customFormat="false" ht="15.75" hidden="false" customHeight="false" outlineLevel="0" collapsed="false">
      <c r="A478" s="19" t="n">
        <v>478</v>
      </c>
    </row>
    <row r="479" customFormat="false" ht="15.75" hidden="false" customHeight="false" outlineLevel="0" collapsed="false">
      <c r="A479" s="19" t="n">
        <v>479</v>
      </c>
    </row>
    <row r="480" customFormat="false" ht="15.75" hidden="false" customHeight="false" outlineLevel="0" collapsed="false">
      <c r="A480" s="19" t="n">
        <v>480</v>
      </c>
    </row>
    <row r="481" customFormat="false" ht="15.75" hidden="false" customHeight="false" outlineLevel="0" collapsed="false">
      <c r="A481" s="19" t="n">
        <v>481</v>
      </c>
    </row>
    <row r="482" customFormat="false" ht="15.75" hidden="false" customHeight="false" outlineLevel="0" collapsed="false">
      <c r="A482" s="19" t="n">
        <v>482</v>
      </c>
    </row>
    <row r="483" customFormat="false" ht="15.75" hidden="false" customHeight="false" outlineLevel="0" collapsed="false">
      <c r="A483" s="19" t="n">
        <v>483</v>
      </c>
    </row>
    <row r="484" customFormat="false" ht="15.75" hidden="false" customHeight="false" outlineLevel="0" collapsed="false">
      <c r="A484" s="19" t="n">
        <v>484</v>
      </c>
    </row>
    <row r="485" customFormat="false" ht="15.75" hidden="false" customHeight="false" outlineLevel="0" collapsed="false">
      <c r="A485" s="19" t="n">
        <v>485</v>
      </c>
    </row>
    <row r="486" customFormat="false" ht="15.75" hidden="false" customHeight="false" outlineLevel="0" collapsed="false">
      <c r="A486" s="19" t="n">
        <v>486</v>
      </c>
    </row>
    <row r="487" customFormat="false" ht="15.75" hidden="false" customHeight="false" outlineLevel="0" collapsed="false">
      <c r="A487" s="19" t="n">
        <v>487</v>
      </c>
    </row>
    <row r="488" customFormat="false" ht="15.75" hidden="false" customHeight="false" outlineLevel="0" collapsed="false">
      <c r="A488" s="19" t="n">
        <v>488</v>
      </c>
    </row>
    <row r="489" customFormat="false" ht="15.75" hidden="false" customHeight="false" outlineLevel="0" collapsed="false">
      <c r="A489" s="19" t="n">
        <v>489</v>
      </c>
    </row>
    <row r="490" customFormat="false" ht="15.75" hidden="false" customHeight="false" outlineLevel="0" collapsed="false">
      <c r="A490" s="19" t="n">
        <v>490</v>
      </c>
    </row>
    <row r="491" customFormat="false" ht="15.75" hidden="false" customHeight="false" outlineLevel="0" collapsed="false">
      <c r="A491" s="19" t="n">
        <v>491</v>
      </c>
    </row>
    <row r="492" customFormat="false" ht="15.75" hidden="false" customHeight="false" outlineLevel="0" collapsed="false">
      <c r="A492" s="19" t="n">
        <v>492</v>
      </c>
    </row>
    <row r="493" customFormat="false" ht="15.75" hidden="false" customHeight="false" outlineLevel="0" collapsed="false">
      <c r="A493" s="19" t="n">
        <v>493</v>
      </c>
    </row>
    <row r="494" customFormat="false" ht="15.75" hidden="false" customHeight="false" outlineLevel="0" collapsed="false">
      <c r="A494" s="19" t="n">
        <v>494</v>
      </c>
    </row>
    <row r="495" customFormat="false" ht="15.75" hidden="false" customHeight="false" outlineLevel="0" collapsed="false">
      <c r="A495" s="19" t="n">
        <v>495</v>
      </c>
    </row>
    <row r="496" customFormat="false" ht="15.75" hidden="false" customHeight="false" outlineLevel="0" collapsed="false">
      <c r="A496" s="19" t="n">
        <v>496</v>
      </c>
    </row>
    <row r="497" customFormat="false" ht="15.75" hidden="false" customHeight="false" outlineLevel="0" collapsed="false">
      <c r="A497" s="19" t="n">
        <v>497</v>
      </c>
    </row>
    <row r="498" customFormat="false" ht="15.75" hidden="false" customHeight="false" outlineLevel="0" collapsed="false">
      <c r="A498" s="19" t="n">
        <v>498</v>
      </c>
    </row>
    <row r="499" customFormat="false" ht="15.75" hidden="false" customHeight="false" outlineLevel="0" collapsed="false">
      <c r="A499" s="19" t="n">
        <v>499</v>
      </c>
    </row>
    <row r="500" customFormat="false" ht="15.75" hidden="false" customHeight="false" outlineLevel="0" collapsed="false">
      <c r="A500" s="19" t="n">
        <v>500</v>
      </c>
    </row>
    <row r="501" customFormat="false" ht="15.75" hidden="false" customHeight="false" outlineLevel="0" collapsed="false">
      <c r="A501" s="19" t="n">
        <v>501</v>
      </c>
    </row>
    <row r="502" customFormat="false" ht="15.75" hidden="false" customHeight="false" outlineLevel="0" collapsed="false">
      <c r="A502" s="19" t="n">
        <v>502</v>
      </c>
    </row>
    <row r="503" customFormat="false" ht="15.75" hidden="false" customHeight="false" outlineLevel="0" collapsed="false">
      <c r="A503" s="19" t="n">
        <v>503</v>
      </c>
    </row>
    <row r="504" customFormat="false" ht="15.75" hidden="false" customHeight="false" outlineLevel="0" collapsed="false">
      <c r="A504" s="19" t="n">
        <v>504</v>
      </c>
    </row>
    <row r="505" customFormat="false" ht="15.75" hidden="false" customHeight="false" outlineLevel="0" collapsed="false">
      <c r="A505" s="19" t="n">
        <v>505</v>
      </c>
    </row>
    <row r="506" customFormat="false" ht="15.75" hidden="false" customHeight="false" outlineLevel="0" collapsed="false">
      <c r="A506" s="19" t="n">
        <v>506</v>
      </c>
    </row>
    <row r="507" customFormat="false" ht="15.75" hidden="false" customHeight="false" outlineLevel="0" collapsed="false">
      <c r="A507" s="19" t="n">
        <v>507</v>
      </c>
    </row>
    <row r="508" customFormat="false" ht="15.75" hidden="false" customHeight="false" outlineLevel="0" collapsed="false">
      <c r="A508" s="19" t="n">
        <v>508</v>
      </c>
    </row>
    <row r="509" customFormat="false" ht="15.75" hidden="false" customHeight="false" outlineLevel="0" collapsed="false">
      <c r="A509" s="19" t="n">
        <v>509</v>
      </c>
    </row>
    <row r="510" customFormat="false" ht="15.75" hidden="false" customHeight="false" outlineLevel="0" collapsed="false">
      <c r="A510" s="19" t="n">
        <v>510</v>
      </c>
    </row>
    <row r="511" customFormat="false" ht="15.75" hidden="false" customHeight="false" outlineLevel="0" collapsed="false">
      <c r="A511" s="19" t="n">
        <v>511</v>
      </c>
    </row>
    <row r="512" customFormat="false" ht="15.75" hidden="false" customHeight="false" outlineLevel="0" collapsed="false">
      <c r="A512" s="19" t="n">
        <v>512</v>
      </c>
    </row>
    <row r="513" customFormat="false" ht="15.75" hidden="false" customHeight="false" outlineLevel="0" collapsed="false">
      <c r="A513" s="19" t="n">
        <v>513</v>
      </c>
    </row>
    <row r="514" customFormat="false" ht="15.75" hidden="false" customHeight="false" outlineLevel="0" collapsed="false">
      <c r="A514" s="19" t="n">
        <v>514</v>
      </c>
    </row>
    <row r="515" customFormat="false" ht="15.75" hidden="false" customHeight="false" outlineLevel="0" collapsed="false">
      <c r="A515" s="19" t="n">
        <v>515</v>
      </c>
    </row>
    <row r="516" customFormat="false" ht="15.75" hidden="false" customHeight="false" outlineLevel="0" collapsed="false">
      <c r="A516" s="19" t="n">
        <v>516</v>
      </c>
    </row>
    <row r="517" customFormat="false" ht="15.75" hidden="false" customHeight="false" outlineLevel="0" collapsed="false">
      <c r="A517" s="19" t="n">
        <v>517</v>
      </c>
    </row>
    <row r="518" customFormat="false" ht="15.75" hidden="false" customHeight="false" outlineLevel="0" collapsed="false">
      <c r="A518" s="19" t="n">
        <v>518</v>
      </c>
    </row>
    <row r="519" customFormat="false" ht="15.75" hidden="false" customHeight="false" outlineLevel="0" collapsed="false">
      <c r="A519" s="19" t="n">
        <v>519</v>
      </c>
    </row>
    <row r="520" customFormat="false" ht="15.75" hidden="false" customHeight="false" outlineLevel="0" collapsed="false">
      <c r="A520" s="19" t="n">
        <v>520</v>
      </c>
    </row>
    <row r="521" customFormat="false" ht="15.75" hidden="false" customHeight="false" outlineLevel="0" collapsed="false">
      <c r="A521" s="19" t="n">
        <v>521</v>
      </c>
    </row>
    <row r="522" customFormat="false" ht="15.75" hidden="false" customHeight="false" outlineLevel="0" collapsed="false">
      <c r="A522" s="19" t="n">
        <v>522</v>
      </c>
    </row>
    <row r="523" customFormat="false" ht="15.75" hidden="false" customHeight="false" outlineLevel="0" collapsed="false">
      <c r="A523" s="19" t="n">
        <v>523</v>
      </c>
    </row>
    <row r="524" customFormat="false" ht="15.75" hidden="false" customHeight="false" outlineLevel="0" collapsed="false">
      <c r="A524" s="19" t="n">
        <v>524</v>
      </c>
    </row>
    <row r="525" customFormat="false" ht="15.75" hidden="false" customHeight="false" outlineLevel="0" collapsed="false">
      <c r="A525" s="19" t="n">
        <v>525</v>
      </c>
    </row>
    <row r="526" customFormat="false" ht="15.75" hidden="false" customHeight="false" outlineLevel="0" collapsed="false">
      <c r="A526" s="19" t="n">
        <v>526</v>
      </c>
    </row>
    <row r="527" customFormat="false" ht="15.75" hidden="false" customHeight="false" outlineLevel="0" collapsed="false">
      <c r="A527" s="19" t="n">
        <v>527</v>
      </c>
    </row>
    <row r="528" customFormat="false" ht="15.75" hidden="false" customHeight="false" outlineLevel="0" collapsed="false">
      <c r="A528" s="19" t="n">
        <v>528</v>
      </c>
    </row>
    <row r="529" customFormat="false" ht="15.75" hidden="false" customHeight="false" outlineLevel="0" collapsed="false">
      <c r="A529" s="19" t="n">
        <v>529</v>
      </c>
    </row>
    <row r="530" customFormat="false" ht="15.75" hidden="false" customHeight="false" outlineLevel="0" collapsed="false">
      <c r="A530" s="19" t="n">
        <v>530</v>
      </c>
    </row>
    <row r="531" customFormat="false" ht="15.75" hidden="false" customHeight="false" outlineLevel="0" collapsed="false">
      <c r="A531" s="19" t="n">
        <v>531</v>
      </c>
    </row>
    <row r="532" customFormat="false" ht="15.75" hidden="false" customHeight="false" outlineLevel="0" collapsed="false">
      <c r="A532" s="19" t="n">
        <v>532</v>
      </c>
    </row>
    <row r="533" customFormat="false" ht="15.75" hidden="false" customHeight="false" outlineLevel="0" collapsed="false">
      <c r="A533" s="19" t="n">
        <v>533</v>
      </c>
    </row>
    <row r="534" customFormat="false" ht="15.75" hidden="false" customHeight="false" outlineLevel="0" collapsed="false">
      <c r="A534" s="19" t="n">
        <v>534</v>
      </c>
    </row>
    <row r="535" customFormat="false" ht="15.75" hidden="false" customHeight="false" outlineLevel="0" collapsed="false">
      <c r="A535" s="19" t="n">
        <v>535</v>
      </c>
    </row>
    <row r="536" customFormat="false" ht="15.75" hidden="false" customHeight="false" outlineLevel="0" collapsed="false">
      <c r="A536" s="19" t="n">
        <v>536</v>
      </c>
    </row>
    <row r="537" customFormat="false" ht="15.75" hidden="false" customHeight="false" outlineLevel="0" collapsed="false">
      <c r="A537" s="19" t="n">
        <v>537</v>
      </c>
    </row>
    <row r="538" customFormat="false" ht="15.75" hidden="false" customHeight="false" outlineLevel="0" collapsed="false">
      <c r="A538" s="19" t="n">
        <v>538</v>
      </c>
    </row>
    <row r="539" customFormat="false" ht="15.75" hidden="false" customHeight="false" outlineLevel="0" collapsed="false">
      <c r="A539" s="19" t="n">
        <v>539</v>
      </c>
    </row>
    <row r="540" customFormat="false" ht="15.75" hidden="false" customHeight="false" outlineLevel="0" collapsed="false">
      <c r="A540" s="19" t="n">
        <v>540</v>
      </c>
    </row>
    <row r="541" customFormat="false" ht="15.75" hidden="false" customHeight="false" outlineLevel="0" collapsed="false">
      <c r="A541" s="19" t="n">
        <v>541</v>
      </c>
    </row>
    <row r="542" customFormat="false" ht="15.75" hidden="false" customHeight="false" outlineLevel="0" collapsed="false">
      <c r="A542" s="19" t="n">
        <v>542</v>
      </c>
    </row>
    <row r="543" customFormat="false" ht="15.75" hidden="false" customHeight="false" outlineLevel="0" collapsed="false">
      <c r="A543" s="19" t="n">
        <v>543</v>
      </c>
    </row>
    <row r="544" customFormat="false" ht="15.75" hidden="false" customHeight="false" outlineLevel="0" collapsed="false">
      <c r="A544" s="19" t="n">
        <v>544</v>
      </c>
    </row>
    <row r="545" customFormat="false" ht="15.75" hidden="false" customHeight="false" outlineLevel="0" collapsed="false">
      <c r="A545" s="19" t="n">
        <v>545</v>
      </c>
    </row>
    <row r="546" customFormat="false" ht="15.75" hidden="false" customHeight="false" outlineLevel="0" collapsed="false">
      <c r="A546" s="19" t="n">
        <v>546</v>
      </c>
    </row>
    <row r="547" customFormat="false" ht="15.75" hidden="false" customHeight="false" outlineLevel="0" collapsed="false">
      <c r="A547" s="19" t="n">
        <v>547</v>
      </c>
    </row>
    <row r="548" customFormat="false" ht="15.75" hidden="false" customHeight="false" outlineLevel="0" collapsed="false">
      <c r="A548" s="19" t="n">
        <v>548</v>
      </c>
    </row>
    <row r="549" customFormat="false" ht="15.75" hidden="false" customHeight="false" outlineLevel="0" collapsed="false">
      <c r="A549" s="19" t="n">
        <v>549</v>
      </c>
    </row>
    <row r="550" customFormat="false" ht="15.75" hidden="false" customHeight="false" outlineLevel="0" collapsed="false">
      <c r="A550" s="19" t="n">
        <v>550</v>
      </c>
    </row>
    <row r="551" customFormat="false" ht="15.75" hidden="false" customHeight="false" outlineLevel="0" collapsed="false">
      <c r="A551" s="19" t="n">
        <v>551</v>
      </c>
    </row>
    <row r="552" customFormat="false" ht="15.75" hidden="false" customHeight="false" outlineLevel="0" collapsed="false">
      <c r="A552" s="19" t="n">
        <v>552</v>
      </c>
    </row>
    <row r="553" customFormat="false" ht="15.75" hidden="false" customHeight="false" outlineLevel="0" collapsed="false">
      <c r="A553" s="19" t="n">
        <v>553</v>
      </c>
    </row>
    <row r="554" customFormat="false" ht="15.75" hidden="false" customHeight="false" outlineLevel="0" collapsed="false">
      <c r="A554" s="19" t="n">
        <v>554</v>
      </c>
    </row>
    <row r="555" customFormat="false" ht="15.75" hidden="false" customHeight="false" outlineLevel="0" collapsed="false">
      <c r="A555" s="19" t="n">
        <v>555</v>
      </c>
    </row>
    <row r="556" customFormat="false" ht="15.75" hidden="false" customHeight="false" outlineLevel="0" collapsed="false">
      <c r="A556" s="19" t="n">
        <v>556</v>
      </c>
    </row>
    <row r="557" customFormat="false" ht="15.75" hidden="false" customHeight="false" outlineLevel="0" collapsed="false">
      <c r="A557" s="19" t="n">
        <v>557</v>
      </c>
    </row>
    <row r="558" customFormat="false" ht="15.75" hidden="false" customHeight="false" outlineLevel="0" collapsed="false">
      <c r="A558" s="19" t="n">
        <v>558</v>
      </c>
    </row>
    <row r="559" customFormat="false" ht="15.75" hidden="false" customHeight="false" outlineLevel="0" collapsed="false">
      <c r="A559" s="19" t="n">
        <v>559</v>
      </c>
    </row>
    <row r="560" customFormat="false" ht="15.75" hidden="false" customHeight="false" outlineLevel="0" collapsed="false">
      <c r="A560" s="19" t="n">
        <v>560</v>
      </c>
    </row>
    <row r="561" customFormat="false" ht="15.75" hidden="false" customHeight="false" outlineLevel="0" collapsed="false">
      <c r="A561" s="19" t="n">
        <v>561</v>
      </c>
    </row>
    <row r="562" customFormat="false" ht="15.75" hidden="false" customHeight="false" outlineLevel="0" collapsed="false">
      <c r="A562" s="19" t="n">
        <v>562</v>
      </c>
    </row>
    <row r="563" customFormat="false" ht="15.75" hidden="false" customHeight="false" outlineLevel="0" collapsed="false">
      <c r="A563" s="19" t="n">
        <v>563</v>
      </c>
    </row>
    <row r="564" customFormat="false" ht="15.75" hidden="false" customHeight="false" outlineLevel="0" collapsed="false">
      <c r="A564" s="19" t="n">
        <v>564</v>
      </c>
    </row>
    <row r="565" customFormat="false" ht="15.75" hidden="false" customHeight="false" outlineLevel="0" collapsed="false">
      <c r="A565" s="19" t="n">
        <v>565</v>
      </c>
    </row>
    <row r="566" customFormat="false" ht="15.75" hidden="false" customHeight="false" outlineLevel="0" collapsed="false">
      <c r="A566" s="19" t="n">
        <v>566</v>
      </c>
    </row>
    <row r="567" customFormat="false" ht="15.75" hidden="false" customHeight="false" outlineLevel="0" collapsed="false">
      <c r="A567" s="19" t="n">
        <v>567</v>
      </c>
    </row>
    <row r="568" customFormat="false" ht="15.75" hidden="false" customHeight="false" outlineLevel="0" collapsed="false">
      <c r="A568" s="19" t="n">
        <v>568</v>
      </c>
    </row>
    <row r="569" customFormat="false" ht="15.75" hidden="false" customHeight="false" outlineLevel="0" collapsed="false">
      <c r="A569" s="19" t="n">
        <v>569</v>
      </c>
    </row>
    <row r="570" customFormat="false" ht="15.75" hidden="false" customHeight="false" outlineLevel="0" collapsed="false">
      <c r="A570" s="19" t="n">
        <v>570</v>
      </c>
    </row>
    <row r="571" customFormat="false" ht="15.75" hidden="false" customHeight="false" outlineLevel="0" collapsed="false">
      <c r="A571" s="19" t="n">
        <v>571</v>
      </c>
    </row>
    <row r="572" customFormat="false" ht="15.75" hidden="false" customHeight="false" outlineLevel="0" collapsed="false">
      <c r="A572" s="19" t="n">
        <v>572</v>
      </c>
    </row>
    <row r="573" customFormat="false" ht="15.75" hidden="false" customHeight="false" outlineLevel="0" collapsed="false">
      <c r="A573" s="19" t="n">
        <v>573</v>
      </c>
    </row>
    <row r="574" customFormat="false" ht="15.75" hidden="false" customHeight="false" outlineLevel="0" collapsed="false">
      <c r="A574" s="19" t="n">
        <v>574</v>
      </c>
    </row>
    <row r="575" customFormat="false" ht="15.75" hidden="false" customHeight="false" outlineLevel="0" collapsed="false">
      <c r="A575" s="19" t="n">
        <v>575</v>
      </c>
    </row>
    <row r="576" customFormat="false" ht="15.75" hidden="false" customHeight="false" outlineLevel="0" collapsed="false">
      <c r="A576" s="19" t="n">
        <v>576</v>
      </c>
    </row>
    <row r="577" customFormat="false" ht="15.75" hidden="false" customHeight="false" outlineLevel="0" collapsed="false">
      <c r="A577" s="19" t="n">
        <v>577</v>
      </c>
    </row>
    <row r="578" customFormat="false" ht="15.75" hidden="false" customHeight="false" outlineLevel="0" collapsed="false">
      <c r="A578" s="19" t="n">
        <v>578</v>
      </c>
    </row>
    <row r="579" customFormat="false" ht="15.75" hidden="false" customHeight="false" outlineLevel="0" collapsed="false">
      <c r="A579" s="19" t="n">
        <v>579</v>
      </c>
    </row>
    <row r="580" customFormat="false" ht="15.75" hidden="false" customHeight="false" outlineLevel="0" collapsed="false">
      <c r="A580" s="19" t="n">
        <v>580</v>
      </c>
    </row>
    <row r="581" customFormat="false" ht="15.75" hidden="false" customHeight="false" outlineLevel="0" collapsed="false">
      <c r="A581" s="19" t="n">
        <v>581</v>
      </c>
    </row>
    <row r="582" customFormat="false" ht="15.75" hidden="false" customHeight="false" outlineLevel="0" collapsed="false">
      <c r="A582" s="19" t="n">
        <v>582</v>
      </c>
    </row>
    <row r="583" customFormat="false" ht="15.75" hidden="false" customHeight="false" outlineLevel="0" collapsed="false">
      <c r="A583" s="19" t="n">
        <v>583</v>
      </c>
    </row>
    <row r="584" customFormat="false" ht="15.75" hidden="false" customHeight="false" outlineLevel="0" collapsed="false">
      <c r="A584" s="19" t="n">
        <v>584</v>
      </c>
    </row>
    <row r="585" customFormat="false" ht="15.75" hidden="false" customHeight="false" outlineLevel="0" collapsed="false">
      <c r="A585" s="19" t="n">
        <v>585</v>
      </c>
    </row>
    <row r="586" customFormat="false" ht="15.75" hidden="false" customHeight="false" outlineLevel="0" collapsed="false">
      <c r="A586" s="19" t="n">
        <v>586</v>
      </c>
    </row>
    <row r="587" customFormat="false" ht="15.75" hidden="false" customHeight="false" outlineLevel="0" collapsed="false">
      <c r="A587" s="19" t="n">
        <v>587</v>
      </c>
    </row>
    <row r="588" customFormat="false" ht="15.75" hidden="false" customHeight="false" outlineLevel="0" collapsed="false">
      <c r="A588" s="19" t="n">
        <v>588</v>
      </c>
    </row>
    <row r="589" customFormat="false" ht="15.75" hidden="false" customHeight="false" outlineLevel="0" collapsed="false">
      <c r="A589" s="19" t="n">
        <v>589</v>
      </c>
    </row>
    <row r="590" customFormat="false" ht="15.75" hidden="false" customHeight="false" outlineLevel="0" collapsed="false">
      <c r="A590" s="19" t="n">
        <v>590</v>
      </c>
    </row>
    <row r="591" customFormat="false" ht="15.75" hidden="false" customHeight="false" outlineLevel="0" collapsed="false">
      <c r="A591" s="19" t="n">
        <v>591</v>
      </c>
    </row>
    <row r="592" customFormat="false" ht="15.75" hidden="false" customHeight="false" outlineLevel="0" collapsed="false">
      <c r="A592" s="19" t="n">
        <v>592</v>
      </c>
    </row>
    <row r="593" customFormat="false" ht="15.75" hidden="false" customHeight="false" outlineLevel="0" collapsed="false">
      <c r="A593" s="19" t="n">
        <v>593</v>
      </c>
    </row>
    <row r="594" customFormat="false" ht="15.75" hidden="false" customHeight="false" outlineLevel="0" collapsed="false">
      <c r="A594" s="19" t="n">
        <v>594</v>
      </c>
    </row>
    <row r="595" customFormat="false" ht="15.75" hidden="false" customHeight="false" outlineLevel="0" collapsed="false">
      <c r="A595" s="19" t="n">
        <v>595</v>
      </c>
    </row>
    <row r="596" customFormat="false" ht="15.75" hidden="false" customHeight="false" outlineLevel="0" collapsed="false">
      <c r="A596" s="19" t="n">
        <v>596</v>
      </c>
    </row>
    <row r="597" customFormat="false" ht="15.75" hidden="false" customHeight="false" outlineLevel="0" collapsed="false">
      <c r="A597" s="19" t="n">
        <v>597</v>
      </c>
    </row>
    <row r="598" customFormat="false" ht="15.75" hidden="false" customHeight="false" outlineLevel="0" collapsed="false">
      <c r="A598" s="19" t="n">
        <v>598</v>
      </c>
    </row>
    <row r="599" customFormat="false" ht="15.75" hidden="false" customHeight="false" outlineLevel="0" collapsed="false">
      <c r="A599" s="19" t="n">
        <v>599</v>
      </c>
    </row>
    <row r="600" customFormat="false" ht="15.75" hidden="false" customHeight="false" outlineLevel="0" collapsed="false">
      <c r="A600" s="19" t="n">
        <v>600</v>
      </c>
    </row>
    <row r="601" customFormat="false" ht="15.75" hidden="false" customHeight="false" outlineLevel="0" collapsed="false">
      <c r="A601" s="19" t="n">
        <v>601</v>
      </c>
    </row>
    <row r="602" customFormat="false" ht="15.75" hidden="false" customHeight="false" outlineLevel="0" collapsed="false">
      <c r="A602" s="19" t="n">
        <v>602</v>
      </c>
    </row>
    <row r="603" customFormat="false" ht="15.75" hidden="false" customHeight="false" outlineLevel="0" collapsed="false">
      <c r="A603" s="19" t="n">
        <v>603</v>
      </c>
    </row>
    <row r="604" customFormat="false" ht="15.75" hidden="false" customHeight="false" outlineLevel="0" collapsed="false">
      <c r="A604" s="19" t="n">
        <v>604</v>
      </c>
    </row>
    <row r="605" customFormat="false" ht="15.75" hidden="false" customHeight="false" outlineLevel="0" collapsed="false">
      <c r="A605" s="19" t="n">
        <v>605</v>
      </c>
    </row>
    <row r="606" customFormat="false" ht="15.75" hidden="false" customHeight="false" outlineLevel="0" collapsed="false">
      <c r="A606" s="19" t="n">
        <v>606</v>
      </c>
    </row>
    <row r="607" customFormat="false" ht="15.75" hidden="false" customHeight="false" outlineLevel="0" collapsed="false">
      <c r="A607" s="19" t="n">
        <v>607</v>
      </c>
    </row>
    <row r="608" customFormat="false" ht="15.75" hidden="false" customHeight="false" outlineLevel="0" collapsed="false">
      <c r="A608" s="19" t="n">
        <v>608</v>
      </c>
    </row>
    <row r="609" customFormat="false" ht="15.75" hidden="false" customHeight="false" outlineLevel="0" collapsed="false">
      <c r="A609" s="19" t="n">
        <v>609</v>
      </c>
    </row>
    <row r="610" customFormat="false" ht="15.75" hidden="false" customHeight="false" outlineLevel="0" collapsed="false">
      <c r="A610" s="19" t="n">
        <v>610</v>
      </c>
    </row>
    <row r="611" customFormat="false" ht="15.75" hidden="false" customHeight="false" outlineLevel="0" collapsed="false">
      <c r="A611" s="19" t="n">
        <v>611</v>
      </c>
    </row>
    <row r="612" customFormat="false" ht="15.75" hidden="false" customHeight="false" outlineLevel="0" collapsed="false">
      <c r="A612" s="19" t="n">
        <v>612</v>
      </c>
    </row>
    <row r="613" customFormat="false" ht="15.75" hidden="false" customHeight="false" outlineLevel="0" collapsed="false">
      <c r="A613" s="19" t="n">
        <v>613</v>
      </c>
    </row>
    <row r="614" customFormat="false" ht="15.75" hidden="false" customHeight="false" outlineLevel="0" collapsed="false">
      <c r="A614" s="19" t="n">
        <v>614</v>
      </c>
    </row>
    <row r="615" customFormat="false" ht="15.75" hidden="false" customHeight="false" outlineLevel="0" collapsed="false">
      <c r="A615" s="19" t="n">
        <v>615</v>
      </c>
    </row>
    <row r="616" customFormat="false" ht="15.75" hidden="false" customHeight="false" outlineLevel="0" collapsed="false">
      <c r="A616" s="19" t="n">
        <v>616</v>
      </c>
    </row>
    <row r="617" customFormat="false" ht="15.75" hidden="false" customHeight="false" outlineLevel="0" collapsed="false">
      <c r="A617" s="19" t="n">
        <v>617</v>
      </c>
    </row>
    <row r="618" customFormat="false" ht="15.75" hidden="false" customHeight="false" outlineLevel="0" collapsed="false">
      <c r="A618" s="19" t="n">
        <v>618</v>
      </c>
    </row>
    <row r="619" customFormat="false" ht="15.75" hidden="false" customHeight="false" outlineLevel="0" collapsed="false">
      <c r="A619" s="19" t="n">
        <v>619</v>
      </c>
    </row>
    <row r="620" customFormat="false" ht="15.75" hidden="false" customHeight="false" outlineLevel="0" collapsed="false">
      <c r="A620" s="19" t="n">
        <v>620</v>
      </c>
    </row>
    <row r="621" customFormat="false" ht="15.75" hidden="false" customHeight="false" outlineLevel="0" collapsed="false">
      <c r="A621" s="19" t="n">
        <v>621</v>
      </c>
    </row>
    <row r="622" customFormat="false" ht="15.75" hidden="false" customHeight="false" outlineLevel="0" collapsed="false">
      <c r="A622" s="19" t="n">
        <v>622</v>
      </c>
    </row>
    <row r="623" customFormat="false" ht="15.75" hidden="false" customHeight="false" outlineLevel="0" collapsed="false">
      <c r="A623" s="19" t="n">
        <v>623</v>
      </c>
    </row>
    <row r="624" customFormat="false" ht="15.75" hidden="false" customHeight="false" outlineLevel="0" collapsed="false">
      <c r="A624" s="19" t="n">
        <v>624</v>
      </c>
    </row>
    <row r="625" customFormat="false" ht="15.75" hidden="false" customHeight="false" outlineLevel="0" collapsed="false">
      <c r="A625" s="19" t="n">
        <v>625</v>
      </c>
    </row>
    <row r="626" customFormat="false" ht="15.75" hidden="false" customHeight="false" outlineLevel="0" collapsed="false">
      <c r="A626" s="19" t="n">
        <v>626</v>
      </c>
    </row>
    <row r="627" customFormat="false" ht="15.75" hidden="false" customHeight="false" outlineLevel="0" collapsed="false">
      <c r="A627" s="19" t="n">
        <v>627</v>
      </c>
    </row>
    <row r="628" customFormat="false" ht="15.75" hidden="false" customHeight="false" outlineLevel="0" collapsed="false">
      <c r="A628" s="19" t="n">
        <v>628</v>
      </c>
    </row>
    <row r="629" customFormat="false" ht="15.75" hidden="false" customHeight="false" outlineLevel="0" collapsed="false">
      <c r="A629" s="19" t="n">
        <v>629</v>
      </c>
    </row>
    <row r="630" customFormat="false" ht="15.75" hidden="false" customHeight="false" outlineLevel="0" collapsed="false">
      <c r="A630" s="19" t="n">
        <v>630</v>
      </c>
    </row>
    <row r="631" customFormat="false" ht="15.75" hidden="false" customHeight="false" outlineLevel="0" collapsed="false">
      <c r="A631" s="19" t="n">
        <v>631</v>
      </c>
    </row>
    <row r="632" customFormat="false" ht="15.75" hidden="false" customHeight="false" outlineLevel="0" collapsed="false">
      <c r="A632" s="19" t="n">
        <v>632</v>
      </c>
    </row>
    <row r="633" customFormat="false" ht="15.75" hidden="false" customHeight="false" outlineLevel="0" collapsed="false">
      <c r="A633" s="19" t="n">
        <v>633</v>
      </c>
    </row>
    <row r="634" customFormat="false" ht="15.75" hidden="false" customHeight="false" outlineLevel="0" collapsed="false">
      <c r="A634" s="19" t="n">
        <v>634</v>
      </c>
    </row>
    <row r="635" customFormat="false" ht="15.75" hidden="false" customHeight="false" outlineLevel="0" collapsed="false">
      <c r="A635" s="19" t="n">
        <v>635</v>
      </c>
    </row>
    <row r="636" customFormat="false" ht="15.75" hidden="false" customHeight="false" outlineLevel="0" collapsed="false">
      <c r="A636" s="19" t="n">
        <v>636</v>
      </c>
    </row>
    <row r="637" customFormat="false" ht="15.75" hidden="false" customHeight="false" outlineLevel="0" collapsed="false">
      <c r="A637" s="19" t="n">
        <v>637</v>
      </c>
    </row>
    <row r="638" customFormat="false" ht="15.75" hidden="false" customHeight="false" outlineLevel="0" collapsed="false">
      <c r="A638" s="19" t="n">
        <v>638</v>
      </c>
    </row>
    <row r="639" customFormat="false" ht="15.75" hidden="false" customHeight="false" outlineLevel="0" collapsed="false">
      <c r="A639" s="19" t="n">
        <v>639</v>
      </c>
    </row>
    <row r="640" customFormat="false" ht="15.75" hidden="false" customHeight="false" outlineLevel="0" collapsed="false">
      <c r="A640" s="19" t="n">
        <v>640</v>
      </c>
    </row>
    <row r="641" customFormat="false" ht="15.75" hidden="false" customHeight="false" outlineLevel="0" collapsed="false">
      <c r="A641" s="19" t="n">
        <v>641</v>
      </c>
    </row>
    <row r="642" customFormat="false" ht="15.75" hidden="false" customHeight="false" outlineLevel="0" collapsed="false">
      <c r="A642" s="19" t="n">
        <v>642</v>
      </c>
    </row>
    <row r="643" customFormat="false" ht="15.75" hidden="false" customHeight="false" outlineLevel="0" collapsed="false">
      <c r="A643" s="19" t="n">
        <v>643</v>
      </c>
    </row>
    <row r="644" customFormat="false" ht="15.75" hidden="false" customHeight="false" outlineLevel="0" collapsed="false">
      <c r="A644" s="19" t="n">
        <v>644</v>
      </c>
    </row>
    <row r="645" customFormat="false" ht="15.75" hidden="false" customHeight="false" outlineLevel="0" collapsed="false">
      <c r="A645" s="19" t="n">
        <v>645</v>
      </c>
    </row>
    <row r="646" customFormat="false" ht="15.75" hidden="false" customHeight="false" outlineLevel="0" collapsed="false">
      <c r="A646" s="19" t="n">
        <v>646</v>
      </c>
    </row>
    <row r="647" customFormat="false" ht="15.75" hidden="false" customHeight="false" outlineLevel="0" collapsed="false">
      <c r="A647" s="19" t="n">
        <v>647</v>
      </c>
    </row>
    <row r="648" customFormat="false" ht="15.75" hidden="false" customHeight="false" outlineLevel="0" collapsed="false">
      <c r="A648" s="19" t="n">
        <v>648</v>
      </c>
    </row>
    <row r="649" customFormat="false" ht="15.75" hidden="false" customHeight="false" outlineLevel="0" collapsed="false">
      <c r="A649" s="19" t="n">
        <v>649</v>
      </c>
    </row>
    <row r="650" customFormat="false" ht="15.75" hidden="false" customHeight="false" outlineLevel="0" collapsed="false">
      <c r="A650" s="19" t="n">
        <v>650</v>
      </c>
    </row>
    <row r="651" customFormat="false" ht="15.75" hidden="false" customHeight="false" outlineLevel="0" collapsed="false">
      <c r="A651" s="19" t="n">
        <v>651</v>
      </c>
    </row>
    <row r="652" customFormat="false" ht="15.75" hidden="false" customHeight="false" outlineLevel="0" collapsed="false">
      <c r="A652" s="19" t="n">
        <v>652</v>
      </c>
    </row>
    <row r="653" customFormat="false" ht="15.75" hidden="false" customHeight="false" outlineLevel="0" collapsed="false">
      <c r="A653" s="19" t="n">
        <v>653</v>
      </c>
    </row>
    <row r="654" customFormat="false" ht="15.75" hidden="false" customHeight="false" outlineLevel="0" collapsed="false">
      <c r="A654" s="19" t="n">
        <v>654</v>
      </c>
    </row>
    <row r="655" customFormat="false" ht="15.75" hidden="false" customHeight="false" outlineLevel="0" collapsed="false">
      <c r="A655" s="19" t="n">
        <v>655</v>
      </c>
    </row>
    <row r="656" customFormat="false" ht="15.75" hidden="false" customHeight="false" outlineLevel="0" collapsed="false">
      <c r="A656" s="19" t="n">
        <v>656</v>
      </c>
    </row>
    <row r="657" customFormat="false" ht="15.75" hidden="false" customHeight="false" outlineLevel="0" collapsed="false">
      <c r="A657" s="19" t="n">
        <v>657</v>
      </c>
    </row>
    <row r="658" customFormat="false" ht="15.75" hidden="false" customHeight="false" outlineLevel="0" collapsed="false">
      <c r="A658" s="19" t="n">
        <v>658</v>
      </c>
    </row>
    <row r="659" customFormat="false" ht="15.75" hidden="false" customHeight="false" outlineLevel="0" collapsed="false">
      <c r="A659" s="19" t="n">
        <v>659</v>
      </c>
    </row>
    <row r="660" customFormat="false" ht="15.75" hidden="false" customHeight="false" outlineLevel="0" collapsed="false">
      <c r="A660" s="19" t="n">
        <v>660</v>
      </c>
    </row>
    <row r="661" customFormat="false" ht="15.75" hidden="false" customHeight="false" outlineLevel="0" collapsed="false">
      <c r="A661" s="19" t="n">
        <v>661</v>
      </c>
    </row>
    <row r="662" customFormat="false" ht="15.75" hidden="false" customHeight="false" outlineLevel="0" collapsed="false">
      <c r="A662" s="19" t="n">
        <v>662</v>
      </c>
    </row>
    <row r="663" customFormat="false" ht="15.75" hidden="false" customHeight="false" outlineLevel="0" collapsed="false">
      <c r="A663" s="19" t="n">
        <v>663</v>
      </c>
    </row>
    <row r="664" customFormat="false" ht="15.75" hidden="false" customHeight="false" outlineLevel="0" collapsed="false">
      <c r="A664" s="19" t="n">
        <v>664</v>
      </c>
    </row>
    <row r="665" customFormat="false" ht="15.75" hidden="false" customHeight="false" outlineLevel="0" collapsed="false">
      <c r="A665" s="19" t="n">
        <v>665</v>
      </c>
    </row>
    <row r="666" customFormat="false" ht="15.75" hidden="false" customHeight="false" outlineLevel="0" collapsed="false">
      <c r="A666" s="19" t="n">
        <v>666</v>
      </c>
    </row>
    <row r="667" customFormat="false" ht="15.75" hidden="false" customHeight="false" outlineLevel="0" collapsed="false">
      <c r="A667" s="19" t="n">
        <v>667</v>
      </c>
    </row>
    <row r="668" customFormat="false" ht="15.75" hidden="false" customHeight="false" outlineLevel="0" collapsed="false">
      <c r="A668" s="19" t="n">
        <v>668</v>
      </c>
    </row>
    <row r="669" customFormat="false" ht="15.75" hidden="false" customHeight="false" outlineLevel="0" collapsed="false">
      <c r="A669" s="19" t="n">
        <v>669</v>
      </c>
    </row>
    <row r="670" customFormat="false" ht="15.75" hidden="false" customHeight="false" outlineLevel="0" collapsed="false">
      <c r="A670" s="19" t="n">
        <v>670</v>
      </c>
    </row>
    <row r="671" customFormat="false" ht="15.75" hidden="false" customHeight="false" outlineLevel="0" collapsed="false">
      <c r="A671" s="19" t="n">
        <v>671</v>
      </c>
    </row>
    <row r="672" customFormat="false" ht="15.75" hidden="false" customHeight="false" outlineLevel="0" collapsed="false">
      <c r="A672" s="19" t="n">
        <v>672</v>
      </c>
    </row>
    <row r="673" customFormat="false" ht="15.75" hidden="false" customHeight="false" outlineLevel="0" collapsed="false">
      <c r="A673" s="19" t="n">
        <v>673</v>
      </c>
    </row>
    <row r="674" customFormat="false" ht="15.75" hidden="false" customHeight="false" outlineLevel="0" collapsed="false">
      <c r="A674" s="19" t="n">
        <v>674</v>
      </c>
    </row>
    <row r="675" customFormat="false" ht="15.75" hidden="false" customHeight="false" outlineLevel="0" collapsed="false">
      <c r="A675" s="19" t="n">
        <v>675</v>
      </c>
    </row>
    <row r="676" customFormat="false" ht="15.75" hidden="false" customHeight="false" outlineLevel="0" collapsed="false">
      <c r="A676" s="19" t="n">
        <v>676</v>
      </c>
    </row>
    <row r="677" customFormat="false" ht="15.75" hidden="false" customHeight="false" outlineLevel="0" collapsed="false">
      <c r="A677" s="19" t="n">
        <v>677</v>
      </c>
    </row>
    <row r="678" customFormat="false" ht="15.75" hidden="false" customHeight="false" outlineLevel="0" collapsed="false">
      <c r="A678" s="19" t="n">
        <v>678</v>
      </c>
    </row>
    <row r="679" customFormat="false" ht="15.75" hidden="false" customHeight="false" outlineLevel="0" collapsed="false">
      <c r="A679" s="19" t="n">
        <v>679</v>
      </c>
    </row>
    <row r="680" customFormat="false" ht="15.75" hidden="false" customHeight="false" outlineLevel="0" collapsed="false">
      <c r="A680" s="19" t="n">
        <v>680</v>
      </c>
    </row>
    <row r="681" customFormat="false" ht="15.75" hidden="false" customHeight="false" outlineLevel="0" collapsed="false">
      <c r="A681" s="19" t="n">
        <v>681</v>
      </c>
    </row>
    <row r="682" customFormat="false" ht="15.75" hidden="false" customHeight="false" outlineLevel="0" collapsed="false">
      <c r="A682" s="19" t="n">
        <v>682</v>
      </c>
    </row>
    <row r="683" customFormat="false" ht="15.75" hidden="false" customHeight="false" outlineLevel="0" collapsed="false">
      <c r="A683" s="19" t="n">
        <v>683</v>
      </c>
    </row>
    <row r="684" customFormat="false" ht="15.75" hidden="false" customHeight="false" outlineLevel="0" collapsed="false">
      <c r="A684" s="19" t="n">
        <v>684</v>
      </c>
    </row>
    <row r="685" customFormat="false" ht="15.75" hidden="false" customHeight="false" outlineLevel="0" collapsed="false">
      <c r="A685" s="19" t="n">
        <v>685</v>
      </c>
    </row>
    <row r="686" customFormat="false" ht="15.75" hidden="false" customHeight="false" outlineLevel="0" collapsed="false">
      <c r="A686" s="19" t="n">
        <v>686</v>
      </c>
    </row>
    <row r="687" customFormat="false" ht="15.75" hidden="false" customHeight="false" outlineLevel="0" collapsed="false">
      <c r="A687" s="19" t="n">
        <v>687</v>
      </c>
    </row>
    <row r="688" customFormat="false" ht="15.75" hidden="false" customHeight="false" outlineLevel="0" collapsed="false">
      <c r="A688" s="19" t="n">
        <v>688</v>
      </c>
    </row>
    <row r="689" customFormat="false" ht="15.75" hidden="false" customHeight="false" outlineLevel="0" collapsed="false">
      <c r="A689" s="19" t="n">
        <v>689</v>
      </c>
    </row>
    <row r="690" customFormat="false" ht="15.75" hidden="false" customHeight="false" outlineLevel="0" collapsed="false">
      <c r="A690" s="19" t="n">
        <v>690</v>
      </c>
    </row>
    <row r="691" customFormat="false" ht="15.75" hidden="false" customHeight="false" outlineLevel="0" collapsed="false">
      <c r="A691" s="19" t="n">
        <v>691</v>
      </c>
    </row>
    <row r="692" customFormat="false" ht="15.75" hidden="false" customHeight="false" outlineLevel="0" collapsed="false">
      <c r="A692" s="19" t="n">
        <v>692</v>
      </c>
    </row>
    <row r="693" customFormat="false" ht="15.75" hidden="false" customHeight="false" outlineLevel="0" collapsed="false">
      <c r="A693" s="19" t="n">
        <v>693</v>
      </c>
    </row>
    <row r="694" customFormat="false" ht="15.75" hidden="false" customHeight="false" outlineLevel="0" collapsed="false">
      <c r="A694" s="19" t="n">
        <v>694</v>
      </c>
    </row>
    <row r="695" customFormat="false" ht="15.75" hidden="false" customHeight="false" outlineLevel="0" collapsed="false">
      <c r="A695" s="19" t="n">
        <v>695</v>
      </c>
    </row>
    <row r="696" customFormat="false" ht="15.75" hidden="false" customHeight="false" outlineLevel="0" collapsed="false">
      <c r="A696" s="19" t="n">
        <v>696</v>
      </c>
    </row>
    <row r="697" customFormat="false" ht="15.75" hidden="false" customHeight="false" outlineLevel="0" collapsed="false">
      <c r="A697" s="19" t="n">
        <v>697</v>
      </c>
    </row>
    <row r="698" customFormat="false" ht="15.75" hidden="false" customHeight="false" outlineLevel="0" collapsed="false">
      <c r="A698" s="19" t="n">
        <v>698</v>
      </c>
    </row>
    <row r="699" customFormat="false" ht="15.75" hidden="false" customHeight="false" outlineLevel="0" collapsed="false">
      <c r="A699" s="19" t="n">
        <v>699</v>
      </c>
    </row>
    <row r="700" customFormat="false" ht="15.75" hidden="false" customHeight="false" outlineLevel="0" collapsed="false">
      <c r="A700" s="19" t="n">
        <v>700</v>
      </c>
    </row>
    <row r="701" customFormat="false" ht="15.75" hidden="false" customHeight="false" outlineLevel="0" collapsed="false">
      <c r="A701" s="19" t="n">
        <v>701</v>
      </c>
    </row>
    <row r="702" customFormat="false" ht="15.75" hidden="false" customHeight="false" outlineLevel="0" collapsed="false">
      <c r="A702" s="19" t="n">
        <v>702</v>
      </c>
    </row>
    <row r="703" customFormat="false" ht="15.75" hidden="false" customHeight="false" outlineLevel="0" collapsed="false">
      <c r="A703" s="19" t="n">
        <v>703</v>
      </c>
    </row>
    <row r="704" customFormat="false" ht="15.75" hidden="false" customHeight="false" outlineLevel="0" collapsed="false">
      <c r="A704" s="19" t="n">
        <v>704</v>
      </c>
    </row>
    <row r="705" customFormat="false" ht="15.75" hidden="false" customHeight="false" outlineLevel="0" collapsed="false">
      <c r="A705" s="19" t="n">
        <v>705</v>
      </c>
    </row>
    <row r="706" customFormat="false" ht="15.75" hidden="false" customHeight="false" outlineLevel="0" collapsed="false">
      <c r="A706" s="19" t="n">
        <v>706</v>
      </c>
    </row>
    <row r="707" customFormat="false" ht="15.75" hidden="false" customHeight="false" outlineLevel="0" collapsed="false">
      <c r="A707" s="19" t="n">
        <v>707</v>
      </c>
    </row>
    <row r="708" customFormat="false" ht="15.75" hidden="false" customHeight="false" outlineLevel="0" collapsed="false">
      <c r="A708" s="19" t="n">
        <v>708</v>
      </c>
    </row>
    <row r="709" customFormat="false" ht="15.75" hidden="false" customHeight="false" outlineLevel="0" collapsed="false">
      <c r="A709" s="19" t="n">
        <v>709</v>
      </c>
    </row>
    <row r="710" customFormat="false" ht="15.75" hidden="false" customHeight="false" outlineLevel="0" collapsed="false">
      <c r="A710" s="19" t="n">
        <v>710</v>
      </c>
    </row>
    <row r="711" customFormat="false" ht="15.75" hidden="false" customHeight="false" outlineLevel="0" collapsed="false">
      <c r="A711" s="19" t="n">
        <v>711</v>
      </c>
    </row>
    <row r="712" customFormat="false" ht="15.75" hidden="false" customHeight="false" outlineLevel="0" collapsed="false">
      <c r="A712" s="19" t="n">
        <v>712</v>
      </c>
    </row>
    <row r="713" customFormat="false" ht="15.75" hidden="false" customHeight="false" outlineLevel="0" collapsed="false">
      <c r="A713" s="19" t="n">
        <v>713</v>
      </c>
    </row>
    <row r="714" customFormat="false" ht="15.75" hidden="false" customHeight="false" outlineLevel="0" collapsed="false">
      <c r="A714" s="19" t="n">
        <v>714</v>
      </c>
    </row>
    <row r="715" customFormat="false" ht="15.75" hidden="false" customHeight="false" outlineLevel="0" collapsed="false">
      <c r="A715" s="19" t="n">
        <v>715</v>
      </c>
    </row>
    <row r="716" customFormat="false" ht="15.75" hidden="false" customHeight="false" outlineLevel="0" collapsed="false">
      <c r="A716" s="19" t="n">
        <v>716</v>
      </c>
    </row>
    <row r="717" customFormat="false" ht="15.75" hidden="false" customHeight="false" outlineLevel="0" collapsed="false">
      <c r="A717" s="19" t="n">
        <v>717</v>
      </c>
    </row>
    <row r="718" customFormat="false" ht="15.75" hidden="false" customHeight="false" outlineLevel="0" collapsed="false">
      <c r="A718" s="19" t="n">
        <v>718</v>
      </c>
    </row>
    <row r="719" customFormat="false" ht="15.75" hidden="false" customHeight="false" outlineLevel="0" collapsed="false">
      <c r="A719" s="19" t="n">
        <v>719</v>
      </c>
    </row>
    <row r="720" customFormat="false" ht="15.75" hidden="false" customHeight="false" outlineLevel="0" collapsed="false">
      <c r="A720" s="19" t="n">
        <v>720</v>
      </c>
    </row>
    <row r="721" customFormat="false" ht="15.75" hidden="false" customHeight="false" outlineLevel="0" collapsed="false">
      <c r="A721" s="19" t="n">
        <v>721</v>
      </c>
    </row>
    <row r="722" customFormat="false" ht="15.75" hidden="false" customHeight="false" outlineLevel="0" collapsed="false">
      <c r="A722" s="19" t="n">
        <v>722</v>
      </c>
    </row>
    <row r="723" customFormat="false" ht="15.75" hidden="false" customHeight="false" outlineLevel="0" collapsed="false">
      <c r="A723" s="19" t="n">
        <v>723</v>
      </c>
    </row>
    <row r="724" customFormat="false" ht="15.75" hidden="false" customHeight="false" outlineLevel="0" collapsed="false">
      <c r="A724" s="19" t="n">
        <v>724</v>
      </c>
    </row>
    <row r="725" customFormat="false" ht="15.75" hidden="false" customHeight="false" outlineLevel="0" collapsed="false">
      <c r="A725" s="19" t="n">
        <v>725</v>
      </c>
    </row>
    <row r="726" customFormat="false" ht="15.75" hidden="false" customHeight="false" outlineLevel="0" collapsed="false">
      <c r="A726" s="19" t="n">
        <v>726</v>
      </c>
    </row>
    <row r="727" customFormat="false" ht="15.75" hidden="false" customHeight="false" outlineLevel="0" collapsed="false">
      <c r="A727" s="19" t="n">
        <v>727</v>
      </c>
    </row>
    <row r="728" customFormat="false" ht="15.75" hidden="false" customHeight="false" outlineLevel="0" collapsed="false">
      <c r="A728" s="19" t="n">
        <v>728</v>
      </c>
    </row>
    <row r="729" customFormat="false" ht="15.75" hidden="false" customHeight="false" outlineLevel="0" collapsed="false">
      <c r="A729" s="19" t="n">
        <v>729</v>
      </c>
    </row>
    <row r="730" customFormat="false" ht="15.75" hidden="false" customHeight="false" outlineLevel="0" collapsed="false">
      <c r="A730" s="19" t="n">
        <v>730</v>
      </c>
    </row>
    <row r="731" customFormat="false" ht="15.75" hidden="false" customHeight="false" outlineLevel="0" collapsed="false">
      <c r="A731" s="19" t="n">
        <v>731</v>
      </c>
    </row>
    <row r="732" customFormat="false" ht="15.75" hidden="false" customHeight="false" outlineLevel="0" collapsed="false">
      <c r="A732" s="19" t="n">
        <v>732</v>
      </c>
    </row>
    <row r="733" customFormat="false" ht="15.75" hidden="false" customHeight="false" outlineLevel="0" collapsed="false">
      <c r="A733" s="19" t="n">
        <v>733</v>
      </c>
    </row>
    <row r="734" customFormat="false" ht="15.75" hidden="false" customHeight="false" outlineLevel="0" collapsed="false">
      <c r="A734" s="19" t="n">
        <v>734</v>
      </c>
    </row>
    <row r="735" customFormat="false" ht="15.75" hidden="false" customHeight="false" outlineLevel="0" collapsed="false">
      <c r="A735" s="19" t="n">
        <v>735</v>
      </c>
    </row>
    <row r="736" customFormat="false" ht="15.75" hidden="false" customHeight="false" outlineLevel="0" collapsed="false">
      <c r="A736" s="19" t="n">
        <v>736</v>
      </c>
    </row>
    <row r="737" customFormat="false" ht="15.75" hidden="false" customHeight="false" outlineLevel="0" collapsed="false">
      <c r="A737" s="19" t="n">
        <v>737</v>
      </c>
    </row>
    <row r="738" customFormat="false" ht="15.75" hidden="false" customHeight="false" outlineLevel="0" collapsed="false">
      <c r="A738" s="19" t="n">
        <v>738</v>
      </c>
    </row>
    <row r="739" customFormat="false" ht="15.75" hidden="false" customHeight="false" outlineLevel="0" collapsed="false">
      <c r="A739" s="19" t="n">
        <v>739</v>
      </c>
    </row>
    <row r="740" customFormat="false" ht="15.75" hidden="false" customHeight="false" outlineLevel="0" collapsed="false">
      <c r="A740" s="19" t="n">
        <v>740</v>
      </c>
    </row>
    <row r="741" customFormat="false" ht="15.75" hidden="false" customHeight="false" outlineLevel="0" collapsed="false">
      <c r="A741" s="19" t="n">
        <v>741</v>
      </c>
    </row>
    <row r="742" customFormat="false" ht="15.75" hidden="false" customHeight="false" outlineLevel="0" collapsed="false">
      <c r="A742" s="19" t="n">
        <v>742</v>
      </c>
    </row>
    <row r="743" customFormat="false" ht="15.75" hidden="false" customHeight="false" outlineLevel="0" collapsed="false">
      <c r="A743" s="19" t="n">
        <v>743</v>
      </c>
    </row>
    <row r="744" customFormat="false" ht="15.75" hidden="false" customHeight="false" outlineLevel="0" collapsed="false">
      <c r="A744" s="19" t="n">
        <v>744</v>
      </c>
    </row>
    <row r="745" customFormat="false" ht="15.75" hidden="false" customHeight="false" outlineLevel="0" collapsed="false">
      <c r="A745" s="19" t="n">
        <v>745</v>
      </c>
    </row>
    <row r="746" customFormat="false" ht="15.75" hidden="false" customHeight="false" outlineLevel="0" collapsed="false">
      <c r="A746" s="19" t="n">
        <v>746</v>
      </c>
    </row>
    <row r="747" customFormat="false" ht="15.75" hidden="false" customHeight="false" outlineLevel="0" collapsed="false">
      <c r="A747" s="19" t="n">
        <v>747</v>
      </c>
    </row>
    <row r="748" customFormat="false" ht="15.75" hidden="false" customHeight="false" outlineLevel="0" collapsed="false">
      <c r="A748" s="19" t="n">
        <v>748</v>
      </c>
    </row>
    <row r="749" customFormat="false" ht="15.75" hidden="false" customHeight="false" outlineLevel="0" collapsed="false">
      <c r="A749" s="19" t="n">
        <v>749</v>
      </c>
    </row>
    <row r="750" customFormat="false" ht="15.75" hidden="false" customHeight="false" outlineLevel="0" collapsed="false">
      <c r="A750" s="19" t="n">
        <v>750</v>
      </c>
    </row>
    <row r="751" customFormat="false" ht="15.75" hidden="false" customHeight="false" outlineLevel="0" collapsed="false">
      <c r="A751" s="19" t="n">
        <v>751</v>
      </c>
    </row>
    <row r="752" customFormat="false" ht="15.75" hidden="false" customHeight="false" outlineLevel="0" collapsed="false">
      <c r="A752" s="19" t="n">
        <v>752</v>
      </c>
    </row>
    <row r="753" customFormat="false" ht="15.75" hidden="false" customHeight="false" outlineLevel="0" collapsed="false">
      <c r="A753" s="19" t="n">
        <v>753</v>
      </c>
    </row>
    <row r="754" customFormat="false" ht="15.75" hidden="false" customHeight="false" outlineLevel="0" collapsed="false">
      <c r="A754" s="19" t="n">
        <v>754</v>
      </c>
    </row>
    <row r="755" customFormat="false" ht="15.75" hidden="false" customHeight="false" outlineLevel="0" collapsed="false">
      <c r="A755" s="19" t="n">
        <v>755</v>
      </c>
    </row>
    <row r="756" customFormat="false" ht="15.75" hidden="false" customHeight="false" outlineLevel="0" collapsed="false">
      <c r="A756" s="19" t="n">
        <v>756</v>
      </c>
    </row>
    <row r="757" customFormat="false" ht="15.75" hidden="false" customHeight="false" outlineLevel="0" collapsed="false">
      <c r="A757" s="19" t="n">
        <v>757</v>
      </c>
    </row>
    <row r="758" customFormat="false" ht="15.75" hidden="false" customHeight="false" outlineLevel="0" collapsed="false">
      <c r="A758" s="19" t="n">
        <v>758</v>
      </c>
    </row>
    <row r="759" customFormat="false" ht="15.75" hidden="false" customHeight="false" outlineLevel="0" collapsed="false">
      <c r="A759" s="19" t="n">
        <v>759</v>
      </c>
    </row>
    <row r="760" customFormat="false" ht="15.75" hidden="false" customHeight="false" outlineLevel="0" collapsed="false">
      <c r="A760" s="19" t="n">
        <v>760</v>
      </c>
    </row>
    <row r="761" customFormat="false" ht="15.75" hidden="false" customHeight="false" outlineLevel="0" collapsed="false">
      <c r="A761" s="19" t="n">
        <v>761</v>
      </c>
    </row>
    <row r="762" customFormat="false" ht="15.75" hidden="false" customHeight="false" outlineLevel="0" collapsed="false">
      <c r="A762" s="19" t="n">
        <v>762</v>
      </c>
    </row>
    <row r="763" customFormat="false" ht="15.75" hidden="false" customHeight="false" outlineLevel="0" collapsed="false">
      <c r="A763" s="19" t="n">
        <v>763</v>
      </c>
    </row>
    <row r="764" customFormat="false" ht="15.75" hidden="false" customHeight="false" outlineLevel="0" collapsed="false">
      <c r="A764" s="19" t="n">
        <v>764</v>
      </c>
    </row>
    <row r="765" customFormat="false" ht="15.75" hidden="false" customHeight="false" outlineLevel="0" collapsed="false">
      <c r="A765" s="19" t="n">
        <v>765</v>
      </c>
    </row>
    <row r="766" customFormat="false" ht="15.75" hidden="false" customHeight="false" outlineLevel="0" collapsed="false">
      <c r="A766" s="19" t="n">
        <v>766</v>
      </c>
    </row>
    <row r="767" customFormat="false" ht="15.75" hidden="false" customHeight="false" outlineLevel="0" collapsed="false">
      <c r="A767" s="19" t="n">
        <v>767</v>
      </c>
    </row>
    <row r="768" customFormat="false" ht="15.75" hidden="false" customHeight="false" outlineLevel="0" collapsed="false">
      <c r="A768" s="19" t="n">
        <v>768</v>
      </c>
    </row>
    <row r="769" customFormat="false" ht="15.75" hidden="false" customHeight="false" outlineLevel="0" collapsed="false">
      <c r="A769" s="19" t="n">
        <v>769</v>
      </c>
    </row>
    <row r="770" customFormat="false" ht="15.75" hidden="false" customHeight="false" outlineLevel="0" collapsed="false">
      <c r="A770" s="19" t="n">
        <v>770</v>
      </c>
    </row>
    <row r="771" customFormat="false" ht="15.75" hidden="false" customHeight="false" outlineLevel="0" collapsed="false">
      <c r="A771" s="19" t="n">
        <v>771</v>
      </c>
    </row>
    <row r="772" customFormat="false" ht="15.75" hidden="false" customHeight="false" outlineLevel="0" collapsed="false">
      <c r="A772" s="19" t="n">
        <v>772</v>
      </c>
    </row>
    <row r="773" customFormat="false" ht="15.75" hidden="false" customHeight="false" outlineLevel="0" collapsed="false">
      <c r="A773" s="19" t="n">
        <v>773</v>
      </c>
    </row>
    <row r="774" customFormat="false" ht="15.75" hidden="false" customHeight="false" outlineLevel="0" collapsed="false">
      <c r="A774" s="19" t="n">
        <v>774</v>
      </c>
    </row>
    <row r="775" customFormat="false" ht="15.75" hidden="false" customHeight="false" outlineLevel="0" collapsed="false">
      <c r="A775" s="19" t="n">
        <v>775</v>
      </c>
    </row>
    <row r="776" customFormat="false" ht="15.75" hidden="false" customHeight="false" outlineLevel="0" collapsed="false">
      <c r="A776" s="19" t="n">
        <v>776</v>
      </c>
    </row>
    <row r="777" customFormat="false" ht="15.75" hidden="false" customHeight="false" outlineLevel="0" collapsed="false">
      <c r="A777" s="19" t="n">
        <v>777</v>
      </c>
    </row>
    <row r="778" customFormat="false" ht="15.75" hidden="false" customHeight="false" outlineLevel="0" collapsed="false">
      <c r="A778" s="19" t="n">
        <v>778</v>
      </c>
    </row>
    <row r="779" customFormat="false" ht="15.75" hidden="false" customHeight="false" outlineLevel="0" collapsed="false">
      <c r="A779" s="19" t="n">
        <v>779</v>
      </c>
    </row>
    <row r="780" customFormat="false" ht="15.75" hidden="false" customHeight="false" outlineLevel="0" collapsed="false">
      <c r="A780" s="19" t="n">
        <v>780</v>
      </c>
    </row>
    <row r="781" customFormat="false" ht="15.75" hidden="false" customHeight="false" outlineLevel="0" collapsed="false">
      <c r="A781" s="19" t="n">
        <v>781</v>
      </c>
    </row>
    <row r="782" customFormat="false" ht="15.75" hidden="false" customHeight="false" outlineLevel="0" collapsed="false">
      <c r="A782" s="19" t="n">
        <v>782</v>
      </c>
    </row>
    <row r="783" customFormat="false" ht="15.75" hidden="false" customHeight="false" outlineLevel="0" collapsed="false">
      <c r="A783" s="19" t="n">
        <v>783</v>
      </c>
    </row>
    <row r="784" customFormat="false" ht="15.75" hidden="false" customHeight="false" outlineLevel="0" collapsed="false">
      <c r="A784" s="19" t="n">
        <v>784</v>
      </c>
    </row>
    <row r="785" customFormat="false" ht="15.75" hidden="false" customHeight="false" outlineLevel="0" collapsed="false">
      <c r="A785" s="19" t="n">
        <v>785</v>
      </c>
    </row>
    <row r="786" customFormat="false" ht="15.75" hidden="false" customHeight="false" outlineLevel="0" collapsed="false">
      <c r="A786" s="19" t="n">
        <v>786</v>
      </c>
    </row>
    <row r="787" customFormat="false" ht="15.75" hidden="false" customHeight="false" outlineLevel="0" collapsed="false">
      <c r="A787" s="19" t="n">
        <v>787</v>
      </c>
    </row>
    <row r="788" customFormat="false" ht="15.75" hidden="false" customHeight="false" outlineLevel="0" collapsed="false">
      <c r="A788" s="19" t="n">
        <v>788</v>
      </c>
    </row>
    <row r="789" customFormat="false" ht="15.75" hidden="false" customHeight="false" outlineLevel="0" collapsed="false">
      <c r="A789" s="19" t="n">
        <v>789</v>
      </c>
    </row>
    <row r="790" customFormat="false" ht="15.75" hidden="false" customHeight="false" outlineLevel="0" collapsed="false">
      <c r="A790" s="19" t="n">
        <v>790</v>
      </c>
    </row>
    <row r="791" customFormat="false" ht="15.75" hidden="false" customHeight="false" outlineLevel="0" collapsed="false">
      <c r="A791" s="19" t="n">
        <v>791</v>
      </c>
    </row>
    <row r="792" customFormat="false" ht="15.75" hidden="false" customHeight="false" outlineLevel="0" collapsed="false">
      <c r="A792" s="19" t="n">
        <v>792</v>
      </c>
    </row>
    <row r="793" customFormat="false" ht="15.75" hidden="false" customHeight="false" outlineLevel="0" collapsed="false">
      <c r="A793" s="19" t="n">
        <v>793</v>
      </c>
    </row>
    <row r="794" customFormat="false" ht="15.75" hidden="false" customHeight="false" outlineLevel="0" collapsed="false">
      <c r="A794" s="19" t="n">
        <v>794</v>
      </c>
    </row>
    <row r="795" customFormat="false" ht="15.75" hidden="false" customHeight="false" outlineLevel="0" collapsed="false">
      <c r="A795" s="19" t="n">
        <v>795</v>
      </c>
    </row>
    <row r="796" customFormat="false" ht="15.75" hidden="false" customHeight="false" outlineLevel="0" collapsed="false">
      <c r="A796" s="19" t="n">
        <v>796</v>
      </c>
    </row>
    <row r="797" customFormat="false" ht="15.75" hidden="false" customHeight="false" outlineLevel="0" collapsed="false">
      <c r="A797" s="19" t="n">
        <v>797</v>
      </c>
    </row>
    <row r="798" customFormat="false" ht="15.75" hidden="false" customHeight="false" outlineLevel="0" collapsed="false">
      <c r="A798" s="19" t="n">
        <v>798</v>
      </c>
    </row>
    <row r="799" customFormat="false" ht="15.75" hidden="false" customHeight="false" outlineLevel="0" collapsed="false">
      <c r="A799" s="19" t="n">
        <v>799</v>
      </c>
    </row>
    <row r="800" customFormat="false" ht="15.75" hidden="false" customHeight="false" outlineLevel="0" collapsed="false">
      <c r="A800" s="19" t="n">
        <v>800</v>
      </c>
    </row>
    <row r="801" customFormat="false" ht="15.75" hidden="false" customHeight="false" outlineLevel="0" collapsed="false">
      <c r="A801" s="19" t="n">
        <v>801</v>
      </c>
    </row>
    <row r="802" customFormat="false" ht="15.75" hidden="false" customHeight="false" outlineLevel="0" collapsed="false">
      <c r="A802" s="19" t="n">
        <v>802</v>
      </c>
    </row>
    <row r="803" customFormat="false" ht="15.75" hidden="false" customHeight="false" outlineLevel="0" collapsed="false">
      <c r="A803" s="19" t="n">
        <v>803</v>
      </c>
    </row>
    <row r="804" customFormat="false" ht="15.75" hidden="false" customHeight="false" outlineLevel="0" collapsed="false">
      <c r="A804" s="19" t="n">
        <v>804</v>
      </c>
    </row>
    <row r="805" customFormat="false" ht="15.75" hidden="false" customHeight="false" outlineLevel="0" collapsed="false">
      <c r="A805" s="19" t="n">
        <v>805</v>
      </c>
    </row>
    <row r="806" customFormat="false" ht="15.75" hidden="false" customHeight="false" outlineLevel="0" collapsed="false">
      <c r="A806" s="19" t="n">
        <v>806</v>
      </c>
    </row>
    <row r="807" customFormat="false" ht="15.75" hidden="false" customHeight="false" outlineLevel="0" collapsed="false">
      <c r="A807" s="19" t="n">
        <v>807</v>
      </c>
    </row>
    <row r="808" customFormat="false" ht="15.75" hidden="false" customHeight="false" outlineLevel="0" collapsed="false">
      <c r="A808" s="19" t="n">
        <v>808</v>
      </c>
    </row>
    <row r="809" customFormat="false" ht="15.75" hidden="false" customHeight="false" outlineLevel="0" collapsed="false">
      <c r="A809" s="19" t="n">
        <v>809</v>
      </c>
    </row>
    <row r="810" customFormat="false" ht="15.75" hidden="false" customHeight="false" outlineLevel="0" collapsed="false">
      <c r="A810" s="19" t="n">
        <v>810</v>
      </c>
    </row>
    <row r="811" customFormat="false" ht="15.75" hidden="false" customHeight="false" outlineLevel="0" collapsed="false">
      <c r="A811" s="19" t="n">
        <v>811</v>
      </c>
    </row>
    <row r="812" customFormat="false" ht="15.75" hidden="false" customHeight="false" outlineLevel="0" collapsed="false">
      <c r="A812" s="19" t="n">
        <v>812</v>
      </c>
    </row>
    <row r="813" customFormat="false" ht="15.75" hidden="false" customHeight="false" outlineLevel="0" collapsed="false">
      <c r="A813" s="19" t="n">
        <v>813</v>
      </c>
    </row>
    <row r="814" customFormat="false" ht="15.75" hidden="false" customHeight="false" outlineLevel="0" collapsed="false">
      <c r="A814" s="19" t="n">
        <v>814</v>
      </c>
    </row>
    <row r="815" customFormat="false" ht="15.75" hidden="false" customHeight="false" outlineLevel="0" collapsed="false">
      <c r="A815" s="19" t="n">
        <v>815</v>
      </c>
    </row>
    <row r="816" customFormat="false" ht="15.75" hidden="false" customHeight="false" outlineLevel="0" collapsed="false">
      <c r="A816" s="19" t="n">
        <v>816</v>
      </c>
    </row>
    <row r="817" customFormat="false" ht="15.75" hidden="false" customHeight="false" outlineLevel="0" collapsed="false">
      <c r="A817" s="19" t="n">
        <v>817</v>
      </c>
    </row>
    <row r="818" customFormat="false" ht="15.75" hidden="false" customHeight="false" outlineLevel="0" collapsed="false">
      <c r="A818" s="19" t="n">
        <v>818</v>
      </c>
    </row>
    <row r="819" customFormat="false" ht="15.75" hidden="false" customHeight="false" outlineLevel="0" collapsed="false">
      <c r="A819" s="19" t="n">
        <v>819</v>
      </c>
    </row>
    <row r="820" customFormat="false" ht="15.75" hidden="false" customHeight="false" outlineLevel="0" collapsed="false">
      <c r="A820" s="19" t="n">
        <v>820</v>
      </c>
    </row>
    <row r="821" customFormat="false" ht="15.75" hidden="false" customHeight="false" outlineLevel="0" collapsed="false">
      <c r="A821" s="19" t="n">
        <v>821</v>
      </c>
    </row>
    <row r="822" customFormat="false" ht="15.75" hidden="false" customHeight="false" outlineLevel="0" collapsed="false">
      <c r="A822" s="19" t="n">
        <v>822</v>
      </c>
    </row>
    <row r="823" customFormat="false" ht="15.75" hidden="false" customHeight="false" outlineLevel="0" collapsed="false">
      <c r="A823" s="19" t="n">
        <v>823</v>
      </c>
    </row>
    <row r="824" customFormat="false" ht="15.75" hidden="false" customHeight="false" outlineLevel="0" collapsed="false">
      <c r="A824" s="19" t="n">
        <v>824</v>
      </c>
    </row>
    <row r="825" customFormat="false" ht="15.75" hidden="false" customHeight="false" outlineLevel="0" collapsed="false">
      <c r="A825" s="19" t="n">
        <v>825</v>
      </c>
    </row>
    <row r="826" customFormat="false" ht="15.75" hidden="false" customHeight="false" outlineLevel="0" collapsed="false">
      <c r="A826" s="19" t="n">
        <v>826</v>
      </c>
    </row>
    <row r="827" customFormat="false" ht="15.75" hidden="false" customHeight="false" outlineLevel="0" collapsed="false">
      <c r="A827" s="19" t="n">
        <v>827</v>
      </c>
    </row>
    <row r="828" customFormat="false" ht="15.75" hidden="false" customHeight="false" outlineLevel="0" collapsed="false">
      <c r="A828" s="19" t="n">
        <v>828</v>
      </c>
    </row>
    <row r="829" customFormat="false" ht="15.75" hidden="false" customHeight="false" outlineLevel="0" collapsed="false">
      <c r="A829" s="19" t="n">
        <v>829</v>
      </c>
    </row>
    <row r="830" customFormat="false" ht="15.75" hidden="false" customHeight="false" outlineLevel="0" collapsed="false">
      <c r="A830" s="19" t="n">
        <v>830</v>
      </c>
    </row>
    <row r="831" customFormat="false" ht="15.75" hidden="false" customHeight="false" outlineLevel="0" collapsed="false">
      <c r="A831" s="19" t="n">
        <v>831</v>
      </c>
    </row>
    <row r="832" customFormat="false" ht="15.75" hidden="false" customHeight="false" outlineLevel="0" collapsed="false">
      <c r="A832" s="19" t="n">
        <v>832</v>
      </c>
    </row>
    <row r="833" customFormat="false" ht="15.75" hidden="false" customHeight="false" outlineLevel="0" collapsed="false">
      <c r="A833" s="19" t="n">
        <v>833</v>
      </c>
    </row>
    <row r="834" customFormat="false" ht="15.75" hidden="false" customHeight="false" outlineLevel="0" collapsed="false">
      <c r="A834" s="19" t="n">
        <v>834</v>
      </c>
    </row>
    <row r="835" customFormat="false" ht="15.75" hidden="false" customHeight="false" outlineLevel="0" collapsed="false">
      <c r="A835" s="19" t="n">
        <v>835</v>
      </c>
    </row>
    <row r="836" customFormat="false" ht="15.75" hidden="false" customHeight="false" outlineLevel="0" collapsed="false">
      <c r="A836" s="19" t="n">
        <v>836</v>
      </c>
    </row>
    <row r="837" customFormat="false" ht="15.75" hidden="false" customHeight="false" outlineLevel="0" collapsed="false">
      <c r="A837" s="19" t="n">
        <v>837</v>
      </c>
    </row>
    <row r="838" customFormat="false" ht="15.75" hidden="false" customHeight="false" outlineLevel="0" collapsed="false">
      <c r="A838" s="19" t="n">
        <v>838</v>
      </c>
    </row>
    <row r="839" customFormat="false" ht="15.75" hidden="false" customHeight="false" outlineLevel="0" collapsed="false">
      <c r="A839" s="19" t="n">
        <v>839</v>
      </c>
    </row>
    <row r="840" customFormat="false" ht="15.75" hidden="false" customHeight="false" outlineLevel="0" collapsed="false">
      <c r="A840" s="19" t="n">
        <v>840</v>
      </c>
    </row>
    <row r="841" customFormat="false" ht="15.75" hidden="false" customHeight="false" outlineLevel="0" collapsed="false">
      <c r="A841" s="19" t="n">
        <v>841</v>
      </c>
    </row>
    <row r="842" customFormat="false" ht="15.75" hidden="false" customHeight="false" outlineLevel="0" collapsed="false">
      <c r="A842" s="19" t="n">
        <v>842</v>
      </c>
    </row>
    <row r="843" customFormat="false" ht="15.75" hidden="false" customHeight="false" outlineLevel="0" collapsed="false">
      <c r="A843" s="19" t="n">
        <v>843</v>
      </c>
    </row>
    <row r="844" customFormat="false" ht="15.75" hidden="false" customHeight="false" outlineLevel="0" collapsed="false">
      <c r="A844" s="19" t="n">
        <v>844</v>
      </c>
    </row>
    <row r="845" customFormat="false" ht="15.75" hidden="false" customHeight="false" outlineLevel="0" collapsed="false">
      <c r="A845" s="19" t="n">
        <v>845</v>
      </c>
    </row>
    <row r="846" customFormat="false" ht="15.75" hidden="false" customHeight="false" outlineLevel="0" collapsed="false">
      <c r="A846" s="19" t="n">
        <v>846</v>
      </c>
    </row>
    <row r="847" customFormat="false" ht="15.75" hidden="false" customHeight="false" outlineLevel="0" collapsed="false">
      <c r="A847" s="19" t="n">
        <v>847</v>
      </c>
    </row>
    <row r="848" customFormat="false" ht="15.75" hidden="false" customHeight="false" outlineLevel="0" collapsed="false">
      <c r="A848" s="19" t="n">
        <v>848</v>
      </c>
    </row>
    <row r="849" customFormat="false" ht="15.75" hidden="false" customHeight="false" outlineLevel="0" collapsed="false">
      <c r="A849" s="19" t="n">
        <v>849</v>
      </c>
    </row>
    <row r="850" customFormat="false" ht="15.75" hidden="false" customHeight="false" outlineLevel="0" collapsed="false">
      <c r="A850" s="19" t="n">
        <v>850</v>
      </c>
    </row>
    <row r="851" customFormat="false" ht="15.75" hidden="false" customHeight="false" outlineLevel="0" collapsed="false">
      <c r="A851" s="19" t="n">
        <v>851</v>
      </c>
    </row>
    <row r="852" customFormat="false" ht="15.75" hidden="false" customHeight="false" outlineLevel="0" collapsed="false">
      <c r="A852" s="19" t="n">
        <v>852</v>
      </c>
    </row>
    <row r="853" customFormat="false" ht="15.75" hidden="false" customHeight="false" outlineLevel="0" collapsed="false">
      <c r="A853" s="19" t="n">
        <v>853</v>
      </c>
    </row>
    <row r="854" customFormat="false" ht="15.75" hidden="false" customHeight="false" outlineLevel="0" collapsed="false">
      <c r="A854" s="19" t="n">
        <v>854</v>
      </c>
    </row>
    <row r="855" customFormat="false" ht="15.75" hidden="false" customHeight="false" outlineLevel="0" collapsed="false">
      <c r="A855" s="19" t="n">
        <v>855</v>
      </c>
    </row>
    <row r="856" customFormat="false" ht="15.75" hidden="false" customHeight="false" outlineLevel="0" collapsed="false">
      <c r="A856" s="19" t="n">
        <v>856</v>
      </c>
    </row>
    <row r="857" customFormat="false" ht="15.75" hidden="false" customHeight="false" outlineLevel="0" collapsed="false">
      <c r="A857" s="19" t="n">
        <v>857</v>
      </c>
    </row>
    <row r="858" customFormat="false" ht="15.75" hidden="false" customHeight="false" outlineLevel="0" collapsed="false">
      <c r="A858" s="19" t="n">
        <v>858</v>
      </c>
    </row>
    <row r="859" customFormat="false" ht="15.75" hidden="false" customHeight="false" outlineLevel="0" collapsed="false">
      <c r="A859" s="19" t="n">
        <v>859</v>
      </c>
    </row>
    <row r="860" customFormat="false" ht="15.75" hidden="false" customHeight="false" outlineLevel="0" collapsed="false">
      <c r="A860" s="19" t="n">
        <v>860</v>
      </c>
    </row>
    <row r="861" customFormat="false" ht="15.75" hidden="false" customHeight="false" outlineLevel="0" collapsed="false">
      <c r="A861" s="19" t="n">
        <v>861</v>
      </c>
    </row>
    <row r="862" customFormat="false" ht="15.75" hidden="false" customHeight="false" outlineLevel="0" collapsed="false">
      <c r="A862" s="19" t="n">
        <v>862</v>
      </c>
    </row>
    <row r="863" customFormat="false" ht="15.75" hidden="false" customHeight="false" outlineLevel="0" collapsed="false">
      <c r="A863" s="19" t="n">
        <v>863</v>
      </c>
    </row>
    <row r="864" customFormat="false" ht="15.75" hidden="false" customHeight="false" outlineLevel="0" collapsed="false">
      <c r="A864" s="19" t="n">
        <v>864</v>
      </c>
    </row>
    <row r="865" customFormat="false" ht="15.75" hidden="false" customHeight="false" outlineLevel="0" collapsed="false">
      <c r="A865" s="19" t="n">
        <v>865</v>
      </c>
    </row>
    <row r="866" customFormat="false" ht="15.75" hidden="false" customHeight="false" outlineLevel="0" collapsed="false">
      <c r="A866" s="19" t="n">
        <v>866</v>
      </c>
    </row>
    <row r="867" customFormat="false" ht="15.75" hidden="false" customHeight="false" outlineLevel="0" collapsed="false">
      <c r="A867" s="19" t="n">
        <v>867</v>
      </c>
    </row>
    <row r="868" customFormat="false" ht="15.75" hidden="false" customHeight="false" outlineLevel="0" collapsed="false">
      <c r="A868" s="19" t="n">
        <v>868</v>
      </c>
    </row>
    <row r="869" customFormat="false" ht="15.75" hidden="false" customHeight="false" outlineLevel="0" collapsed="false">
      <c r="A869" s="19" t="n">
        <v>869</v>
      </c>
    </row>
    <row r="870" customFormat="false" ht="15.75" hidden="false" customHeight="false" outlineLevel="0" collapsed="false">
      <c r="A870" s="19" t="n">
        <v>870</v>
      </c>
    </row>
    <row r="871" customFormat="false" ht="15.75" hidden="false" customHeight="false" outlineLevel="0" collapsed="false">
      <c r="A871" s="19" t="n">
        <v>871</v>
      </c>
    </row>
    <row r="872" customFormat="false" ht="15.75" hidden="false" customHeight="false" outlineLevel="0" collapsed="false">
      <c r="A872" s="19" t="n">
        <v>872</v>
      </c>
    </row>
    <row r="873" customFormat="false" ht="15.75" hidden="false" customHeight="false" outlineLevel="0" collapsed="false">
      <c r="A873" s="19" t="n">
        <v>873</v>
      </c>
    </row>
    <row r="874" customFormat="false" ht="15.75" hidden="false" customHeight="false" outlineLevel="0" collapsed="false">
      <c r="A874" s="19" t="n">
        <v>874</v>
      </c>
    </row>
    <row r="875" customFormat="false" ht="15.75" hidden="false" customHeight="false" outlineLevel="0" collapsed="false">
      <c r="A875" s="19" t="n">
        <v>875</v>
      </c>
    </row>
    <row r="876" customFormat="false" ht="15.75" hidden="false" customHeight="false" outlineLevel="0" collapsed="false">
      <c r="A876" s="19" t="n">
        <v>876</v>
      </c>
    </row>
    <row r="877" customFormat="false" ht="15.75" hidden="false" customHeight="false" outlineLevel="0" collapsed="false">
      <c r="A877" s="19" t="n">
        <v>877</v>
      </c>
    </row>
    <row r="878" customFormat="false" ht="15.75" hidden="false" customHeight="false" outlineLevel="0" collapsed="false">
      <c r="A878" s="19" t="n">
        <v>878</v>
      </c>
    </row>
    <row r="879" customFormat="false" ht="15.75" hidden="false" customHeight="false" outlineLevel="0" collapsed="false">
      <c r="A879" s="19" t="n">
        <v>879</v>
      </c>
    </row>
    <row r="880" customFormat="false" ht="15.75" hidden="false" customHeight="false" outlineLevel="0" collapsed="false">
      <c r="A880" s="19" t="n">
        <v>880</v>
      </c>
    </row>
    <row r="881" customFormat="false" ht="15.75" hidden="false" customHeight="false" outlineLevel="0" collapsed="false">
      <c r="A881" s="19" t="n">
        <v>881</v>
      </c>
    </row>
    <row r="882" customFormat="false" ht="15.75" hidden="false" customHeight="false" outlineLevel="0" collapsed="false">
      <c r="A882" s="19" t="n">
        <v>882</v>
      </c>
    </row>
    <row r="883" customFormat="false" ht="15.75" hidden="false" customHeight="false" outlineLevel="0" collapsed="false">
      <c r="A883" s="19" t="n">
        <v>883</v>
      </c>
    </row>
    <row r="884" customFormat="false" ht="15.75" hidden="false" customHeight="false" outlineLevel="0" collapsed="false">
      <c r="A884" s="19" t="n">
        <v>884</v>
      </c>
    </row>
    <row r="885" customFormat="false" ht="15.75" hidden="false" customHeight="false" outlineLevel="0" collapsed="false">
      <c r="A885" s="19" t="n">
        <v>885</v>
      </c>
    </row>
    <row r="886" customFormat="false" ht="15.75" hidden="false" customHeight="false" outlineLevel="0" collapsed="false">
      <c r="A886" s="19" t="n">
        <v>886</v>
      </c>
    </row>
    <row r="887" customFormat="false" ht="15.75" hidden="false" customHeight="false" outlineLevel="0" collapsed="false">
      <c r="A887" s="19" t="n">
        <v>887</v>
      </c>
    </row>
    <row r="888" customFormat="false" ht="15.75" hidden="false" customHeight="false" outlineLevel="0" collapsed="false">
      <c r="A888" s="19" t="n">
        <v>888</v>
      </c>
    </row>
    <row r="889" customFormat="false" ht="15.75" hidden="false" customHeight="false" outlineLevel="0" collapsed="false">
      <c r="A889" s="19" t="n">
        <v>889</v>
      </c>
    </row>
    <row r="890" customFormat="false" ht="15.75" hidden="false" customHeight="false" outlineLevel="0" collapsed="false">
      <c r="A890" s="19" t="n">
        <v>890</v>
      </c>
    </row>
    <row r="891" customFormat="false" ht="15.75" hidden="false" customHeight="false" outlineLevel="0" collapsed="false">
      <c r="A891" s="19" t="n">
        <v>891</v>
      </c>
    </row>
    <row r="892" customFormat="false" ht="15.75" hidden="false" customHeight="false" outlineLevel="0" collapsed="false">
      <c r="A892" s="19" t="n">
        <v>892</v>
      </c>
    </row>
    <row r="893" customFormat="false" ht="15.75" hidden="false" customHeight="false" outlineLevel="0" collapsed="false">
      <c r="A893" s="19" t="n">
        <v>893</v>
      </c>
    </row>
    <row r="894" customFormat="false" ht="15.75" hidden="false" customHeight="false" outlineLevel="0" collapsed="false">
      <c r="A894" s="19" t="n">
        <v>894</v>
      </c>
    </row>
    <row r="895" customFormat="false" ht="15.75" hidden="false" customHeight="false" outlineLevel="0" collapsed="false">
      <c r="A895" s="19" t="n">
        <v>895</v>
      </c>
    </row>
    <row r="896" customFormat="false" ht="15.75" hidden="false" customHeight="false" outlineLevel="0" collapsed="false">
      <c r="A896" s="19" t="n">
        <v>896</v>
      </c>
    </row>
    <row r="897" customFormat="false" ht="15.75" hidden="false" customHeight="false" outlineLevel="0" collapsed="false">
      <c r="A897" s="19" t="n">
        <v>897</v>
      </c>
    </row>
    <row r="898" customFormat="false" ht="15.75" hidden="false" customHeight="false" outlineLevel="0" collapsed="false">
      <c r="A898" s="19" t="n">
        <v>898</v>
      </c>
    </row>
    <row r="899" customFormat="false" ht="15.75" hidden="false" customHeight="false" outlineLevel="0" collapsed="false">
      <c r="A899" s="19" t="n">
        <v>899</v>
      </c>
    </row>
    <row r="900" customFormat="false" ht="15.75" hidden="false" customHeight="false" outlineLevel="0" collapsed="false">
      <c r="A900" s="19" t="n">
        <v>900</v>
      </c>
    </row>
    <row r="901" customFormat="false" ht="15.75" hidden="false" customHeight="false" outlineLevel="0" collapsed="false">
      <c r="A901" s="19" t="n">
        <v>901</v>
      </c>
    </row>
    <row r="902" customFormat="false" ht="15.75" hidden="false" customHeight="false" outlineLevel="0" collapsed="false">
      <c r="A902" s="19" t="n">
        <v>902</v>
      </c>
    </row>
    <row r="903" customFormat="false" ht="15.75" hidden="false" customHeight="false" outlineLevel="0" collapsed="false">
      <c r="A903" s="19" t="n">
        <v>903</v>
      </c>
    </row>
    <row r="904" customFormat="false" ht="15.75" hidden="false" customHeight="false" outlineLevel="0" collapsed="false">
      <c r="A904" s="19" t="n">
        <v>904</v>
      </c>
    </row>
    <row r="905" customFormat="false" ht="15.75" hidden="false" customHeight="false" outlineLevel="0" collapsed="false">
      <c r="A905" s="19" t="n">
        <v>905</v>
      </c>
    </row>
    <row r="906" customFormat="false" ht="15.75" hidden="false" customHeight="false" outlineLevel="0" collapsed="false">
      <c r="A906" s="19" t="n">
        <v>906</v>
      </c>
    </row>
    <row r="907" customFormat="false" ht="15.75" hidden="false" customHeight="false" outlineLevel="0" collapsed="false">
      <c r="A907" s="19" t="n">
        <v>907</v>
      </c>
    </row>
    <row r="908" customFormat="false" ht="15.75" hidden="false" customHeight="false" outlineLevel="0" collapsed="false">
      <c r="A908" s="19" t="n">
        <v>908</v>
      </c>
    </row>
    <row r="909" customFormat="false" ht="15.75" hidden="false" customHeight="false" outlineLevel="0" collapsed="false">
      <c r="A909" s="19" t="n">
        <v>909</v>
      </c>
    </row>
    <row r="910" customFormat="false" ht="15.75" hidden="false" customHeight="false" outlineLevel="0" collapsed="false">
      <c r="A910" s="19" t="n">
        <v>910</v>
      </c>
    </row>
    <row r="911" customFormat="false" ht="15.75" hidden="false" customHeight="false" outlineLevel="0" collapsed="false">
      <c r="A911" s="19" t="n">
        <v>911</v>
      </c>
    </row>
    <row r="912" customFormat="false" ht="15.75" hidden="false" customHeight="false" outlineLevel="0" collapsed="false">
      <c r="A912" s="19" t="n">
        <v>912</v>
      </c>
    </row>
    <row r="913" customFormat="false" ht="15.75" hidden="false" customHeight="false" outlineLevel="0" collapsed="false">
      <c r="A913" s="19" t="n">
        <v>913</v>
      </c>
    </row>
    <row r="914" customFormat="false" ht="15.75" hidden="false" customHeight="false" outlineLevel="0" collapsed="false">
      <c r="A914" s="19" t="n">
        <v>914</v>
      </c>
    </row>
    <row r="915" customFormat="false" ht="15.75" hidden="false" customHeight="false" outlineLevel="0" collapsed="false">
      <c r="A915" s="19" t="n">
        <v>915</v>
      </c>
    </row>
    <row r="916" customFormat="false" ht="15.75" hidden="false" customHeight="false" outlineLevel="0" collapsed="false">
      <c r="A916" s="19" t="n">
        <v>916</v>
      </c>
    </row>
    <row r="917" customFormat="false" ht="15.75" hidden="false" customHeight="false" outlineLevel="0" collapsed="false">
      <c r="A917" s="19" t="n">
        <v>917</v>
      </c>
    </row>
    <row r="918" customFormat="false" ht="15.75" hidden="false" customHeight="false" outlineLevel="0" collapsed="false">
      <c r="A918" s="19" t="n">
        <v>918</v>
      </c>
    </row>
    <row r="919" customFormat="false" ht="15.75" hidden="false" customHeight="false" outlineLevel="0" collapsed="false">
      <c r="A919" s="19" t="n">
        <v>919</v>
      </c>
    </row>
    <row r="920" customFormat="false" ht="15.75" hidden="false" customHeight="false" outlineLevel="0" collapsed="false">
      <c r="A920" s="19" t="n">
        <v>920</v>
      </c>
    </row>
    <row r="921" customFormat="false" ht="15.75" hidden="false" customHeight="false" outlineLevel="0" collapsed="false">
      <c r="A921" s="19" t="n">
        <v>921</v>
      </c>
    </row>
    <row r="922" customFormat="false" ht="15.75" hidden="false" customHeight="false" outlineLevel="0" collapsed="false">
      <c r="A922" s="19" t="n">
        <v>922</v>
      </c>
    </row>
    <row r="923" customFormat="false" ht="15.75" hidden="false" customHeight="false" outlineLevel="0" collapsed="false">
      <c r="A923" s="19" t="n">
        <v>923</v>
      </c>
    </row>
    <row r="924" customFormat="false" ht="15.75" hidden="false" customHeight="false" outlineLevel="0" collapsed="false">
      <c r="A924" s="19" t="n">
        <v>924</v>
      </c>
    </row>
    <row r="925" customFormat="false" ht="15.75" hidden="false" customHeight="false" outlineLevel="0" collapsed="false">
      <c r="A925" s="19" t="n">
        <v>925</v>
      </c>
    </row>
    <row r="926" customFormat="false" ht="15.75" hidden="false" customHeight="false" outlineLevel="0" collapsed="false">
      <c r="A926" s="19" t="n">
        <v>926</v>
      </c>
    </row>
    <row r="927" customFormat="false" ht="15.75" hidden="false" customHeight="false" outlineLevel="0" collapsed="false">
      <c r="A927" s="19" t="n">
        <v>927</v>
      </c>
    </row>
    <row r="928" customFormat="false" ht="15.75" hidden="false" customHeight="false" outlineLevel="0" collapsed="false">
      <c r="A928" s="19" t="n">
        <v>928</v>
      </c>
    </row>
    <row r="929" customFormat="false" ht="15.75" hidden="false" customHeight="false" outlineLevel="0" collapsed="false">
      <c r="A929" s="19" t="n">
        <v>929</v>
      </c>
    </row>
    <row r="930" customFormat="false" ht="15.75" hidden="false" customHeight="false" outlineLevel="0" collapsed="false">
      <c r="A930" s="19" t="n">
        <v>930</v>
      </c>
    </row>
    <row r="931" customFormat="false" ht="15.75" hidden="false" customHeight="false" outlineLevel="0" collapsed="false">
      <c r="A931" s="19" t="n">
        <v>931</v>
      </c>
    </row>
    <row r="932" customFormat="false" ht="15.75" hidden="false" customHeight="false" outlineLevel="0" collapsed="false">
      <c r="A932" s="19" t="n">
        <v>932</v>
      </c>
    </row>
    <row r="933" customFormat="false" ht="15.75" hidden="false" customHeight="false" outlineLevel="0" collapsed="false">
      <c r="A933" s="19" t="n">
        <v>933</v>
      </c>
    </row>
    <row r="934" customFormat="false" ht="15.75" hidden="false" customHeight="false" outlineLevel="0" collapsed="false">
      <c r="A934" s="19" t="n">
        <v>934</v>
      </c>
    </row>
    <row r="935" customFormat="false" ht="15.75" hidden="false" customHeight="false" outlineLevel="0" collapsed="false">
      <c r="A935" s="19" t="n">
        <v>935</v>
      </c>
    </row>
    <row r="936" customFormat="false" ht="15.75" hidden="false" customHeight="false" outlineLevel="0" collapsed="false">
      <c r="A936" s="19" t="n">
        <v>936</v>
      </c>
    </row>
    <row r="937" customFormat="false" ht="15.75" hidden="false" customHeight="false" outlineLevel="0" collapsed="false">
      <c r="A937" s="19" t="n">
        <v>937</v>
      </c>
    </row>
    <row r="938" customFormat="false" ht="15.75" hidden="false" customHeight="false" outlineLevel="0" collapsed="false">
      <c r="A938" s="19" t="n">
        <v>938</v>
      </c>
    </row>
    <row r="939" customFormat="false" ht="15.75" hidden="false" customHeight="false" outlineLevel="0" collapsed="false">
      <c r="A939" s="19" t="n">
        <v>939</v>
      </c>
    </row>
    <row r="940" customFormat="false" ht="15.75" hidden="false" customHeight="false" outlineLevel="0" collapsed="false">
      <c r="A940" s="19" t="n">
        <v>940</v>
      </c>
    </row>
    <row r="941" customFormat="false" ht="15.75" hidden="false" customHeight="false" outlineLevel="0" collapsed="false">
      <c r="A941" s="19" t="n">
        <v>941</v>
      </c>
    </row>
    <row r="942" customFormat="false" ht="15.75" hidden="false" customHeight="false" outlineLevel="0" collapsed="false">
      <c r="A942" s="19" t="n">
        <v>942</v>
      </c>
    </row>
    <row r="943" customFormat="false" ht="15.75" hidden="false" customHeight="false" outlineLevel="0" collapsed="false">
      <c r="A943" s="19" t="n">
        <v>943</v>
      </c>
    </row>
    <row r="944" customFormat="false" ht="15.75" hidden="false" customHeight="false" outlineLevel="0" collapsed="false">
      <c r="A944" s="19" t="n">
        <v>944</v>
      </c>
    </row>
    <row r="945" customFormat="false" ht="15.75" hidden="false" customHeight="false" outlineLevel="0" collapsed="false">
      <c r="A945" s="19" t="n">
        <v>945</v>
      </c>
    </row>
    <row r="946" customFormat="false" ht="15.75" hidden="false" customHeight="false" outlineLevel="0" collapsed="false">
      <c r="A946" s="19" t="n">
        <v>946</v>
      </c>
    </row>
    <row r="947" customFormat="false" ht="15.75" hidden="false" customHeight="false" outlineLevel="0" collapsed="false">
      <c r="A947" s="19" t="n">
        <v>947</v>
      </c>
    </row>
    <row r="948" customFormat="false" ht="15.75" hidden="false" customHeight="false" outlineLevel="0" collapsed="false">
      <c r="A948" s="19" t="n">
        <v>948</v>
      </c>
    </row>
    <row r="949" customFormat="false" ht="15.75" hidden="false" customHeight="false" outlineLevel="0" collapsed="false">
      <c r="A949" s="19" t="n">
        <v>949</v>
      </c>
    </row>
    <row r="950" customFormat="false" ht="15.75" hidden="false" customHeight="false" outlineLevel="0" collapsed="false">
      <c r="A950" s="19" t="n">
        <v>950</v>
      </c>
    </row>
    <row r="951" customFormat="false" ht="15.75" hidden="false" customHeight="false" outlineLevel="0" collapsed="false">
      <c r="A951" s="19" t="n">
        <v>951</v>
      </c>
    </row>
    <row r="952" customFormat="false" ht="15.75" hidden="false" customHeight="false" outlineLevel="0" collapsed="false">
      <c r="A952" s="19" t="n">
        <v>952</v>
      </c>
    </row>
    <row r="953" customFormat="false" ht="15.75" hidden="false" customHeight="false" outlineLevel="0" collapsed="false">
      <c r="A953" s="19" t="n">
        <v>953</v>
      </c>
    </row>
    <row r="954" customFormat="false" ht="15.75" hidden="false" customHeight="false" outlineLevel="0" collapsed="false">
      <c r="A954" s="19" t="n">
        <v>954</v>
      </c>
    </row>
    <row r="955" customFormat="false" ht="15.75" hidden="false" customHeight="false" outlineLevel="0" collapsed="false">
      <c r="A955" s="19" t="n">
        <v>955</v>
      </c>
    </row>
    <row r="956" customFormat="false" ht="15.75" hidden="false" customHeight="false" outlineLevel="0" collapsed="false">
      <c r="A956" s="19" t="n">
        <v>956</v>
      </c>
    </row>
    <row r="957" customFormat="false" ht="15.75" hidden="false" customHeight="false" outlineLevel="0" collapsed="false">
      <c r="A957" s="19" t="n">
        <v>957</v>
      </c>
    </row>
    <row r="958" customFormat="false" ht="15.75" hidden="false" customHeight="false" outlineLevel="0" collapsed="false">
      <c r="A958" s="19" t="n">
        <v>958</v>
      </c>
    </row>
    <row r="959" customFormat="false" ht="15.75" hidden="false" customHeight="false" outlineLevel="0" collapsed="false">
      <c r="A959" s="19" t="n">
        <v>959</v>
      </c>
    </row>
    <row r="960" customFormat="false" ht="15.75" hidden="false" customHeight="false" outlineLevel="0" collapsed="false">
      <c r="A960" s="19" t="n">
        <v>960</v>
      </c>
    </row>
    <row r="961" customFormat="false" ht="15.75" hidden="false" customHeight="false" outlineLevel="0" collapsed="false">
      <c r="A961" s="19" t="n">
        <v>961</v>
      </c>
    </row>
    <row r="962" customFormat="false" ht="15.75" hidden="false" customHeight="false" outlineLevel="0" collapsed="false">
      <c r="A962" s="19" t="n">
        <v>962</v>
      </c>
    </row>
    <row r="963" customFormat="false" ht="15.75" hidden="false" customHeight="false" outlineLevel="0" collapsed="false">
      <c r="A963" s="19" t="n">
        <v>963</v>
      </c>
    </row>
    <row r="964" customFormat="false" ht="15.75" hidden="false" customHeight="false" outlineLevel="0" collapsed="false">
      <c r="A964" s="19" t="n">
        <v>964</v>
      </c>
    </row>
    <row r="965" customFormat="false" ht="15.75" hidden="false" customHeight="false" outlineLevel="0" collapsed="false">
      <c r="A965" s="19" t="n">
        <v>965</v>
      </c>
    </row>
    <row r="966" customFormat="false" ht="15.75" hidden="false" customHeight="false" outlineLevel="0" collapsed="false">
      <c r="A966" s="19" t="n">
        <v>966</v>
      </c>
    </row>
    <row r="967" customFormat="false" ht="15.75" hidden="false" customHeight="false" outlineLevel="0" collapsed="false">
      <c r="A967" s="19" t="n">
        <v>967</v>
      </c>
    </row>
    <row r="968" customFormat="false" ht="15.75" hidden="false" customHeight="false" outlineLevel="0" collapsed="false">
      <c r="A968" s="19" t="n">
        <v>968</v>
      </c>
    </row>
    <row r="969" customFormat="false" ht="15.75" hidden="false" customHeight="false" outlineLevel="0" collapsed="false">
      <c r="A969" s="19" t="n">
        <v>969</v>
      </c>
    </row>
    <row r="970" customFormat="false" ht="15.75" hidden="false" customHeight="false" outlineLevel="0" collapsed="false">
      <c r="A970" s="19" t="n">
        <v>970</v>
      </c>
    </row>
    <row r="971" customFormat="false" ht="15.75" hidden="false" customHeight="false" outlineLevel="0" collapsed="false">
      <c r="A971" s="19" t="n">
        <v>971</v>
      </c>
    </row>
    <row r="972" customFormat="false" ht="15.75" hidden="false" customHeight="false" outlineLevel="0" collapsed="false">
      <c r="A972" s="19" t="n">
        <v>972</v>
      </c>
    </row>
    <row r="973" customFormat="false" ht="15.75" hidden="false" customHeight="false" outlineLevel="0" collapsed="false">
      <c r="A973" s="19" t="n">
        <v>973</v>
      </c>
    </row>
    <row r="974" customFormat="false" ht="15.75" hidden="false" customHeight="false" outlineLevel="0" collapsed="false">
      <c r="A974" s="19" t="n">
        <v>974</v>
      </c>
    </row>
    <row r="975" customFormat="false" ht="15.75" hidden="false" customHeight="false" outlineLevel="0" collapsed="false">
      <c r="A975" s="19" t="n">
        <v>975</v>
      </c>
    </row>
    <row r="976" customFormat="false" ht="15.75" hidden="false" customHeight="false" outlineLevel="0" collapsed="false">
      <c r="A976" s="19" t="n">
        <v>976</v>
      </c>
    </row>
    <row r="977" customFormat="false" ht="15.75" hidden="false" customHeight="false" outlineLevel="0" collapsed="false">
      <c r="A977" s="19" t="n">
        <v>977</v>
      </c>
    </row>
    <row r="978" customFormat="false" ht="15.75" hidden="false" customHeight="false" outlineLevel="0" collapsed="false">
      <c r="A978" s="19" t="n">
        <v>978</v>
      </c>
    </row>
    <row r="979" customFormat="false" ht="15.75" hidden="false" customHeight="false" outlineLevel="0" collapsed="false">
      <c r="A979" s="19" t="n">
        <v>979</v>
      </c>
    </row>
    <row r="980" customFormat="false" ht="15.75" hidden="false" customHeight="false" outlineLevel="0" collapsed="false">
      <c r="A980" s="19" t="n">
        <v>980</v>
      </c>
    </row>
    <row r="981" customFormat="false" ht="15.75" hidden="false" customHeight="false" outlineLevel="0" collapsed="false">
      <c r="A981" s="19" t="n">
        <v>981</v>
      </c>
    </row>
    <row r="982" customFormat="false" ht="15.75" hidden="false" customHeight="false" outlineLevel="0" collapsed="false">
      <c r="A982" s="19" t="n">
        <v>982</v>
      </c>
    </row>
    <row r="983" customFormat="false" ht="15.75" hidden="false" customHeight="false" outlineLevel="0" collapsed="false">
      <c r="A983" s="19" t="n">
        <v>983</v>
      </c>
    </row>
    <row r="984" customFormat="false" ht="15.75" hidden="false" customHeight="false" outlineLevel="0" collapsed="false">
      <c r="A984" s="19" t="n">
        <v>984</v>
      </c>
    </row>
    <row r="985" customFormat="false" ht="15.75" hidden="false" customHeight="false" outlineLevel="0" collapsed="false">
      <c r="A985" s="19" t="n">
        <v>985</v>
      </c>
    </row>
    <row r="986" customFormat="false" ht="15.75" hidden="false" customHeight="false" outlineLevel="0" collapsed="false">
      <c r="A986" s="19" t="n">
        <v>986</v>
      </c>
    </row>
    <row r="987" customFormat="false" ht="15.75" hidden="false" customHeight="false" outlineLevel="0" collapsed="false">
      <c r="A987" s="19" t="n">
        <v>987</v>
      </c>
    </row>
    <row r="988" customFormat="false" ht="15.75" hidden="false" customHeight="false" outlineLevel="0" collapsed="false">
      <c r="A988" s="19" t="n">
        <v>988</v>
      </c>
    </row>
    <row r="989" customFormat="false" ht="15.75" hidden="false" customHeight="false" outlineLevel="0" collapsed="false">
      <c r="A989" s="19" t="n">
        <v>989</v>
      </c>
    </row>
    <row r="990" customFormat="false" ht="15.75" hidden="false" customHeight="false" outlineLevel="0" collapsed="false">
      <c r="A990" s="19" t="n">
        <v>990</v>
      </c>
    </row>
    <row r="991" customFormat="false" ht="15.75" hidden="false" customHeight="false" outlineLevel="0" collapsed="false">
      <c r="A991" s="19" t="n">
        <v>991</v>
      </c>
    </row>
    <row r="992" customFormat="false" ht="15.75" hidden="false" customHeight="false" outlineLevel="0" collapsed="false">
      <c r="A992" s="19" t="n">
        <v>992</v>
      </c>
    </row>
    <row r="993" customFormat="false" ht="15.75" hidden="false" customHeight="false" outlineLevel="0" collapsed="false">
      <c r="A993" s="19" t="n">
        <v>993</v>
      </c>
    </row>
    <row r="994" customFormat="false" ht="15.75" hidden="false" customHeight="false" outlineLevel="0" collapsed="false">
      <c r="A994" s="19" t="n">
        <v>994</v>
      </c>
    </row>
    <row r="995" customFormat="false" ht="15.75" hidden="false" customHeight="false" outlineLevel="0" collapsed="false">
      <c r="A995" s="19" t="n">
        <v>995</v>
      </c>
    </row>
    <row r="996" customFormat="false" ht="15.75" hidden="false" customHeight="false" outlineLevel="0" collapsed="false">
      <c r="A996" s="19" t="n">
        <v>996</v>
      </c>
    </row>
    <row r="997" customFormat="false" ht="15.75" hidden="false" customHeight="false" outlineLevel="0" collapsed="false">
      <c r="A997" s="19" t="n">
        <v>997</v>
      </c>
    </row>
    <row r="998" customFormat="false" ht="15.75" hidden="false" customHeight="false" outlineLevel="0" collapsed="false">
      <c r="A998" s="19" t="n">
        <v>998</v>
      </c>
    </row>
    <row r="999" customFormat="false" ht="15.75" hidden="false" customHeight="false" outlineLevel="0" collapsed="false">
      <c r="A999" s="19" t="n">
        <v>999</v>
      </c>
    </row>
    <row r="1000" customFormat="false" ht="15.75" hidden="false" customHeight="false" outlineLevel="0" collapsed="false">
      <c r="A1000" s="19" t="n">
        <v>1000</v>
      </c>
    </row>
  </sheetData>
  <conditionalFormatting sqref="D1:D242">
    <cfRule type="expression" priority="2" aboveAverage="0" equalAverage="0" bottom="0" percent="0" rank="0" text="" dxfId="0">
      <formula>$F1&gt;0</formula>
    </cfRule>
  </conditionalFormatting>
  <conditionalFormatting sqref="D1:D242">
    <cfRule type="expression" priority="3" aboveAverage="0" equalAverage="0" bottom="0" percent="0" rank="0" text="" dxfId="1">
      <formula>$F1&lt;0</formula>
    </cfRule>
  </conditionalFormatting>
  <hyperlinks>
    <hyperlink ref="B1" r:id="rId1" display="https://docs.google.com/spreadsheets/d/1uxLWCfiMXEW9uhwCmKolNNrj9MHwoHMph9pn7F46SlE/edit?usp=sharin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2024-11-25T18:19:43Z</dcterms:modified>
  <cp:revision>1</cp:revision>
  <dc:subject/>
  <dc:title/>
</cp:coreProperties>
</file>